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5  CERBRANORTE - Cecília\Estrutura\"/>
    </mc:Choice>
  </mc:AlternateContent>
  <xr:revisionPtr revIDLastSave="0" documentId="13_ncr:1_{1F2A0FE4-FCAC-477A-8BCB-412969F37FB2}" xr6:coauthVersionLast="47" xr6:coauthVersionMax="47" xr10:uidLastSave="{00000000-0000-0000-0000-000000000000}"/>
  <bookViews>
    <workbookView xWindow="-120" yWindow="-120" windowWidth="29040" windowHeight="15840" firstSheet="14" activeTab="15" xr2:uid="{10DB79AC-E1C2-435C-94C3-302C720BF936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4" r:id="rId20"/>
    <sheet name="CONSISTENCIA" sheetId="23" r:id="rId21"/>
    <sheet name="TUSD" sheetId="25" r:id="rId22"/>
    <sheet name="TE" sheetId="26" r:id="rId23"/>
    <sheet name="RESUMO TUSD" sheetId="27" r:id="rId24"/>
    <sheet name="RESUMO TE" sheetId="28" r:id="rId25"/>
    <sheet name="Descontos" sheetId="20" r:id="rId26"/>
    <sheet name="TA - Aplicação" sheetId="29" r:id="rId27"/>
    <sheet name="TA - BE" sheetId="30" r:id="rId28"/>
    <sheet name="TA - CVA" sheetId="31" r:id="rId29"/>
  </sheets>
  <definedNames>
    <definedName name="DadosExternos_1" localSheetId="26" hidden="1">'TA - Aplicação'!$B$3:$AT$52</definedName>
    <definedName name="DadosExternos_1" localSheetId="27" hidden="1">'TA - BE'!$B$3:$AT$52</definedName>
    <definedName name="DadosExternos_1" localSheetId="28" hidden="1">'TA - CVA'!$B$3:$AT$52</definedName>
    <definedName name="LnKTxTRA1">CUSTOS!$C$5</definedName>
  </definedNames>
  <calcPr calcId="191029" iterate="1"/>
  <pivotCaches>
    <pivotCache cacheId="47" r:id="rId30"/>
    <pivotCache cacheId="48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5" l="1"/>
  <c r="P10" i="5"/>
  <c r="P9" i="5"/>
  <c r="R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8"/>
  <c r="K5" i="28"/>
  <c r="J5" i="28"/>
  <c r="I5" i="28"/>
  <c r="H5" i="28"/>
  <c r="G5" i="28"/>
  <c r="F5" i="28"/>
  <c r="E5" i="28"/>
  <c r="D5" i="28"/>
  <c r="C5" i="28"/>
  <c r="B5" i="28"/>
  <c r="I2" i="28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5" i="27"/>
  <c r="D5" i="27"/>
  <c r="C5" i="27"/>
  <c r="B5" i="27"/>
  <c r="I2" i="27"/>
  <c r="U9" i="26"/>
  <c r="U8" i="26"/>
  <c r="U7" i="26"/>
  <c r="AB11" i="25"/>
  <c r="AB10" i="25"/>
  <c r="AB9" i="25"/>
  <c r="AE13" i="23"/>
  <c r="AD13" i="23"/>
  <c r="AC13" i="23"/>
  <c r="AB13" i="23"/>
  <c r="AA13" i="23"/>
  <c r="W13" i="23"/>
  <c r="V13" i="23"/>
  <c r="U13" i="23"/>
  <c r="AI13" i="23" s="1"/>
  <c r="T13" i="23"/>
  <c r="S13" i="23"/>
  <c r="Y13" i="23" s="1"/>
  <c r="AG13" i="23" s="1"/>
  <c r="R13" i="23"/>
  <c r="X13" i="23" s="1"/>
  <c r="AF13" i="23" s="1"/>
  <c r="AE12" i="23"/>
  <c r="AD12" i="23"/>
  <c r="AE8" i="23"/>
  <c r="AD8" i="23"/>
  <c r="AC8" i="23"/>
  <c r="AB8" i="23"/>
  <c r="AA8" i="23"/>
  <c r="W8" i="23"/>
  <c r="V8" i="23"/>
  <c r="U8" i="23"/>
  <c r="T8" i="23"/>
  <c r="S8" i="23"/>
  <c r="Y8" i="23" s="1"/>
  <c r="AG8" i="23" s="1"/>
  <c r="R8" i="23"/>
  <c r="X8" i="23" s="1"/>
  <c r="AF8" i="23" s="1"/>
  <c r="AE6" i="23"/>
  <c r="AD6" i="23"/>
  <c r="AC6" i="23"/>
  <c r="AB6" i="23"/>
  <c r="AA6" i="23"/>
  <c r="W6" i="23"/>
  <c r="V6" i="23"/>
  <c r="U6" i="23"/>
  <c r="AI6" i="23" s="1"/>
  <c r="T6" i="23"/>
  <c r="S6" i="23"/>
  <c r="R6" i="23"/>
  <c r="X6" i="23" s="1"/>
  <c r="AE5" i="23"/>
  <c r="AD5" i="23"/>
  <c r="AC5" i="23"/>
  <c r="AB5" i="23"/>
  <c r="AA5" i="23"/>
  <c r="W5" i="23"/>
  <c r="V5" i="23"/>
  <c r="U5" i="23"/>
  <c r="AI5" i="23" s="1"/>
  <c r="T5" i="23"/>
  <c r="S5" i="23"/>
  <c r="R5" i="23"/>
  <c r="X5" i="23" s="1"/>
  <c r="AE4" i="23"/>
  <c r="AD4" i="23"/>
  <c r="AI4" i="23" s="1"/>
  <c r="AC4" i="23"/>
  <c r="AB4" i="23"/>
  <c r="AA4" i="23"/>
  <c r="W4" i="23"/>
  <c r="V4" i="23"/>
  <c r="U4" i="23"/>
  <c r="T4" i="23"/>
  <c r="S4" i="23"/>
  <c r="R4" i="23"/>
  <c r="AE3" i="23"/>
  <c r="AD3" i="23"/>
  <c r="AC3" i="23"/>
  <c r="AB3" i="23"/>
  <c r="AA3" i="23"/>
  <c r="W3" i="23"/>
  <c r="V3" i="23"/>
  <c r="U3" i="23"/>
  <c r="AI3" i="23" s="1"/>
  <c r="T3" i="23"/>
  <c r="S3" i="23"/>
  <c r="R3" i="23"/>
  <c r="X3" i="23" s="1"/>
  <c r="AF3" i="23" s="1"/>
  <c r="J632" i="23"/>
  <c r="J631" i="23"/>
  <c r="M631" i="23" s="1"/>
  <c r="J630" i="23"/>
  <c r="J629" i="23"/>
  <c r="M629" i="23" s="1"/>
  <c r="J628" i="23"/>
  <c r="J627" i="23"/>
  <c r="M627" i="23" s="1"/>
  <c r="J626" i="23"/>
  <c r="J625" i="23"/>
  <c r="M625" i="23" s="1"/>
  <c r="J624" i="23"/>
  <c r="J623" i="23"/>
  <c r="M623" i="23" s="1"/>
  <c r="J622" i="23"/>
  <c r="J621" i="23"/>
  <c r="M621" i="23" s="1"/>
  <c r="J354" i="23"/>
  <c r="J353" i="23"/>
  <c r="J352" i="23"/>
  <c r="J351" i="23"/>
  <c r="J350" i="23"/>
  <c r="J349" i="23"/>
  <c r="J348" i="23"/>
  <c r="J347" i="23"/>
  <c r="J346" i="23"/>
  <c r="J345" i="23"/>
  <c r="J344" i="23"/>
  <c r="J343" i="23"/>
  <c r="L342" i="23"/>
  <c r="K342" i="23"/>
  <c r="L341" i="23"/>
  <c r="K341" i="23"/>
  <c r="L340" i="23"/>
  <c r="K340" i="23"/>
  <c r="L339" i="23"/>
  <c r="K339" i="23"/>
  <c r="L338" i="23"/>
  <c r="K338" i="23"/>
  <c r="L337" i="23"/>
  <c r="K337" i="23"/>
  <c r="L336" i="23"/>
  <c r="K336" i="23"/>
  <c r="L335" i="23"/>
  <c r="K335" i="23"/>
  <c r="L334" i="23"/>
  <c r="K334" i="23"/>
  <c r="L333" i="23"/>
  <c r="K333" i="23"/>
  <c r="L332" i="23"/>
  <c r="K332" i="23"/>
  <c r="L331" i="23"/>
  <c r="K331" i="23"/>
  <c r="J330" i="23"/>
  <c r="J329" i="23"/>
  <c r="J328" i="23"/>
  <c r="J327" i="23"/>
  <c r="J326" i="23"/>
  <c r="J325" i="23"/>
  <c r="J324" i="23"/>
  <c r="J323" i="23"/>
  <c r="J322" i="23"/>
  <c r="J321" i="23"/>
  <c r="J320" i="23"/>
  <c r="J319" i="23"/>
  <c r="J644" i="23"/>
  <c r="M644" i="23" s="1"/>
  <c r="J643" i="23"/>
  <c r="M643" i="23" s="1"/>
  <c r="M642" i="23"/>
  <c r="J642" i="23"/>
  <c r="J641" i="23"/>
  <c r="M641" i="23" s="1"/>
  <c r="J640" i="23"/>
  <c r="M640" i="23" s="1"/>
  <c r="J639" i="23"/>
  <c r="M639" i="23" s="1"/>
  <c r="J638" i="23"/>
  <c r="M638" i="23" s="1"/>
  <c r="M637" i="23"/>
  <c r="J637" i="23"/>
  <c r="J636" i="23"/>
  <c r="M636" i="23" s="1"/>
  <c r="J635" i="23"/>
  <c r="M635" i="23" s="1"/>
  <c r="J634" i="23"/>
  <c r="M634" i="23" s="1"/>
  <c r="J633" i="23"/>
  <c r="M632" i="23"/>
  <c r="M630" i="23"/>
  <c r="M628" i="23"/>
  <c r="M626" i="23"/>
  <c r="M624" i="23"/>
  <c r="M622" i="23"/>
  <c r="J620" i="23"/>
  <c r="M620" i="23" s="1"/>
  <c r="J619" i="23"/>
  <c r="M619" i="23" s="1"/>
  <c r="J618" i="23"/>
  <c r="M618" i="23" s="1"/>
  <c r="J617" i="23"/>
  <c r="M617" i="23" s="1"/>
  <c r="J616" i="23"/>
  <c r="M616" i="23" s="1"/>
  <c r="J615" i="23"/>
  <c r="M615" i="23" s="1"/>
  <c r="J614" i="23"/>
  <c r="M614" i="23" s="1"/>
  <c r="J613" i="23"/>
  <c r="M613" i="23" s="1"/>
  <c r="J612" i="23"/>
  <c r="M612" i="23" s="1"/>
  <c r="J611" i="23"/>
  <c r="M611" i="23" s="1"/>
  <c r="J610" i="23"/>
  <c r="M610" i="23" s="1"/>
  <c r="M609" i="23"/>
  <c r="J609" i="23"/>
  <c r="J608" i="23"/>
  <c r="M608" i="23" s="1"/>
  <c r="J607" i="23"/>
  <c r="M607" i="23" s="1"/>
  <c r="J606" i="23"/>
  <c r="M606" i="23" s="1"/>
  <c r="J605" i="23"/>
  <c r="M605" i="23" s="1"/>
  <c r="J604" i="23"/>
  <c r="M604" i="23" s="1"/>
  <c r="J603" i="23"/>
  <c r="M603" i="23" s="1"/>
  <c r="J602" i="23"/>
  <c r="M602" i="23" s="1"/>
  <c r="M601" i="23"/>
  <c r="J601" i="23"/>
  <c r="J600" i="23"/>
  <c r="M600" i="23" s="1"/>
  <c r="J599" i="23"/>
  <c r="M599" i="23" s="1"/>
  <c r="J598" i="23"/>
  <c r="M598" i="23" s="1"/>
  <c r="M597" i="23"/>
  <c r="J597" i="23"/>
  <c r="J596" i="23"/>
  <c r="M596" i="23" s="1"/>
  <c r="J595" i="23"/>
  <c r="M595" i="23" s="1"/>
  <c r="J594" i="23"/>
  <c r="M594" i="23" s="1"/>
  <c r="M593" i="23"/>
  <c r="J593" i="23"/>
  <c r="J592" i="23"/>
  <c r="M592" i="23" s="1"/>
  <c r="J591" i="23"/>
  <c r="M591" i="23" s="1"/>
  <c r="J590" i="23"/>
  <c r="M590" i="23" s="1"/>
  <c r="J589" i="23"/>
  <c r="M589" i="23" s="1"/>
  <c r="J588" i="23"/>
  <c r="M588" i="23" s="1"/>
  <c r="J587" i="23"/>
  <c r="M587" i="23" s="1"/>
  <c r="J586" i="23"/>
  <c r="M586" i="23" s="1"/>
  <c r="J585" i="23"/>
  <c r="M585" i="23" s="1"/>
  <c r="J584" i="23"/>
  <c r="M584" i="23" s="1"/>
  <c r="J583" i="23"/>
  <c r="M583" i="23" s="1"/>
  <c r="J582" i="23"/>
  <c r="M582" i="23" s="1"/>
  <c r="J581" i="23"/>
  <c r="M581" i="23" s="1"/>
  <c r="J580" i="23"/>
  <c r="M580" i="23" s="1"/>
  <c r="M579" i="23"/>
  <c r="J579" i="23"/>
  <c r="J578" i="23"/>
  <c r="M578" i="23" s="1"/>
  <c r="J577" i="23"/>
  <c r="M577" i="23" s="1"/>
  <c r="J576" i="23"/>
  <c r="M576" i="23" s="1"/>
  <c r="J575" i="23"/>
  <c r="M575" i="23" s="1"/>
  <c r="J574" i="23"/>
  <c r="M574" i="23" s="1"/>
  <c r="J573" i="23"/>
  <c r="M573" i="23" s="1"/>
  <c r="J572" i="23"/>
  <c r="M572" i="23" s="1"/>
  <c r="M571" i="23"/>
  <c r="J571" i="23"/>
  <c r="J570" i="23"/>
  <c r="M570" i="23" s="1"/>
  <c r="J569" i="23"/>
  <c r="M569" i="23" s="1"/>
  <c r="J568" i="23"/>
  <c r="M568" i="23" s="1"/>
  <c r="J567" i="23"/>
  <c r="M567" i="23" s="1"/>
  <c r="J566" i="23"/>
  <c r="M566" i="23" s="1"/>
  <c r="M565" i="23"/>
  <c r="J565" i="23"/>
  <c r="J564" i="23"/>
  <c r="M564" i="23" s="1"/>
  <c r="J563" i="23"/>
  <c r="M563" i="23" s="1"/>
  <c r="J562" i="23"/>
  <c r="M562" i="23" s="1"/>
  <c r="M561" i="23"/>
  <c r="J561" i="23"/>
  <c r="J560" i="23"/>
  <c r="M560" i="23" s="1"/>
  <c r="J559" i="23"/>
  <c r="M559" i="23" s="1"/>
  <c r="J558" i="23"/>
  <c r="M558" i="23" s="1"/>
  <c r="J557" i="23"/>
  <c r="M557" i="23" s="1"/>
  <c r="J556" i="23"/>
  <c r="M556" i="23" s="1"/>
  <c r="J555" i="23"/>
  <c r="M555" i="23" s="1"/>
  <c r="J554" i="23"/>
  <c r="M554" i="23" s="1"/>
  <c r="J553" i="23"/>
  <c r="M553" i="23" s="1"/>
  <c r="J552" i="23"/>
  <c r="M552" i="23" s="1"/>
  <c r="J551" i="23"/>
  <c r="M551" i="23" s="1"/>
  <c r="J550" i="23"/>
  <c r="M550" i="23" s="1"/>
  <c r="J549" i="23"/>
  <c r="M549" i="23" s="1"/>
  <c r="J548" i="23"/>
  <c r="M548" i="23" s="1"/>
  <c r="M547" i="23"/>
  <c r="J547" i="23"/>
  <c r="J546" i="23"/>
  <c r="M546" i="23" s="1"/>
  <c r="J545" i="23"/>
  <c r="M545" i="23" s="1"/>
  <c r="J544" i="23"/>
  <c r="M544" i="23" s="1"/>
  <c r="J543" i="23"/>
  <c r="M543" i="23" s="1"/>
  <c r="J542" i="23"/>
  <c r="J541" i="23"/>
  <c r="M541" i="23" s="1"/>
  <c r="J540" i="23"/>
  <c r="M540" i="23" s="1"/>
  <c r="M539" i="23"/>
  <c r="J539" i="23"/>
  <c r="M538" i="23"/>
  <c r="J538" i="23"/>
  <c r="J537" i="23"/>
  <c r="M537" i="23" s="1"/>
  <c r="J536" i="23"/>
  <c r="M536" i="23" s="1"/>
  <c r="J535" i="23"/>
  <c r="M535" i="23" s="1"/>
  <c r="J534" i="23"/>
  <c r="M534" i="23" s="1"/>
  <c r="M533" i="23"/>
  <c r="J533" i="23"/>
  <c r="J532" i="23"/>
  <c r="M532" i="23" s="1"/>
  <c r="J531" i="23"/>
  <c r="M531" i="23" s="1"/>
  <c r="J530" i="23"/>
  <c r="M530" i="23" s="1"/>
  <c r="M529" i="23"/>
  <c r="J529" i="23"/>
  <c r="J528" i="23"/>
  <c r="M528" i="23" s="1"/>
  <c r="J527" i="23"/>
  <c r="M527" i="23" s="1"/>
  <c r="J526" i="23"/>
  <c r="M526" i="23" s="1"/>
  <c r="M525" i="23"/>
  <c r="J525" i="23"/>
  <c r="J524" i="23"/>
  <c r="M524" i="23" s="1"/>
  <c r="J523" i="23"/>
  <c r="M523" i="23" s="1"/>
  <c r="J522" i="23"/>
  <c r="M522" i="23" s="1"/>
  <c r="M521" i="23"/>
  <c r="J521" i="23"/>
  <c r="J520" i="23"/>
  <c r="M520" i="23" s="1"/>
  <c r="J519" i="23"/>
  <c r="M519" i="23" s="1"/>
  <c r="J518" i="23"/>
  <c r="M518" i="23" s="1"/>
  <c r="M517" i="23"/>
  <c r="J517" i="23"/>
  <c r="J516" i="23"/>
  <c r="M516" i="23" s="1"/>
  <c r="J515" i="23"/>
  <c r="M515" i="23" s="1"/>
  <c r="J514" i="23"/>
  <c r="M514" i="23" s="1"/>
  <c r="M513" i="23"/>
  <c r="J513" i="23"/>
  <c r="J512" i="23"/>
  <c r="M512" i="23" s="1"/>
  <c r="J511" i="23"/>
  <c r="M511" i="23" s="1"/>
  <c r="J510" i="23"/>
  <c r="M510" i="23" s="1"/>
  <c r="M509" i="23"/>
  <c r="J509" i="23"/>
  <c r="J508" i="23"/>
  <c r="M508" i="23" s="1"/>
  <c r="J507" i="23"/>
  <c r="M507" i="23" s="1"/>
  <c r="J506" i="23"/>
  <c r="M506" i="23" s="1"/>
  <c r="M505" i="23"/>
  <c r="J505" i="23"/>
  <c r="J504" i="23"/>
  <c r="M504" i="23" s="1"/>
  <c r="J503" i="23"/>
  <c r="M503" i="23" s="1"/>
  <c r="J502" i="23"/>
  <c r="M502" i="23" s="1"/>
  <c r="M501" i="23"/>
  <c r="J501" i="23"/>
  <c r="J500" i="23"/>
  <c r="M500" i="23" s="1"/>
  <c r="J499" i="23"/>
  <c r="M499" i="23" s="1"/>
  <c r="J498" i="23"/>
  <c r="M498" i="23" s="1"/>
  <c r="M497" i="23"/>
  <c r="J497" i="23"/>
  <c r="J496" i="23"/>
  <c r="M496" i="23" s="1"/>
  <c r="J495" i="23"/>
  <c r="M495" i="23" s="1"/>
  <c r="J494" i="23"/>
  <c r="M494" i="23" s="1"/>
  <c r="M493" i="23"/>
  <c r="J493" i="23"/>
  <c r="J492" i="23"/>
  <c r="M492" i="23" s="1"/>
  <c r="J491" i="23"/>
  <c r="M491" i="23" s="1"/>
  <c r="J490" i="23"/>
  <c r="M490" i="23" s="1"/>
  <c r="M489" i="23"/>
  <c r="J489" i="23"/>
  <c r="J488" i="23"/>
  <c r="M488" i="23" s="1"/>
  <c r="J487" i="23"/>
  <c r="M487" i="23" s="1"/>
  <c r="J486" i="23"/>
  <c r="M486" i="23" s="1"/>
  <c r="M485" i="23"/>
  <c r="J485" i="23"/>
  <c r="J484" i="23"/>
  <c r="M484" i="23" s="1"/>
  <c r="J483" i="23"/>
  <c r="M483" i="23" s="1"/>
  <c r="J482" i="23"/>
  <c r="M482" i="23" s="1"/>
  <c r="M481" i="23"/>
  <c r="J481" i="23"/>
  <c r="J480" i="23"/>
  <c r="M480" i="23" s="1"/>
  <c r="J479" i="23"/>
  <c r="M479" i="23" s="1"/>
  <c r="J478" i="23"/>
  <c r="M478" i="23" s="1"/>
  <c r="J477" i="23"/>
  <c r="M477" i="23" s="1"/>
  <c r="M476" i="23"/>
  <c r="J476" i="23"/>
  <c r="J475" i="23"/>
  <c r="M475" i="23" s="1"/>
  <c r="J474" i="23"/>
  <c r="M474" i="23" s="1"/>
  <c r="J473" i="23"/>
  <c r="M473" i="23" s="1"/>
  <c r="M472" i="23"/>
  <c r="J472" i="23"/>
  <c r="J471" i="23"/>
  <c r="M471" i="23" s="1"/>
  <c r="J470" i="23"/>
  <c r="M470" i="23" s="1"/>
  <c r="J469" i="23"/>
  <c r="M469" i="23" s="1"/>
  <c r="M468" i="23"/>
  <c r="J468" i="23"/>
  <c r="J467" i="23"/>
  <c r="M467" i="23" s="1"/>
  <c r="J466" i="23"/>
  <c r="M466" i="23" s="1"/>
  <c r="J465" i="23"/>
  <c r="M465" i="23" s="1"/>
  <c r="M464" i="23"/>
  <c r="J464" i="23"/>
  <c r="J463" i="23"/>
  <c r="M463" i="23" s="1"/>
  <c r="J462" i="23"/>
  <c r="M462" i="23" s="1"/>
  <c r="J461" i="23"/>
  <c r="M461" i="23" s="1"/>
  <c r="M460" i="23"/>
  <c r="J460" i="23"/>
  <c r="J459" i="23"/>
  <c r="M459" i="23" s="1"/>
  <c r="J458" i="23"/>
  <c r="M458" i="23" s="1"/>
  <c r="J457" i="23"/>
  <c r="M457" i="23" s="1"/>
  <c r="M456" i="23"/>
  <c r="J456" i="23"/>
  <c r="J455" i="23"/>
  <c r="M455" i="23" s="1"/>
  <c r="J454" i="23"/>
  <c r="M454" i="23" s="1"/>
  <c r="J453" i="23"/>
  <c r="M453" i="23" s="1"/>
  <c r="M452" i="23"/>
  <c r="J452" i="23"/>
  <c r="J451" i="23"/>
  <c r="M451" i="23" s="1"/>
  <c r="J450" i="23"/>
  <c r="M450" i="23" s="1"/>
  <c r="J449" i="23"/>
  <c r="M449" i="23" s="1"/>
  <c r="M448" i="23"/>
  <c r="J448" i="23"/>
  <c r="J447" i="23"/>
  <c r="M447" i="23" s="1"/>
  <c r="J446" i="23"/>
  <c r="M446" i="23" s="1"/>
  <c r="J445" i="23"/>
  <c r="M445" i="23" s="1"/>
  <c r="M444" i="23"/>
  <c r="J444" i="23"/>
  <c r="J443" i="23"/>
  <c r="M443" i="23" s="1"/>
  <c r="J442" i="23"/>
  <c r="M442" i="23" s="1"/>
  <c r="J441" i="23"/>
  <c r="M441" i="23" s="1"/>
  <c r="M440" i="23"/>
  <c r="J440" i="23"/>
  <c r="J439" i="23"/>
  <c r="J438" i="23"/>
  <c r="M438" i="23" s="1"/>
  <c r="J437" i="23"/>
  <c r="M437" i="23" s="1"/>
  <c r="J436" i="23"/>
  <c r="M436" i="23" s="1"/>
  <c r="J435" i="23"/>
  <c r="M435" i="23" s="1"/>
  <c r="J434" i="23"/>
  <c r="M434" i="23" s="1"/>
  <c r="J433" i="23"/>
  <c r="M433" i="23" s="1"/>
  <c r="J432" i="23"/>
  <c r="M432" i="23" s="1"/>
  <c r="J431" i="23"/>
  <c r="M431" i="23" s="1"/>
  <c r="J430" i="23"/>
  <c r="M430" i="23" s="1"/>
  <c r="J429" i="23"/>
  <c r="M429" i="23" s="1"/>
  <c r="J428" i="23"/>
  <c r="M428" i="23" s="1"/>
  <c r="J427" i="23"/>
  <c r="M427" i="23" s="1"/>
  <c r="J426" i="23"/>
  <c r="M426" i="23" s="1"/>
  <c r="J425" i="23"/>
  <c r="M425" i="23" s="1"/>
  <c r="J424" i="23"/>
  <c r="M424" i="23" s="1"/>
  <c r="J423" i="23"/>
  <c r="M423" i="23" s="1"/>
  <c r="J422" i="23"/>
  <c r="M422" i="23" s="1"/>
  <c r="J421" i="23"/>
  <c r="M421" i="23" s="1"/>
  <c r="J420" i="23"/>
  <c r="M420" i="23" s="1"/>
  <c r="J419" i="23"/>
  <c r="M419" i="23" s="1"/>
  <c r="J418" i="23"/>
  <c r="M418" i="23" s="1"/>
  <c r="J417" i="23"/>
  <c r="M417" i="23" s="1"/>
  <c r="J416" i="23"/>
  <c r="M416" i="23" s="1"/>
  <c r="J415" i="23"/>
  <c r="M415" i="23" s="1"/>
  <c r="J414" i="23"/>
  <c r="M414" i="23" s="1"/>
  <c r="J413" i="23"/>
  <c r="M413" i="23" s="1"/>
  <c r="J412" i="23"/>
  <c r="M412" i="23" s="1"/>
  <c r="J411" i="23"/>
  <c r="M411" i="23" s="1"/>
  <c r="J410" i="23"/>
  <c r="M410" i="23" s="1"/>
  <c r="J409" i="23"/>
  <c r="M409" i="23" s="1"/>
  <c r="J408" i="23"/>
  <c r="M408" i="23" s="1"/>
  <c r="J407" i="23"/>
  <c r="M407" i="23" s="1"/>
  <c r="J406" i="23"/>
  <c r="M406" i="23" s="1"/>
  <c r="J405" i="23"/>
  <c r="M405" i="23" s="1"/>
  <c r="J404" i="23"/>
  <c r="M404" i="23" s="1"/>
  <c r="J403" i="23"/>
  <c r="M403" i="23" s="1"/>
  <c r="J402" i="23"/>
  <c r="M402" i="23" s="1"/>
  <c r="J401" i="23"/>
  <c r="M401" i="23" s="1"/>
  <c r="J400" i="23"/>
  <c r="M400" i="23" s="1"/>
  <c r="J399" i="23"/>
  <c r="M399" i="23" s="1"/>
  <c r="J398" i="23"/>
  <c r="M398" i="23" s="1"/>
  <c r="J397" i="23"/>
  <c r="M397" i="23" s="1"/>
  <c r="J396" i="23"/>
  <c r="M396" i="23" s="1"/>
  <c r="J395" i="23"/>
  <c r="M395" i="23" s="1"/>
  <c r="J394" i="23"/>
  <c r="M394" i="23" s="1"/>
  <c r="J393" i="23"/>
  <c r="M393" i="23" s="1"/>
  <c r="J392" i="23"/>
  <c r="M392" i="23" s="1"/>
  <c r="J391" i="23"/>
  <c r="M391" i="23" s="1"/>
  <c r="J390" i="23"/>
  <c r="M390" i="23" s="1"/>
  <c r="J389" i="23"/>
  <c r="M389" i="23" s="1"/>
  <c r="J388" i="23"/>
  <c r="M388" i="23" s="1"/>
  <c r="M387" i="23"/>
  <c r="J387" i="23"/>
  <c r="J386" i="23"/>
  <c r="M386" i="23" s="1"/>
  <c r="J385" i="23"/>
  <c r="M385" i="23" s="1"/>
  <c r="J384" i="23"/>
  <c r="M384" i="23" s="1"/>
  <c r="M383" i="23"/>
  <c r="J383" i="23"/>
  <c r="J382" i="23"/>
  <c r="M382" i="23" s="1"/>
  <c r="J381" i="23"/>
  <c r="M381" i="23" s="1"/>
  <c r="J380" i="23"/>
  <c r="M380" i="23" s="1"/>
  <c r="M379" i="23"/>
  <c r="J379" i="23"/>
  <c r="J378" i="23"/>
  <c r="M378" i="23" s="1"/>
  <c r="J377" i="23"/>
  <c r="M377" i="23" s="1"/>
  <c r="J376" i="23"/>
  <c r="M376" i="23" s="1"/>
  <c r="M375" i="23"/>
  <c r="J375" i="23"/>
  <c r="J374" i="23"/>
  <c r="M374" i="23" s="1"/>
  <c r="J373" i="23"/>
  <c r="M373" i="23" s="1"/>
  <c r="J372" i="23"/>
  <c r="M372" i="23" s="1"/>
  <c r="M371" i="23"/>
  <c r="J371" i="23"/>
  <c r="J370" i="23"/>
  <c r="M370" i="23" s="1"/>
  <c r="J369" i="23"/>
  <c r="M369" i="23" s="1"/>
  <c r="J368" i="23"/>
  <c r="M368" i="23" s="1"/>
  <c r="M367" i="23"/>
  <c r="J367" i="23"/>
  <c r="J366" i="23"/>
  <c r="M366" i="23" s="1"/>
  <c r="J365" i="23"/>
  <c r="M365" i="23" s="1"/>
  <c r="J364" i="23"/>
  <c r="M364" i="23" s="1"/>
  <c r="M363" i="23"/>
  <c r="J363" i="23"/>
  <c r="J362" i="23"/>
  <c r="M362" i="23" s="1"/>
  <c r="J361" i="23"/>
  <c r="M361" i="23" s="1"/>
  <c r="J360" i="23"/>
  <c r="M360" i="23" s="1"/>
  <c r="J359" i="23"/>
  <c r="M359" i="23" s="1"/>
  <c r="J358" i="23"/>
  <c r="M358" i="23" s="1"/>
  <c r="M357" i="23"/>
  <c r="J357" i="23"/>
  <c r="J356" i="23"/>
  <c r="M356" i="23" s="1"/>
  <c r="J355" i="23"/>
  <c r="M355" i="23" s="1"/>
  <c r="M354" i="23"/>
  <c r="M353" i="23"/>
  <c r="M352" i="23"/>
  <c r="M351" i="23"/>
  <c r="M350" i="23"/>
  <c r="M349" i="23"/>
  <c r="M348" i="23"/>
  <c r="M347" i="23"/>
  <c r="M346" i="23"/>
  <c r="M345" i="23"/>
  <c r="M344" i="23"/>
  <c r="M343" i="23"/>
  <c r="O342" i="23"/>
  <c r="N342" i="23"/>
  <c r="O341" i="23"/>
  <c r="N341" i="23"/>
  <c r="O340" i="23"/>
  <c r="N340" i="23"/>
  <c r="O339" i="23"/>
  <c r="N339" i="23"/>
  <c r="O338" i="23"/>
  <c r="N338" i="23"/>
  <c r="O337" i="23"/>
  <c r="N337" i="23"/>
  <c r="O336" i="23"/>
  <c r="N336" i="23"/>
  <c r="O335" i="23"/>
  <c r="N335" i="23"/>
  <c r="O334" i="23"/>
  <c r="N334" i="23"/>
  <c r="O333" i="23"/>
  <c r="N333" i="23"/>
  <c r="O332" i="23"/>
  <c r="N332" i="23"/>
  <c r="O331" i="23"/>
  <c r="N331" i="23"/>
  <c r="M330" i="23"/>
  <c r="M329" i="23"/>
  <c r="M328" i="23"/>
  <c r="M327" i="23"/>
  <c r="M326" i="23"/>
  <c r="M325" i="23"/>
  <c r="M324" i="23"/>
  <c r="M323" i="23"/>
  <c r="M322" i="23"/>
  <c r="M321" i="23"/>
  <c r="M320" i="23"/>
  <c r="M319" i="23"/>
  <c r="J318" i="23"/>
  <c r="M318" i="23" s="1"/>
  <c r="M317" i="23"/>
  <c r="J317" i="23"/>
  <c r="J316" i="23"/>
  <c r="M316" i="23" s="1"/>
  <c r="J315" i="23"/>
  <c r="M315" i="23" s="1"/>
  <c r="J314" i="23"/>
  <c r="M314" i="23" s="1"/>
  <c r="M313" i="23"/>
  <c r="J313" i="23"/>
  <c r="J312" i="23"/>
  <c r="M312" i="23" s="1"/>
  <c r="J311" i="23"/>
  <c r="M311" i="23" s="1"/>
  <c r="J310" i="23"/>
  <c r="M310" i="23" s="1"/>
  <c r="M309" i="23"/>
  <c r="J309" i="23"/>
  <c r="J308" i="23"/>
  <c r="M308" i="23" s="1"/>
  <c r="J307" i="23"/>
  <c r="M307" i="23" s="1"/>
  <c r="L306" i="23"/>
  <c r="O306" i="23" s="1"/>
  <c r="K306" i="23"/>
  <c r="N306" i="23" s="1"/>
  <c r="L305" i="23"/>
  <c r="O305" i="23" s="1"/>
  <c r="K305" i="23"/>
  <c r="N305" i="23" s="1"/>
  <c r="L304" i="23"/>
  <c r="O304" i="23" s="1"/>
  <c r="K304" i="23"/>
  <c r="N304" i="23" s="1"/>
  <c r="N303" i="23"/>
  <c r="L303" i="23"/>
  <c r="O303" i="23" s="1"/>
  <c r="K303" i="23"/>
  <c r="L302" i="23"/>
  <c r="O302" i="23" s="1"/>
  <c r="K302" i="23"/>
  <c r="N302" i="23" s="1"/>
  <c r="N301" i="23"/>
  <c r="L301" i="23"/>
  <c r="O301" i="23" s="1"/>
  <c r="K301" i="23"/>
  <c r="L300" i="23"/>
  <c r="O300" i="23" s="1"/>
  <c r="K300" i="23"/>
  <c r="N300" i="23" s="1"/>
  <c r="L299" i="23"/>
  <c r="O299" i="23" s="1"/>
  <c r="K299" i="23"/>
  <c r="N299" i="23" s="1"/>
  <c r="L298" i="23"/>
  <c r="O298" i="23" s="1"/>
  <c r="K298" i="23"/>
  <c r="N298" i="23" s="1"/>
  <c r="L297" i="23"/>
  <c r="O297" i="23" s="1"/>
  <c r="K297" i="23"/>
  <c r="N297" i="23" s="1"/>
  <c r="L296" i="23"/>
  <c r="O296" i="23" s="1"/>
  <c r="K296" i="23"/>
  <c r="N296" i="23" s="1"/>
  <c r="N295" i="23"/>
  <c r="L295" i="23"/>
  <c r="O295" i="23" s="1"/>
  <c r="K295" i="23"/>
  <c r="J294" i="23"/>
  <c r="M294" i="23" s="1"/>
  <c r="M293" i="23"/>
  <c r="J293" i="23"/>
  <c r="J292" i="23"/>
  <c r="M292" i="23" s="1"/>
  <c r="J291" i="23"/>
  <c r="M291" i="23" s="1"/>
  <c r="J290" i="23"/>
  <c r="M290" i="23" s="1"/>
  <c r="M289" i="23"/>
  <c r="J289" i="23"/>
  <c r="J288" i="23"/>
  <c r="M288" i="23" s="1"/>
  <c r="J287" i="23"/>
  <c r="M287" i="23" s="1"/>
  <c r="J286" i="23"/>
  <c r="M286" i="23" s="1"/>
  <c r="M285" i="23"/>
  <c r="J285" i="23"/>
  <c r="J284" i="23"/>
  <c r="M284" i="23" s="1"/>
  <c r="J283" i="23"/>
  <c r="M283" i="23" s="1"/>
  <c r="J282" i="23"/>
  <c r="M282" i="23" s="1"/>
  <c r="M281" i="23"/>
  <c r="J281" i="23"/>
  <c r="J280" i="23"/>
  <c r="M280" i="23" s="1"/>
  <c r="J279" i="23"/>
  <c r="M279" i="23" s="1"/>
  <c r="J278" i="23"/>
  <c r="M278" i="23" s="1"/>
  <c r="M277" i="23"/>
  <c r="J277" i="23"/>
  <c r="J276" i="23"/>
  <c r="M276" i="23" s="1"/>
  <c r="J275" i="23"/>
  <c r="M275" i="23" s="1"/>
  <c r="J274" i="23"/>
  <c r="M274" i="23" s="1"/>
  <c r="M273" i="23"/>
  <c r="J273" i="23"/>
  <c r="J272" i="23"/>
  <c r="M272" i="23" s="1"/>
  <c r="J271" i="23"/>
  <c r="M271" i="23" s="1"/>
  <c r="J270" i="23"/>
  <c r="M270" i="23" s="1"/>
  <c r="M269" i="23"/>
  <c r="J269" i="23"/>
  <c r="J268" i="23"/>
  <c r="M268" i="23" s="1"/>
  <c r="J267" i="23"/>
  <c r="M267" i="23" s="1"/>
  <c r="J266" i="23"/>
  <c r="M266" i="23" s="1"/>
  <c r="M265" i="23"/>
  <c r="J265" i="23"/>
  <c r="J264" i="23"/>
  <c r="M264" i="23" s="1"/>
  <c r="J263" i="23"/>
  <c r="M263" i="23" s="1"/>
  <c r="J262" i="23"/>
  <c r="M262" i="23" s="1"/>
  <c r="M261" i="23"/>
  <c r="J261" i="23"/>
  <c r="J260" i="23"/>
  <c r="M260" i="23" s="1"/>
  <c r="J259" i="23"/>
  <c r="M259" i="23" s="1"/>
  <c r="L258" i="23"/>
  <c r="O258" i="23" s="1"/>
  <c r="K258" i="23"/>
  <c r="N258" i="23" s="1"/>
  <c r="L257" i="23"/>
  <c r="O257" i="23" s="1"/>
  <c r="K257" i="23"/>
  <c r="N257" i="23" s="1"/>
  <c r="L256" i="23"/>
  <c r="O256" i="23" s="1"/>
  <c r="K256" i="23"/>
  <c r="N256" i="23" s="1"/>
  <c r="L255" i="23"/>
  <c r="O255" i="23" s="1"/>
  <c r="K255" i="23"/>
  <c r="N255" i="23" s="1"/>
  <c r="O254" i="23"/>
  <c r="L254" i="23"/>
  <c r="K254" i="23"/>
  <c r="N254" i="23" s="1"/>
  <c r="N253" i="23"/>
  <c r="L253" i="23"/>
  <c r="O253" i="23" s="1"/>
  <c r="K253" i="23"/>
  <c r="O252" i="23"/>
  <c r="N252" i="23"/>
  <c r="L252" i="23"/>
  <c r="K252" i="23"/>
  <c r="N251" i="23"/>
  <c r="L251" i="23"/>
  <c r="O251" i="23" s="1"/>
  <c r="K251" i="23"/>
  <c r="L250" i="23"/>
  <c r="O250" i="23" s="1"/>
  <c r="K250" i="23"/>
  <c r="N250" i="23" s="1"/>
  <c r="L249" i="23"/>
  <c r="O249" i="23" s="1"/>
  <c r="K249" i="23"/>
  <c r="N249" i="23" s="1"/>
  <c r="L248" i="23"/>
  <c r="O248" i="23" s="1"/>
  <c r="K248" i="23"/>
  <c r="N248" i="23" s="1"/>
  <c r="L247" i="23"/>
  <c r="O247" i="23" s="1"/>
  <c r="K247" i="23"/>
  <c r="N247" i="23" s="1"/>
  <c r="L246" i="23"/>
  <c r="O246" i="23" s="1"/>
  <c r="K246" i="23"/>
  <c r="N246" i="23" s="1"/>
  <c r="L245" i="23"/>
  <c r="O245" i="23" s="1"/>
  <c r="K245" i="23"/>
  <c r="N245" i="23" s="1"/>
  <c r="L244" i="23"/>
  <c r="O244" i="23" s="1"/>
  <c r="K244" i="23"/>
  <c r="N244" i="23" s="1"/>
  <c r="L243" i="23"/>
  <c r="O243" i="23" s="1"/>
  <c r="K243" i="23"/>
  <c r="N243" i="23" s="1"/>
  <c r="L242" i="23"/>
  <c r="O242" i="23" s="1"/>
  <c r="K242" i="23"/>
  <c r="N242" i="23" s="1"/>
  <c r="L241" i="23"/>
  <c r="O241" i="23" s="1"/>
  <c r="K241" i="23"/>
  <c r="N241" i="23" s="1"/>
  <c r="L240" i="23"/>
  <c r="O240" i="23" s="1"/>
  <c r="K240" i="23"/>
  <c r="N240" i="23" s="1"/>
  <c r="N239" i="23"/>
  <c r="L239" i="23"/>
  <c r="O239" i="23" s="1"/>
  <c r="K239" i="23"/>
  <c r="L238" i="23"/>
  <c r="O238" i="23" s="1"/>
  <c r="K238" i="23"/>
  <c r="N238" i="23" s="1"/>
  <c r="L237" i="23"/>
  <c r="O237" i="23" s="1"/>
  <c r="K237" i="23"/>
  <c r="N237" i="23" s="1"/>
  <c r="L236" i="23"/>
  <c r="O236" i="23" s="1"/>
  <c r="K236" i="23"/>
  <c r="N236" i="23" s="1"/>
  <c r="L235" i="23"/>
  <c r="O235" i="23" s="1"/>
  <c r="K235" i="23"/>
  <c r="N235" i="23" s="1"/>
  <c r="L234" i="23"/>
  <c r="O234" i="23" s="1"/>
  <c r="K234" i="23"/>
  <c r="N234" i="23" s="1"/>
  <c r="L233" i="23"/>
  <c r="O233" i="23" s="1"/>
  <c r="K233" i="23"/>
  <c r="N233" i="23" s="1"/>
  <c r="J232" i="23"/>
  <c r="M232" i="23" s="1"/>
  <c r="J231" i="23"/>
  <c r="M231" i="23" s="1"/>
  <c r="J230" i="23"/>
  <c r="M230" i="23" s="1"/>
  <c r="J229" i="23"/>
  <c r="M229" i="23" s="1"/>
  <c r="J228" i="23"/>
  <c r="M228" i="23" s="1"/>
  <c r="J227" i="23"/>
  <c r="M227" i="23" s="1"/>
  <c r="J226" i="23"/>
  <c r="M226" i="23" s="1"/>
  <c r="M225" i="23"/>
  <c r="J225" i="23"/>
  <c r="J224" i="23"/>
  <c r="M224" i="23" s="1"/>
  <c r="J223" i="23"/>
  <c r="M223" i="23" s="1"/>
  <c r="J222" i="23"/>
  <c r="M222" i="23" s="1"/>
  <c r="J221" i="23"/>
  <c r="M221" i="23" s="1"/>
  <c r="J220" i="23"/>
  <c r="M220" i="23" s="1"/>
  <c r="J219" i="23"/>
  <c r="M219" i="23" s="1"/>
  <c r="J218" i="23"/>
  <c r="M218" i="23" s="1"/>
  <c r="M217" i="23"/>
  <c r="J217" i="23"/>
  <c r="J216" i="23"/>
  <c r="M216" i="23" s="1"/>
  <c r="J215" i="23"/>
  <c r="M215" i="23" s="1"/>
  <c r="J214" i="23"/>
  <c r="M214" i="23" s="1"/>
  <c r="J213" i="23"/>
  <c r="M213" i="23" s="1"/>
  <c r="J212" i="23"/>
  <c r="M212" i="23" s="1"/>
  <c r="J211" i="23"/>
  <c r="M211" i="23" s="1"/>
  <c r="J210" i="23"/>
  <c r="M210" i="23" s="1"/>
  <c r="M209" i="23"/>
  <c r="J209" i="23"/>
  <c r="O208" i="23"/>
  <c r="L208" i="23"/>
  <c r="J208" i="23"/>
  <c r="M208" i="23" s="1"/>
  <c r="L207" i="23"/>
  <c r="O207" i="23" s="1"/>
  <c r="J207" i="23"/>
  <c r="M207" i="23" s="1"/>
  <c r="L206" i="23"/>
  <c r="O206" i="23" s="1"/>
  <c r="J206" i="23"/>
  <c r="M206" i="23" s="1"/>
  <c r="L205" i="23"/>
  <c r="O205" i="23" s="1"/>
  <c r="J205" i="23"/>
  <c r="M205" i="23" s="1"/>
  <c r="L204" i="23"/>
  <c r="O204" i="23" s="1"/>
  <c r="J204" i="23"/>
  <c r="M204" i="23" s="1"/>
  <c r="M203" i="23"/>
  <c r="L203" i="23"/>
  <c r="O203" i="23" s="1"/>
  <c r="J203" i="23"/>
  <c r="L202" i="23"/>
  <c r="O202" i="23" s="1"/>
  <c r="K202" i="23"/>
  <c r="N202" i="23" s="1"/>
  <c r="N201" i="23"/>
  <c r="L201" i="23"/>
  <c r="O201" i="23" s="1"/>
  <c r="K201" i="23"/>
  <c r="L200" i="23"/>
  <c r="O200" i="23" s="1"/>
  <c r="K200" i="23"/>
  <c r="N200" i="23" s="1"/>
  <c r="L199" i="23"/>
  <c r="O199" i="23" s="1"/>
  <c r="K199" i="23"/>
  <c r="N199" i="23" s="1"/>
  <c r="N198" i="23"/>
  <c r="L198" i="23"/>
  <c r="O198" i="23" s="1"/>
  <c r="K198" i="23"/>
  <c r="N197" i="23"/>
  <c r="L197" i="23"/>
  <c r="O197" i="23" s="1"/>
  <c r="K197" i="23"/>
  <c r="L196" i="23"/>
  <c r="O196" i="23" s="1"/>
  <c r="K196" i="23"/>
  <c r="N196" i="23" s="1"/>
  <c r="N195" i="23"/>
  <c r="L195" i="23"/>
  <c r="O195" i="23" s="1"/>
  <c r="K195" i="23"/>
  <c r="N194" i="23"/>
  <c r="L194" i="23"/>
  <c r="O194" i="23" s="1"/>
  <c r="K194" i="23"/>
  <c r="L193" i="23"/>
  <c r="O193" i="23" s="1"/>
  <c r="K193" i="23"/>
  <c r="N193" i="23" s="1"/>
  <c r="L192" i="23"/>
  <c r="O192" i="23" s="1"/>
  <c r="K192" i="23"/>
  <c r="N192" i="23" s="1"/>
  <c r="N191" i="23"/>
  <c r="L191" i="23"/>
  <c r="O191" i="23" s="1"/>
  <c r="K191" i="23"/>
  <c r="L190" i="23"/>
  <c r="O190" i="23" s="1"/>
  <c r="J190" i="23"/>
  <c r="M190" i="23" s="1"/>
  <c r="L189" i="23"/>
  <c r="O189" i="23" s="1"/>
  <c r="J189" i="23"/>
  <c r="M189" i="23" s="1"/>
  <c r="O188" i="23"/>
  <c r="L188" i="23"/>
  <c r="J188" i="23"/>
  <c r="M188" i="23" s="1"/>
  <c r="L187" i="23"/>
  <c r="O187" i="23" s="1"/>
  <c r="J187" i="23"/>
  <c r="M187" i="23" s="1"/>
  <c r="L186" i="23"/>
  <c r="O186" i="23" s="1"/>
  <c r="J186" i="23"/>
  <c r="M186" i="23" s="1"/>
  <c r="L185" i="23"/>
  <c r="O185" i="23" s="1"/>
  <c r="J185" i="23"/>
  <c r="M185" i="23" s="1"/>
  <c r="L184" i="23"/>
  <c r="O184" i="23" s="1"/>
  <c r="J184" i="23"/>
  <c r="M184" i="23" s="1"/>
  <c r="L183" i="23"/>
  <c r="O183" i="23" s="1"/>
  <c r="J183" i="23"/>
  <c r="M183" i="23" s="1"/>
  <c r="L182" i="23"/>
  <c r="O182" i="23" s="1"/>
  <c r="J182" i="23"/>
  <c r="M182" i="23" s="1"/>
  <c r="L181" i="23"/>
  <c r="O181" i="23" s="1"/>
  <c r="J181" i="23"/>
  <c r="M181" i="23" s="1"/>
  <c r="O180" i="23"/>
  <c r="L180" i="23"/>
  <c r="J180" i="23"/>
  <c r="M180" i="23" s="1"/>
  <c r="L179" i="23"/>
  <c r="O179" i="23" s="1"/>
  <c r="J179" i="23"/>
  <c r="M179" i="23" s="1"/>
  <c r="J178" i="23"/>
  <c r="M178" i="23" s="1"/>
  <c r="J177" i="23"/>
  <c r="M177" i="23" s="1"/>
  <c r="J176" i="23"/>
  <c r="M176" i="23" s="1"/>
  <c r="M175" i="23"/>
  <c r="J175" i="23"/>
  <c r="J174" i="23"/>
  <c r="M174" i="23" s="1"/>
  <c r="J173" i="23"/>
  <c r="M173" i="23" s="1"/>
  <c r="J172" i="23"/>
  <c r="M172" i="23" s="1"/>
  <c r="J171" i="23"/>
  <c r="M171" i="23" s="1"/>
  <c r="J170" i="23"/>
  <c r="M170" i="23" s="1"/>
  <c r="J169" i="23"/>
  <c r="M169" i="23" s="1"/>
  <c r="J168" i="23"/>
  <c r="M168" i="23" s="1"/>
  <c r="J167" i="23"/>
  <c r="M167" i="23" s="1"/>
  <c r="M166" i="23"/>
  <c r="J166" i="23"/>
  <c r="J165" i="23"/>
  <c r="M165" i="23" s="1"/>
  <c r="J164" i="23"/>
  <c r="M164" i="23" s="1"/>
  <c r="J163" i="23"/>
  <c r="M163" i="23" s="1"/>
  <c r="M162" i="23"/>
  <c r="J162" i="23"/>
  <c r="J161" i="23"/>
  <c r="M161" i="23" s="1"/>
  <c r="J160" i="23"/>
  <c r="M160" i="23" s="1"/>
  <c r="J159" i="23"/>
  <c r="M159" i="23" s="1"/>
  <c r="M158" i="23"/>
  <c r="J158" i="23"/>
  <c r="J157" i="23"/>
  <c r="M157" i="23" s="1"/>
  <c r="J156" i="23"/>
  <c r="M156" i="23" s="1"/>
  <c r="L155" i="23"/>
  <c r="O155" i="23" s="1"/>
  <c r="K155" i="23"/>
  <c r="N155" i="23" s="1"/>
  <c r="L154" i="23"/>
  <c r="O154" i="23" s="1"/>
  <c r="K154" i="23"/>
  <c r="N154" i="23" s="1"/>
  <c r="O153" i="23"/>
  <c r="L153" i="23"/>
  <c r="K153" i="23"/>
  <c r="N153" i="23" s="1"/>
  <c r="L152" i="23"/>
  <c r="O152" i="23" s="1"/>
  <c r="K152" i="23"/>
  <c r="N152" i="23" s="1"/>
  <c r="L151" i="23"/>
  <c r="O151" i="23" s="1"/>
  <c r="K151" i="23"/>
  <c r="N151" i="23" s="1"/>
  <c r="N150" i="23"/>
  <c r="L150" i="23"/>
  <c r="O150" i="23" s="1"/>
  <c r="K150" i="23"/>
  <c r="L149" i="23"/>
  <c r="O149" i="23" s="1"/>
  <c r="K149" i="23"/>
  <c r="N149" i="23" s="1"/>
  <c r="N148" i="23"/>
  <c r="L148" i="23"/>
  <c r="O148" i="23" s="1"/>
  <c r="K148" i="23"/>
  <c r="L147" i="23"/>
  <c r="O147" i="23" s="1"/>
  <c r="K147" i="23"/>
  <c r="N147" i="23" s="1"/>
  <c r="L146" i="23"/>
  <c r="O146" i="23" s="1"/>
  <c r="K146" i="23"/>
  <c r="N146" i="23" s="1"/>
  <c r="L145" i="23"/>
  <c r="O145" i="23" s="1"/>
  <c r="K145" i="23"/>
  <c r="N145" i="23" s="1"/>
  <c r="L144" i="23"/>
  <c r="O144" i="23" s="1"/>
  <c r="K144" i="23"/>
  <c r="N144" i="23" s="1"/>
  <c r="L143" i="23"/>
  <c r="O143" i="23" s="1"/>
  <c r="K143" i="23"/>
  <c r="N143" i="23" s="1"/>
  <c r="N142" i="23"/>
  <c r="L142" i="23"/>
  <c r="O142" i="23" s="1"/>
  <c r="K142" i="23"/>
  <c r="L141" i="23"/>
  <c r="O141" i="23" s="1"/>
  <c r="K141" i="23"/>
  <c r="N141" i="23" s="1"/>
  <c r="N140" i="23"/>
  <c r="L140" i="23"/>
  <c r="O140" i="23" s="1"/>
  <c r="K140" i="23"/>
  <c r="L139" i="23"/>
  <c r="O139" i="23" s="1"/>
  <c r="K139" i="23"/>
  <c r="N139" i="23" s="1"/>
  <c r="L138" i="23"/>
  <c r="O138" i="23" s="1"/>
  <c r="K138" i="23"/>
  <c r="N138" i="23" s="1"/>
  <c r="L137" i="23"/>
  <c r="O137" i="23" s="1"/>
  <c r="K137" i="23"/>
  <c r="N137" i="23" s="1"/>
  <c r="L136" i="23"/>
  <c r="O136" i="23" s="1"/>
  <c r="K136" i="23"/>
  <c r="N136" i="23" s="1"/>
  <c r="O135" i="23"/>
  <c r="L135" i="23"/>
  <c r="K135" i="23"/>
  <c r="N135" i="23" s="1"/>
  <c r="N134" i="23"/>
  <c r="L134" i="23"/>
  <c r="O134" i="23" s="1"/>
  <c r="K134" i="23"/>
  <c r="L133" i="23"/>
  <c r="O133" i="23" s="1"/>
  <c r="K133" i="23"/>
  <c r="N133" i="23" s="1"/>
  <c r="J132" i="23"/>
  <c r="M132" i="23" s="1"/>
  <c r="J131" i="23"/>
  <c r="M131" i="23" s="1"/>
  <c r="M130" i="23"/>
  <c r="J130" i="23"/>
  <c r="J129" i="23"/>
  <c r="M129" i="23" s="1"/>
  <c r="M128" i="23"/>
  <c r="J128" i="23"/>
  <c r="J127" i="23"/>
  <c r="M127" i="23" s="1"/>
  <c r="J126" i="23"/>
  <c r="M126" i="23" s="1"/>
  <c r="J125" i="23"/>
  <c r="M125" i="23" s="1"/>
  <c r="J124" i="23"/>
  <c r="M124" i="23" s="1"/>
  <c r="J123" i="23"/>
  <c r="M123" i="23" s="1"/>
  <c r="M122" i="23"/>
  <c r="J122" i="23"/>
  <c r="J121" i="23"/>
  <c r="M121" i="23" s="1"/>
  <c r="M120" i="23"/>
  <c r="J120" i="23"/>
  <c r="J119" i="23"/>
  <c r="M119" i="23" s="1"/>
  <c r="J118" i="23"/>
  <c r="M118" i="23" s="1"/>
  <c r="J117" i="23"/>
  <c r="M117" i="23" s="1"/>
  <c r="J116" i="23"/>
  <c r="M116" i="23" s="1"/>
  <c r="J115" i="23"/>
  <c r="M115" i="23" s="1"/>
  <c r="M114" i="23"/>
  <c r="J114" i="23"/>
  <c r="J113" i="23"/>
  <c r="M113" i="23" s="1"/>
  <c r="M112" i="23"/>
  <c r="J112" i="23"/>
  <c r="J111" i="23"/>
  <c r="M111" i="23" s="1"/>
  <c r="J110" i="23"/>
  <c r="M110" i="23" s="1"/>
  <c r="O109" i="23"/>
  <c r="L109" i="23"/>
  <c r="K109" i="23"/>
  <c r="N109" i="23" s="1"/>
  <c r="L108" i="23"/>
  <c r="O108" i="23" s="1"/>
  <c r="K108" i="23"/>
  <c r="N108" i="23" s="1"/>
  <c r="L107" i="23"/>
  <c r="O107" i="23" s="1"/>
  <c r="K107" i="23"/>
  <c r="N107" i="23" s="1"/>
  <c r="L106" i="23"/>
  <c r="O106" i="23" s="1"/>
  <c r="K106" i="23"/>
  <c r="N106" i="23" s="1"/>
  <c r="L105" i="23"/>
  <c r="O105" i="23" s="1"/>
  <c r="K105" i="23"/>
  <c r="N105" i="23" s="1"/>
  <c r="L104" i="23"/>
  <c r="O104" i="23" s="1"/>
  <c r="K104" i="23"/>
  <c r="N104" i="23" s="1"/>
  <c r="O103" i="23"/>
  <c r="L103" i="23"/>
  <c r="K103" i="23"/>
  <c r="N103" i="23" s="1"/>
  <c r="L102" i="23"/>
  <c r="O102" i="23" s="1"/>
  <c r="K102" i="23"/>
  <c r="N102" i="23" s="1"/>
  <c r="O101" i="23"/>
  <c r="L101" i="23"/>
  <c r="K101" i="23"/>
  <c r="N101" i="23" s="1"/>
  <c r="L100" i="23"/>
  <c r="O100" i="23" s="1"/>
  <c r="K100" i="23"/>
  <c r="N100" i="23" s="1"/>
  <c r="L99" i="23"/>
  <c r="O99" i="23" s="1"/>
  <c r="K99" i="23"/>
  <c r="N99" i="23" s="1"/>
  <c r="L98" i="23"/>
  <c r="O98" i="23" s="1"/>
  <c r="K98" i="23"/>
  <c r="N98" i="23" s="1"/>
  <c r="L97" i="23"/>
  <c r="O97" i="23" s="1"/>
  <c r="K97" i="23"/>
  <c r="N97" i="23" s="1"/>
  <c r="L96" i="23"/>
  <c r="O96" i="23" s="1"/>
  <c r="K96" i="23"/>
  <c r="N96" i="23" s="1"/>
  <c r="O95" i="23"/>
  <c r="L95" i="23"/>
  <c r="K95" i="23"/>
  <c r="N95" i="23" s="1"/>
  <c r="N94" i="23"/>
  <c r="L94" i="23"/>
  <c r="O94" i="23" s="1"/>
  <c r="K94" i="23"/>
  <c r="L93" i="23"/>
  <c r="O93" i="23" s="1"/>
  <c r="K93" i="23"/>
  <c r="N93" i="23" s="1"/>
  <c r="L92" i="23"/>
  <c r="O92" i="23" s="1"/>
  <c r="K92" i="23"/>
  <c r="N92" i="23" s="1"/>
  <c r="O91" i="23"/>
  <c r="L91" i="23"/>
  <c r="K91" i="23"/>
  <c r="N91" i="23" s="1"/>
  <c r="N90" i="23"/>
  <c r="L90" i="23"/>
  <c r="O90" i="23" s="1"/>
  <c r="K90" i="23"/>
  <c r="L89" i="23"/>
  <c r="O89" i="23" s="1"/>
  <c r="K89" i="23"/>
  <c r="N89" i="23" s="1"/>
  <c r="L88" i="23"/>
  <c r="O88" i="23" s="1"/>
  <c r="K88" i="23"/>
  <c r="N88" i="23" s="1"/>
  <c r="O87" i="23"/>
  <c r="L87" i="23"/>
  <c r="K87" i="23"/>
  <c r="N87" i="23" s="1"/>
  <c r="N86" i="23"/>
  <c r="L86" i="23"/>
  <c r="O86" i="23" s="1"/>
  <c r="K86" i="23"/>
  <c r="L85" i="23"/>
  <c r="O85" i="23" s="1"/>
  <c r="K85" i="23"/>
  <c r="N85" i="23" s="1"/>
  <c r="L84" i="23"/>
  <c r="O84" i="23" s="1"/>
  <c r="K84" i="23"/>
  <c r="N84" i="23" s="1"/>
  <c r="O83" i="23"/>
  <c r="L83" i="23"/>
  <c r="K83" i="23"/>
  <c r="N83" i="23" s="1"/>
  <c r="N82" i="23"/>
  <c r="L82" i="23"/>
  <c r="O82" i="23" s="1"/>
  <c r="K82" i="23"/>
  <c r="L81" i="23"/>
  <c r="O81" i="23" s="1"/>
  <c r="K81" i="23"/>
  <c r="N81" i="23" s="1"/>
  <c r="L80" i="23"/>
  <c r="O80" i="23" s="1"/>
  <c r="K80" i="23"/>
  <c r="N80" i="23" s="1"/>
  <c r="O79" i="23"/>
  <c r="L79" i="23"/>
  <c r="K79" i="23"/>
  <c r="N79" i="23" s="1"/>
  <c r="N78" i="23"/>
  <c r="L78" i="23"/>
  <c r="O78" i="23" s="1"/>
  <c r="K78" i="23"/>
  <c r="L77" i="23"/>
  <c r="O77" i="23" s="1"/>
  <c r="K77" i="23"/>
  <c r="N77" i="23" s="1"/>
  <c r="L76" i="23"/>
  <c r="O76" i="23" s="1"/>
  <c r="K76" i="23"/>
  <c r="N76" i="23" s="1"/>
  <c r="O75" i="23"/>
  <c r="L75" i="23"/>
  <c r="K75" i="23"/>
  <c r="N75" i="23" s="1"/>
  <c r="N74" i="23"/>
  <c r="L74" i="23"/>
  <c r="O74" i="23" s="1"/>
  <c r="K74" i="23"/>
  <c r="L73" i="23"/>
  <c r="O73" i="23" s="1"/>
  <c r="K73" i="23"/>
  <c r="N73" i="23" s="1"/>
  <c r="L72" i="23"/>
  <c r="O72" i="23" s="1"/>
  <c r="K72" i="23"/>
  <c r="N72" i="23" s="1"/>
  <c r="O71" i="23"/>
  <c r="L71" i="23"/>
  <c r="K71" i="23"/>
  <c r="N71" i="23" s="1"/>
  <c r="N70" i="23"/>
  <c r="L70" i="23"/>
  <c r="O70" i="23" s="1"/>
  <c r="K70" i="23"/>
  <c r="L69" i="23"/>
  <c r="O69" i="23" s="1"/>
  <c r="K69" i="23"/>
  <c r="N69" i="23" s="1"/>
  <c r="L68" i="23"/>
  <c r="O68" i="23" s="1"/>
  <c r="K68" i="23"/>
  <c r="N68" i="23" s="1"/>
  <c r="O67" i="23"/>
  <c r="L67" i="23"/>
  <c r="K67" i="23"/>
  <c r="N67" i="23" s="1"/>
  <c r="N66" i="23"/>
  <c r="L66" i="23"/>
  <c r="O66" i="23" s="1"/>
  <c r="K66" i="23"/>
  <c r="L65" i="23"/>
  <c r="O65" i="23" s="1"/>
  <c r="K65" i="23"/>
  <c r="N65" i="23" s="1"/>
  <c r="L64" i="23"/>
  <c r="O64" i="23" s="1"/>
  <c r="K64" i="23"/>
  <c r="N64" i="23" s="1"/>
  <c r="O63" i="23"/>
  <c r="L63" i="23"/>
  <c r="K63" i="23"/>
  <c r="N63" i="23" s="1"/>
  <c r="N62" i="23"/>
  <c r="L62" i="23"/>
  <c r="O62" i="23" s="1"/>
  <c r="K62" i="23"/>
  <c r="X632" i="16"/>
  <c r="W632" i="16"/>
  <c r="X631" i="16"/>
  <c r="W631" i="16"/>
  <c r="X630" i="16"/>
  <c r="W630" i="16"/>
  <c r="X629" i="16"/>
  <c r="W629" i="16"/>
  <c r="X628" i="16"/>
  <c r="W628" i="16"/>
  <c r="X627" i="16"/>
  <c r="W627" i="16"/>
  <c r="X626" i="16"/>
  <c r="W626" i="16"/>
  <c r="X625" i="16"/>
  <c r="W625" i="16"/>
  <c r="X624" i="16"/>
  <c r="W624" i="16"/>
  <c r="X623" i="16"/>
  <c r="W623" i="16"/>
  <c r="X622" i="16"/>
  <c r="W622" i="16"/>
  <c r="X621" i="16"/>
  <c r="W621" i="16"/>
  <c r="X354" i="16"/>
  <c r="W354" i="16"/>
  <c r="X353" i="16"/>
  <c r="W353" i="16"/>
  <c r="X352" i="16"/>
  <c r="W352" i="16"/>
  <c r="X351" i="16"/>
  <c r="W351" i="16"/>
  <c r="X350" i="16"/>
  <c r="W350" i="16"/>
  <c r="X349" i="16"/>
  <c r="W349" i="16"/>
  <c r="X348" i="16"/>
  <c r="W348" i="16"/>
  <c r="X347" i="16"/>
  <c r="W347" i="16"/>
  <c r="X346" i="16"/>
  <c r="W346" i="16"/>
  <c r="X345" i="16"/>
  <c r="W345" i="16"/>
  <c r="X344" i="16"/>
  <c r="W344" i="16"/>
  <c r="X343" i="16"/>
  <c r="W343" i="16"/>
  <c r="V342" i="16"/>
  <c r="V341" i="16"/>
  <c r="V340" i="16"/>
  <c r="V339" i="16"/>
  <c r="V338" i="16"/>
  <c r="V337" i="16"/>
  <c r="V336" i="16"/>
  <c r="V335" i="16"/>
  <c r="V334" i="16"/>
  <c r="V333" i="16"/>
  <c r="V332" i="16"/>
  <c r="V331" i="16"/>
  <c r="X330" i="16"/>
  <c r="W330" i="16"/>
  <c r="X329" i="16"/>
  <c r="W329" i="16"/>
  <c r="X328" i="16"/>
  <c r="W328" i="16"/>
  <c r="X327" i="16"/>
  <c r="W327" i="16"/>
  <c r="X326" i="16"/>
  <c r="W326" i="16"/>
  <c r="X325" i="16"/>
  <c r="W325" i="16"/>
  <c r="X324" i="16"/>
  <c r="W324" i="16"/>
  <c r="X323" i="16"/>
  <c r="W323" i="16"/>
  <c r="X322" i="16"/>
  <c r="W322" i="16"/>
  <c r="X321" i="16"/>
  <c r="W321" i="16"/>
  <c r="X320" i="16"/>
  <c r="W320" i="16"/>
  <c r="X319" i="16"/>
  <c r="W319" i="16"/>
  <c r="AD312" i="17"/>
  <c r="X312" i="17"/>
  <c r="W312" i="17"/>
  <c r="AD311" i="17"/>
  <c r="X311" i="17"/>
  <c r="W311" i="17"/>
  <c r="AD310" i="17"/>
  <c r="X310" i="17"/>
  <c r="W310" i="17"/>
  <c r="AD309" i="17"/>
  <c r="X309" i="17"/>
  <c r="W309" i="17"/>
  <c r="AD308" i="17"/>
  <c r="X308" i="17"/>
  <c r="W308" i="17"/>
  <c r="AD307" i="17"/>
  <c r="X307" i="17"/>
  <c r="W307" i="17"/>
  <c r="AD306" i="17"/>
  <c r="X306" i="17"/>
  <c r="W306" i="17"/>
  <c r="AD305" i="17"/>
  <c r="X305" i="17"/>
  <c r="W305" i="17"/>
  <c r="AD304" i="17"/>
  <c r="X304" i="17"/>
  <c r="W304" i="17"/>
  <c r="AD303" i="17"/>
  <c r="X303" i="17"/>
  <c r="W303" i="17"/>
  <c r="AD302" i="17"/>
  <c r="X302" i="17"/>
  <c r="W302" i="17"/>
  <c r="AD301" i="17"/>
  <c r="AD11" i="23" s="1"/>
  <c r="X301" i="17"/>
  <c r="W301" i="17"/>
  <c r="AD145" i="17"/>
  <c r="X145" i="17"/>
  <c r="W145" i="17"/>
  <c r="AD144" i="17"/>
  <c r="X144" i="17"/>
  <c r="W144" i="17"/>
  <c r="AD143" i="17"/>
  <c r="X143" i="17"/>
  <c r="W143" i="17"/>
  <c r="AD142" i="17"/>
  <c r="X142" i="17"/>
  <c r="W142" i="17"/>
  <c r="AD141" i="17"/>
  <c r="X141" i="17"/>
  <c r="W141" i="17"/>
  <c r="AD140" i="17"/>
  <c r="X140" i="17"/>
  <c r="W140" i="17"/>
  <c r="AD139" i="17"/>
  <c r="X139" i="17"/>
  <c r="W139" i="17"/>
  <c r="AD138" i="17"/>
  <c r="X138" i="17"/>
  <c r="W138" i="17"/>
  <c r="AD137" i="17"/>
  <c r="X137" i="17"/>
  <c r="W137" i="17"/>
  <c r="AD136" i="17"/>
  <c r="X136" i="17"/>
  <c r="W136" i="17"/>
  <c r="AD135" i="17"/>
  <c r="X135" i="17"/>
  <c r="W135" i="17"/>
  <c r="AD134" i="17"/>
  <c r="X134" i="17"/>
  <c r="W134" i="17"/>
  <c r="AE133" i="17"/>
  <c r="V133" i="17"/>
  <c r="AB133" i="17" s="1"/>
  <c r="AE132" i="17"/>
  <c r="V132" i="17"/>
  <c r="AB132" i="17" s="1"/>
  <c r="AE131" i="17"/>
  <c r="V131" i="17"/>
  <c r="AB131" i="17" s="1"/>
  <c r="AE130" i="17"/>
  <c r="V130" i="17"/>
  <c r="AB130" i="17" s="1"/>
  <c r="AE129" i="17"/>
  <c r="V129" i="17"/>
  <c r="AB129" i="17" s="1"/>
  <c r="AE128" i="17"/>
  <c r="V128" i="17"/>
  <c r="AB128" i="17" s="1"/>
  <c r="AE127" i="17"/>
  <c r="V127" i="17"/>
  <c r="AB127" i="17" s="1"/>
  <c r="AE126" i="17"/>
  <c r="V126" i="17"/>
  <c r="AB126" i="17" s="1"/>
  <c r="AE125" i="17"/>
  <c r="V125" i="17"/>
  <c r="AB125" i="17" s="1"/>
  <c r="AE124" i="17"/>
  <c r="AB124" i="17"/>
  <c r="V124" i="17"/>
  <c r="AE123" i="17"/>
  <c r="V123" i="17"/>
  <c r="AB123" i="17" s="1"/>
  <c r="AE122" i="17"/>
  <c r="V122" i="17"/>
  <c r="AB122" i="17" s="1"/>
  <c r="AD121" i="17"/>
  <c r="X121" i="17"/>
  <c r="W121" i="17"/>
  <c r="AD120" i="17"/>
  <c r="X120" i="17"/>
  <c r="W120" i="17"/>
  <c r="AD119" i="17"/>
  <c r="X119" i="17"/>
  <c r="W119" i="17"/>
  <c r="AD118" i="17"/>
  <c r="X118" i="17"/>
  <c r="W118" i="17"/>
  <c r="AD117" i="17"/>
  <c r="X117" i="17"/>
  <c r="W117" i="17"/>
  <c r="AD116" i="17"/>
  <c r="X116" i="17"/>
  <c r="W116" i="17"/>
  <c r="AD115" i="17"/>
  <c r="X115" i="17"/>
  <c r="W115" i="17"/>
  <c r="AD114" i="17"/>
  <c r="X114" i="17"/>
  <c r="W114" i="17"/>
  <c r="AD113" i="17"/>
  <c r="X113" i="17"/>
  <c r="W113" i="17"/>
  <c r="AD112" i="17"/>
  <c r="X112" i="17"/>
  <c r="W112" i="17"/>
  <c r="AD111" i="17"/>
  <c r="X111" i="17"/>
  <c r="W111" i="17"/>
  <c r="AD110" i="17"/>
  <c r="X110" i="17"/>
  <c r="W110" i="17"/>
  <c r="X25" i="17"/>
  <c r="W25" i="17"/>
  <c r="V25" i="17"/>
  <c r="AB25" i="17" s="1"/>
  <c r="X25" i="16"/>
  <c r="W25" i="16"/>
  <c r="V25" i="16"/>
  <c r="X24" i="17"/>
  <c r="W24" i="17"/>
  <c r="V24" i="17"/>
  <c r="AB24" i="17" s="1"/>
  <c r="X24" i="16"/>
  <c r="W24" i="16"/>
  <c r="V24" i="16"/>
  <c r="X23" i="17"/>
  <c r="W23" i="17"/>
  <c r="V23" i="17"/>
  <c r="AB23" i="17" s="1"/>
  <c r="X23" i="16"/>
  <c r="W23" i="16"/>
  <c r="V23" i="16"/>
  <c r="X22" i="17"/>
  <c r="W22" i="17"/>
  <c r="V22" i="17"/>
  <c r="AB22" i="17" s="1"/>
  <c r="X22" i="16"/>
  <c r="W22" i="16"/>
  <c r="V22" i="16"/>
  <c r="X21" i="17"/>
  <c r="W21" i="17"/>
  <c r="V21" i="17"/>
  <c r="AB21" i="17" s="1"/>
  <c r="X21" i="16"/>
  <c r="W21" i="16"/>
  <c r="V21" i="16"/>
  <c r="X20" i="17"/>
  <c r="W20" i="17"/>
  <c r="V20" i="17"/>
  <c r="AB20" i="17" s="1"/>
  <c r="X20" i="16"/>
  <c r="W20" i="16"/>
  <c r="V20" i="16"/>
  <c r="X19" i="17"/>
  <c r="W19" i="17"/>
  <c r="V19" i="17"/>
  <c r="AB19" i="17" s="1"/>
  <c r="X19" i="16"/>
  <c r="W19" i="16"/>
  <c r="V19" i="16"/>
  <c r="X18" i="17"/>
  <c r="W18" i="17"/>
  <c r="V18" i="17"/>
  <c r="AB18" i="17" s="1"/>
  <c r="X18" i="16"/>
  <c r="W18" i="16"/>
  <c r="V18" i="16"/>
  <c r="X17" i="17"/>
  <c r="W17" i="17"/>
  <c r="V17" i="17"/>
  <c r="AB17" i="17" s="1"/>
  <c r="X17" i="16"/>
  <c r="W17" i="16"/>
  <c r="V17" i="16"/>
  <c r="X16" i="17"/>
  <c r="W16" i="17"/>
  <c r="AC16" i="17" s="1"/>
  <c r="V16" i="17"/>
  <c r="AB16" i="17" s="1"/>
  <c r="X16" i="16"/>
  <c r="W16" i="16"/>
  <c r="V16" i="16"/>
  <c r="X15" i="17"/>
  <c r="W15" i="17"/>
  <c r="AC15" i="17" s="1"/>
  <c r="V15" i="17"/>
  <c r="AB15" i="17" s="1"/>
  <c r="X15" i="16"/>
  <c r="W15" i="16"/>
  <c r="V15" i="16"/>
  <c r="X14" i="17"/>
  <c r="W14" i="17"/>
  <c r="AC14" i="17" s="1"/>
  <c r="V14" i="17"/>
  <c r="AB14" i="17" s="1"/>
  <c r="X14" i="16"/>
  <c r="W14" i="16"/>
  <c r="V14" i="16"/>
  <c r="X13" i="17"/>
  <c r="W13" i="17"/>
  <c r="AC13" i="17" s="1"/>
  <c r="V13" i="17"/>
  <c r="AB13" i="17" s="1"/>
  <c r="X13" i="16"/>
  <c r="W13" i="16"/>
  <c r="V13" i="16"/>
  <c r="X12" i="17"/>
  <c r="W12" i="17"/>
  <c r="AC12" i="17" s="1"/>
  <c r="V12" i="17"/>
  <c r="AB12" i="17" s="1"/>
  <c r="X12" i="16"/>
  <c r="W12" i="16"/>
  <c r="V12" i="16"/>
  <c r="X11" i="17"/>
  <c r="W11" i="17"/>
  <c r="V11" i="17"/>
  <c r="AB11" i="17" s="1"/>
  <c r="X11" i="16"/>
  <c r="W11" i="16"/>
  <c r="V11" i="16"/>
  <c r="X10" i="17"/>
  <c r="W10" i="17"/>
  <c r="V10" i="17"/>
  <c r="AB10" i="17" s="1"/>
  <c r="X10" i="16"/>
  <c r="W10" i="16"/>
  <c r="V10" i="16"/>
  <c r="X9" i="17"/>
  <c r="W9" i="17"/>
  <c r="V9" i="17"/>
  <c r="AB9" i="17" s="1"/>
  <c r="X9" i="16"/>
  <c r="W9" i="16"/>
  <c r="V9" i="16"/>
  <c r="AC8" i="17"/>
  <c r="X8" i="17"/>
  <c r="W8" i="17"/>
  <c r="V8" i="17"/>
  <c r="AB8" i="17" s="1"/>
  <c r="X8" i="16"/>
  <c r="W8" i="16"/>
  <c r="V8" i="16"/>
  <c r="X7" i="17"/>
  <c r="W7" i="17"/>
  <c r="AC7" i="17" s="1"/>
  <c r="V7" i="17"/>
  <c r="AB7" i="17" s="1"/>
  <c r="X7" i="16"/>
  <c r="W7" i="16"/>
  <c r="V7" i="16"/>
  <c r="X6" i="17"/>
  <c r="W6" i="17"/>
  <c r="V6" i="17"/>
  <c r="AB6" i="17" s="1"/>
  <c r="X6" i="16"/>
  <c r="W6" i="16"/>
  <c r="V6" i="16"/>
  <c r="X5" i="17"/>
  <c r="W5" i="17"/>
  <c r="V5" i="17"/>
  <c r="AB5" i="17" s="1"/>
  <c r="X5" i="16"/>
  <c r="W5" i="16"/>
  <c r="V5" i="16"/>
  <c r="X4" i="17"/>
  <c r="W4" i="17"/>
  <c r="V4" i="17"/>
  <c r="AB4" i="17" s="1"/>
  <c r="X4" i="16"/>
  <c r="W4" i="16"/>
  <c r="V4" i="16"/>
  <c r="X3" i="17"/>
  <c r="W3" i="17"/>
  <c r="V3" i="17"/>
  <c r="AB3" i="17" s="1"/>
  <c r="X3" i="16"/>
  <c r="W3" i="16"/>
  <c r="V3" i="16"/>
  <c r="X2" i="17"/>
  <c r="W2" i="17"/>
  <c r="V2" i="17"/>
  <c r="AB2" i="17" s="1"/>
  <c r="X2" i="16"/>
  <c r="W2" i="16"/>
  <c r="V2" i="16"/>
  <c r="M40" i="5"/>
  <c r="M39" i="5"/>
  <c r="M38" i="5"/>
  <c r="AJ9" i="17"/>
  <c r="AI9" i="17"/>
  <c r="AJ2" i="17"/>
  <c r="AI2" i="17"/>
  <c r="AD300" i="17"/>
  <c r="AD299" i="17"/>
  <c r="AD298" i="17"/>
  <c r="AD297" i="17"/>
  <c r="AD296" i="17"/>
  <c r="AD295" i="17"/>
  <c r="AD294" i="17"/>
  <c r="AD293" i="17"/>
  <c r="AD292" i="17"/>
  <c r="AD291" i="17"/>
  <c r="AD290" i="17"/>
  <c r="AD289" i="17"/>
  <c r="AD288" i="17"/>
  <c r="AD287" i="17"/>
  <c r="AD286" i="17"/>
  <c r="AD285" i="17"/>
  <c r="AD284" i="17"/>
  <c r="AD283" i="17"/>
  <c r="AD282" i="17"/>
  <c r="AD281" i="17"/>
  <c r="AD280" i="17"/>
  <c r="AD279" i="17"/>
  <c r="AD278" i="17"/>
  <c r="AD277" i="17"/>
  <c r="AD276" i="17"/>
  <c r="AD275" i="17"/>
  <c r="AD274" i="17"/>
  <c r="AD273" i="17"/>
  <c r="AD272" i="17"/>
  <c r="AD271" i="17"/>
  <c r="AD270" i="17"/>
  <c r="AD269" i="17"/>
  <c r="AD268" i="17"/>
  <c r="AD267" i="17"/>
  <c r="AD266" i="17"/>
  <c r="AD265" i="17"/>
  <c r="AD264" i="17"/>
  <c r="AD263" i="17"/>
  <c r="AD262" i="17"/>
  <c r="AD261" i="17"/>
  <c r="AD260" i="17"/>
  <c r="AD259" i="17"/>
  <c r="AD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E109" i="17"/>
  <c r="AE108" i="17"/>
  <c r="AE107" i="17"/>
  <c r="AE106" i="17"/>
  <c r="AE105" i="17"/>
  <c r="AE104" i="17"/>
  <c r="AE103" i="17"/>
  <c r="AE102" i="17"/>
  <c r="AE101" i="17"/>
  <c r="AE100" i="17"/>
  <c r="AE99" i="17"/>
  <c r="AE98" i="17"/>
  <c r="AE97" i="17"/>
  <c r="AE96" i="17"/>
  <c r="AE95" i="17"/>
  <c r="AE94" i="17"/>
  <c r="AE93" i="17"/>
  <c r="AE92" i="17"/>
  <c r="AE91" i="17"/>
  <c r="AE90" i="17"/>
  <c r="AE89" i="17"/>
  <c r="AE88" i="17"/>
  <c r="AE87" i="17"/>
  <c r="AE86" i="17"/>
  <c r="AE85" i="17"/>
  <c r="AE84" i="17"/>
  <c r="AE83" i="17"/>
  <c r="AE82" i="17"/>
  <c r="AE81" i="17"/>
  <c r="AE80" i="17"/>
  <c r="AE79" i="17"/>
  <c r="AE78" i="17"/>
  <c r="AE77" i="17"/>
  <c r="AE76" i="17"/>
  <c r="AE75" i="17"/>
  <c r="AE74" i="17"/>
  <c r="AE73" i="17"/>
  <c r="AE72" i="17"/>
  <c r="AE71" i="17"/>
  <c r="AE70" i="17"/>
  <c r="AE69" i="17"/>
  <c r="AE68" i="17"/>
  <c r="AE67" i="17"/>
  <c r="AE66" i="17"/>
  <c r="AE65" i="17"/>
  <c r="AE64" i="17"/>
  <c r="AE63" i="17"/>
  <c r="AE62" i="17"/>
  <c r="V312" i="17"/>
  <c r="AB312" i="17" s="1"/>
  <c r="V311" i="17"/>
  <c r="AB311" i="17" s="1"/>
  <c r="V310" i="17"/>
  <c r="AB310" i="17" s="1"/>
  <c r="V309" i="17"/>
  <c r="AB309" i="17" s="1"/>
  <c r="V308" i="17"/>
  <c r="AB308" i="17" s="1"/>
  <c r="V307" i="17"/>
  <c r="AB307" i="17" s="1"/>
  <c r="V306" i="17"/>
  <c r="AB306" i="17" s="1"/>
  <c r="V305" i="17"/>
  <c r="AB305" i="17" s="1"/>
  <c r="V304" i="17"/>
  <c r="AB304" i="17" s="1"/>
  <c r="V303" i="17"/>
  <c r="AB303" i="17" s="1"/>
  <c r="V302" i="17"/>
  <c r="AB302" i="17" s="1"/>
  <c r="V301" i="17"/>
  <c r="AB301" i="17" s="1"/>
  <c r="X300" i="17"/>
  <c r="W300" i="17"/>
  <c r="V300" i="17"/>
  <c r="AB300" i="17" s="1"/>
  <c r="X299" i="17"/>
  <c r="W299" i="17"/>
  <c r="V299" i="17"/>
  <c r="AB299" i="17" s="1"/>
  <c r="X298" i="17"/>
  <c r="W298" i="17"/>
  <c r="V298" i="17"/>
  <c r="AB298" i="17" s="1"/>
  <c r="X297" i="17"/>
  <c r="W297" i="17"/>
  <c r="V297" i="17"/>
  <c r="AB297" i="17" s="1"/>
  <c r="X296" i="17"/>
  <c r="W296" i="17"/>
  <c r="V296" i="17"/>
  <c r="AB296" i="17" s="1"/>
  <c r="X295" i="17"/>
  <c r="W295" i="17"/>
  <c r="V295" i="17"/>
  <c r="AB295" i="17" s="1"/>
  <c r="X294" i="17"/>
  <c r="W294" i="17"/>
  <c r="V294" i="17"/>
  <c r="AB294" i="17" s="1"/>
  <c r="X293" i="17"/>
  <c r="W293" i="17"/>
  <c r="V293" i="17"/>
  <c r="AB293" i="17" s="1"/>
  <c r="X292" i="17"/>
  <c r="W292" i="17"/>
  <c r="V292" i="17"/>
  <c r="AB292" i="17" s="1"/>
  <c r="X291" i="17"/>
  <c r="W291" i="17"/>
  <c r="V291" i="17"/>
  <c r="AB291" i="17" s="1"/>
  <c r="X290" i="17"/>
  <c r="W290" i="17"/>
  <c r="V290" i="17"/>
  <c r="AB290" i="17" s="1"/>
  <c r="X289" i="17"/>
  <c r="W289" i="17"/>
  <c r="V289" i="17"/>
  <c r="AB289" i="17" s="1"/>
  <c r="X288" i="17"/>
  <c r="W288" i="17"/>
  <c r="V288" i="17"/>
  <c r="AB288" i="17" s="1"/>
  <c r="X287" i="17"/>
  <c r="W287" i="17"/>
  <c r="V287" i="17"/>
  <c r="AB287" i="17" s="1"/>
  <c r="X286" i="17"/>
  <c r="W286" i="17"/>
  <c r="V286" i="17"/>
  <c r="AB286" i="17" s="1"/>
  <c r="X285" i="17"/>
  <c r="W285" i="17"/>
  <c r="V285" i="17"/>
  <c r="AB285" i="17" s="1"/>
  <c r="X284" i="17"/>
  <c r="W284" i="17"/>
  <c r="V284" i="17"/>
  <c r="AB284" i="17" s="1"/>
  <c r="X283" i="17"/>
  <c r="W283" i="17"/>
  <c r="V283" i="17"/>
  <c r="AB283" i="17" s="1"/>
  <c r="X282" i="17"/>
  <c r="W282" i="17"/>
  <c r="V282" i="17"/>
  <c r="AB282" i="17" s="1"/>
  <c r="X281" i="17"/>
  <c r="W281" i="17"/>
  <c r="V281" i="17"/>
  <c r="AB281" i="17" s="1"/>
  <c r="X280" i="17"/>
  <c r="W280" i="17"/>
  <c r="V280" i="17"/>
  <c r="AB280" i="17" s="1"/>
  <c r="X279" i="17"/>
  <c r="W279" i="17"/>
  <c r="V279" i="17"/>
  <c r="AB279" i="17" s="1"/>
  <c r="X278" i="17"/>
  <c r="W278" i="17"/>
  <c r="V278" i="17"/>
  <c r="AB278" i="17" s="1"/>
  <c r="X277" i="17"/>
  <c r="W277" i="17"/>
  <c r="V277" i="17"/>
  <c r="AB277" i="17" s="1"/>
  <c r="X276" i="17"/>
  <c r="W276" i="17"/>
  <c r="V276" i="17"/>
  <c r="AB276" i="17" s="1"/>
  <c r="X275" i="17"/>
  <c r="W275" i="17"/>
  <c r="V275" i="17"/>
  <c r="AB275" i="17" s="1"/>
  <c r="X274" i="17"/>
  <c r="W274" i="17"/>
  <c r="V274" i="17"/>
  <c r="AB274" i="17" s="1"/>
  <c r="X273" i="17"/>
  <c r="W273" i="17"/>
  <c r="V273" i="17"/>
  <c r="AB273" i="17" s="1"/>
  <c r="X272" i="17"/>
  <c r="W272" i="17"/>
  <c r="V272" i="17"/>
  <c r="AB272" i="17" s="1"/>
  <c r="X271" i="17"/>
  <c r="W271" i="17"/>
  <c r="V271" i="17"/>
  <c r="AB271" i="17" s="1"/>
  <c r="X270" i="17"/>
  <c r="W270" i="17"/>
  <c r="V270" i="17"/>
  <c r="AB270" i="17" s="1"/>
  <c r="X269" i="17"/>
  <c r="W269" i="17"/>
  <c r="V269" i="17"/>
  <c r="AB269" i="17" s="1"/>
  <c r="X268" i="17"/>
  <c r="W268" i="17"/>
  <c r="V268" i="17"/>
  <c r="AB268" i="17" s="1"/>
  <c r="X267" i="17"/>
  <c r="W267" i="17"/>
  <c r="V267" i="17"/>
  <c r="AB267" i="17" s="1"/>
  <c r="X266" i="17"/>
  <c r="W266" i="17"/>
  <c r="V266" i="17"/>
  <c r="AB266" i="17" s="1"/>
  <c r="X265" i="17"/>
  <c r="W265" i="17"/>
  <c r="V265" i="17"/>
  <c r="AB265" i="17" s="1"/>
  <c r="X264" i="17"/>
  <c r="W264" i="17"/>
  <c r="V264" i="17"/>
  <c r="AB264" i="17" s="1"/>
  <c r="X263" i="17"/>
  <c r="W263" i="17"/>
  <c r="V263" i="17"/>
  <c r="AB263" i="17" s="1"/>
  <c r="X262" i="17"/>
  <c r="W262" i="17"/>
  <c r="V262" i="17"/>
  <c r="AB262" i="17" s="1"/>
  <c r="X261" i="17"/>
  <c r="W261" i="17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AB258" i="17" s="1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V145" i="17"/>
  <c r="AB145" i="17" s="1"/>
  <c r="V144" i="17"/>
  <c r="AB144" i="17" s="1"/>
  <c r="V143" i="17"/>
  <c r="AB143" i="17" s="1"/>
  <c r="V142" i="17"/>
  <c r="AB142" i="17" s="1"/>
  <c r="V141" i="17"/>
  <c r="AB141" i="17" s="1"/>
  <c r="V140" i="17"/>
  <c r="AB140" i="17" s="1"/>
  <c r="V139" i="17"/>
  <c r="AB139" i="17" s="1"/>
  <c r="V138" i="17"/>
  <c r="AB138" i="17" s="1"/>
  <c r="V137" i="17"/>
  <c r="AB137" i="17" s="1"/>
  <c r="V136" i="17"/>
  <c r="AB136" i="17" s="1"/>
  <c r="V135" i="17"/>
  <c r="AB135" i="17" s="1"/>
  <c r="V134" i="17"/>
  <c r="AB134" i="17" s="1"/>
  <c r="X133" i="17"/>
  <c r="W133" i="17"/>
  <c r="AC133" i="17" s="1"/>
  <c r="X132" i="17"/>
  <c r="W132" i="17"/>
  <c r="AC132" i="17" s="1"/>
  <c r="X131" i="17"/>
  <c r="W131" i="17"/>
  <c r="AC131" i="17" s="1"/>
  <c r="X130" i="17"/>
  <c r="W130" i="17"/>
  <c r="AC130" i="17" s="1"/>
  <c r="X129" i="17"/>
  <c r="W129" i="17"/>
  <c r="AC129" i="17" s="1"/>
  <c r="X128" i="17"/>
  <c r="W128" i="17"/>
  <c r="AC128" i="17" s="1"/>
  <c r="X127" i="17"/>
  <c r="W127" i="17"/>
  <c r="AC127" i="17" s="1"/>
  <c r="X126" i="17"/>
  <c r="W126" i="17"/>
  <c r="AC126" i="17" s="1"/>
  <c r="X125" i="17"/>
  <c r="W125" i="17"/>
  <c r="AC125" i="17" s="1"/>
  <c r="X124" i="17"/>
  <c r="W124" i="17"/>
  <c r="AC124" i="17" s="1"/>
  <c r="X123" i="17"/>
  <c r="W123" i="17"/>
  <c r="AC123" i="17" s="1"/>
  <c r="X122" i="17"/>
  <c r="W122" i="17"/>
  <c r="AC122" i="17" s="1"/>
  <c r="V121" i="17"/>
  <c r="AB121" i="17" s="1"/>
  <c r="V120" i="17"/>
  <c r="AB120" i="17" s="1"/>
  <c r="V119" i="17"/>
  <c r="AB119" i="17" s="1"/>
  <c r="V118" i="17"/>
  <c r="AB118" i="17" s="1"/>
  <c r="V117" i="17"/>
  <c r="AB117" i="17" s="1"/>
  <c r="V116" i="17"/>
  <c r="AB116" i="17" s="1"/>
  <c r="V115" i="17"/>
  <c r="AB115" i="17" s="1"/>
  <c r="V114" i="17"/>
  <c r="AB114" i="17" s="1"/>
  <c r="V113" i="17"/>
  <c r="AB113" i="17" s="1"/>
  <c r="V112" i="17"/>
  <c r="AB112" i="17" s="1"/>
  <c r="V111" i="17"/>
  <c r="AB111" i="17" s="1"/>
  <c r="V110" i="17"/>
  <c r="AB110" i="17" s="1"/>
  <c r="X109" i="17"/>
  <c r="W109" i="17"/>
  <c r="AC109" i="17" s="1"/>
  <c r="V109" i="17"/>
  <c r="AB109" i="17" s="1"/>
  <c r="X108" i="17"/>
  <c r="W108" i="17"/>
  <c r="V108" i="17"/>
  <c r="AB108" i="17" s="1"/>
  <c r="X107" i="17"/>
  <c r="W107" i="17"/>
  <c r="AC107" i="17" s="1"/>
  <c r="V107" i="17"/>
  <c r="AB107" i="17" s="1"/>
  <c r="X106" i="17"/>
  <c r="W106" i="17"/>
  <c r="V106" i="17"/>
  <c r="AB106" i="17" s="1"/>
  <c r="X105" i="17"/>
  <c r="W105" i="17"/>
  <c r="AC105" i="17" s="1"/>
  <c r="V105" i="17"/>
  <c r="AB105" i="17" s="1"/>
  <c r="X104" i="17"/>
  <c r="W104" i="17"/>
  <c r="V104" i="17"/>
  <c r="AB104" i="17" s="1"/>
  <c r="X103" i="17"/>
  <c r="W103" i="17"/>
  <c r="AC103" i="17" s="1"/>
  <c r="V103" i="17"/>
  <c r="AB103" i="17" s="1"/>
  <c r="X102" i="17"/>
  <c r="W102" i="17"/>
  <c r="V102" i="17"/>
  <c r="AB102" i="17" s="1"/>
  <c r="X101" i="17"/>
  <c r="W101" i="17"/>
  <c r="AC101" i="17" s="1"/>
  <c r="V101" i="17"/>
  <c r="AB101" i="17" s="1"/>
  <c r="X100" i="17"/>
  <c r="W100" i="17"/>
  <c r="V100" i="17"/>
  <c r="AB100" i="17" s="1"/>
  <c r="X99" i="17"/>
  <c r="W99" i="17"/>
  <c r="AC99" i="17" s="1"/>
  <c r="V99" i="17"/>
  <c r="AB99" i="17" s="1"/>
  <c r="X98" i="17"/>
  <c r="W98" i="17"/>
  <c r="V98" i="17"/>
  <c r="AB98" i="17" s="1"/>
  <c r="X97" i="17"/>
  <c r="W97" i="17"/>
  <c r="AC97" i="17" s="1"/>
  <c r="V97" i="17"/>
  <c r="AB97" i="17" s="1"/>
  <c r="X96" i="17"/>
  <c r="W96" i="17"/>
  <c r="V96" i="17"/>
  <c r="AB96" i="17" s="1"/>
  <c r="X95" i="17"/>
  <c r="W95" i="17"/>
  <c r="AC95" i="17" s="1"/>
  <c r="V95" i="17"/>
  <c r="AB95" i="17" s="1"/>
  <c r="X94" i="17"/>
  <c r="W94" i="17"/>
  <c r="V94" i="17"/>
  <c r="AB94" i="17" s="1"/>
  <c r="X93" i="17"/>
  <c r="W93" i="17"/>
  <c r="AC93" i="17" s="1"/>
  <c r="V93" i="17"/>
  <c r="AB93" i="17" s="1"/>
  <c r="X92" i="17"/>
  <c r="W92" i="17"/>
  <c r="V92" i="17"/>
  <c r="AB92" i="17" s="1"/>
  <c r="X91" i="17"/>
  <c r="W91" i="17"/>
  <c r="AC91" i="17" s="1"/>
  <c r="V91" i="17"/>
  <c r="AB91" i="17" s="1"/>
  <c r="X90" i="17"/>
  <c r="W90" i="17"/>
  <c r="V90" i="17"/>
  <c r="AB90" i="17" s="1"/>
  <c r="X89" i="17"/>
  <c r="W89" i="17"/>
  <c r="AC89" i="17" s="1"/>
  <c r="V89" i="17"/>
  <c r="AB89" i="17" s="1"/>
  <c r="X88" i="17"/>
  <c r="W88" i="17"/>
  <c r="V88" i="17"/>
  <c r="AB88" i="17" s="1"/>
  <c r="X87" i="17"/>
  <c r="W87" i="17"/>
  <c r="AC87" i="17" s="1"/>
  <c r="V87" i="17"/>
  <c r="AB87" i="17" s="1"/>
  <c r="X86" i="17"/>
  <c r="W86" i="17"/>
  <c r="V86" i="17"/>
  <c r="AB86" i="17" s="1"/>
  <c r="X85" i="17"/>
  <c r="W85" i="17"/>
  <c r="AC85" i="17" s="1"/>
  <c r="V85" i="17"/>
  <c r="AB85" i="17" s="1"/>
  <c r="X84" i="17"/>
  <c r="W84" i="17"/>
  <c r="V84" i="17"/>
  <c r="AB84" i="17" s="1"/>
  <c r="X83" i="17"/>
  <c r="W83" i="17"/>
  <c r="AC83" i="17" s="1"/>
  <c r="V83" i="17"/>
  <c r="AB83" i="17" s="1"/>
  <c r="X82" i="17"/>
  <c r="W82" i="17"/>
  <c r="V82" i="17"/>
  <c r="AB82" i="17" s="1"/>
  <c r="X81" i="17"/>
  <c r="W81" i="17"/>
  <c r="AC81" i="17" s="1"/>
  <c r="V81" i="17"/>
  <c r="AB81" i="17" s="1"/>
  <c r="X80" i="17"/>
  <c r="W80" i="17"/>
  <c r="V80" i="17"/>
  <c r="AB80" i="17" s="1"/>
  <c r="X79" i="17"/>
  <c r="W79" i="17"/>
  <c r="AC79" i="17" s="1"/>
  <c r="V79" i="17"/>
  <c r="AB79" i="17" s="1"/>
  <c r="X78" i="17"/>
  <c r="W78" i="17"/>
  <c r="V78" i="17"/>
  <c r="AB78" i="17" s="1"/>
  <c r="X77" i="17"/>
  <c r="W77" i="17"/>
  <c r="AC77" i="17" s="1"/>
  <c r="V77" i="17"/>
  <c r="AB77" i="17" s="1"/>
  <c r="X76" i="17"/>
  <c r="W76" i="17"/>
  <c r="V76" i="17"/>
  <c r="AB76" i="17" s="1"/>
  <c r="X75" i="17"/>
  <c r="W75" i="17"/>
  <c r="AC75" i="17" s="1"/>
  <c r="V75" i="17"/>
  <c r="AB75" i="17" s="1"/>
  <c r="X74" i="17"/>
  <c r="W74" i="17"/>
  <c r="V74" i="17"/>
  <c r="AB74" i="17" s="1"/>
  <c r="X73" i="17"/>
  <c r="W73" i="17"/>
  <c r="AC73" i="17" s="1"/>
  <c r="V73" i="17"/>
  <c r="AB73" i="17" s="1"/>
  <c r="X72" i="17"/>
  <c r="W72" i="17"/>
  <c r="V72" i="17"/>
  <c r="AB72" i="17" s="1"/>
  <c r="X71" i="17"/>
  <c r="W71" i="17"/>
  <c r="AC71" i="17" s="1"/>
  <c r="V71" i="17"/>
  <c r="AB71" i="17" s="1"/>
  <c r="X70" i="17"/>
  <c r="W70" i="17"/>
  <c r="V70" i="17"/>
  <c r="AB70" i="17" s="1"/>
  <c r="X69" i="17"/>
  <c r="W69" i="17"/>
  <c r="AC69" i="17" s="1"/>
  <c r="V69" i="17"/>
  <c r="AB69" i="17" s="1"/>
  <c r="X68" i="17"/>
  <c r="W68" i="17"/>
  <c r="V68" i="17"/>
  <c r="AB68" i="17" s="1"/>
  <c r="X67" i="17"/>
  <c r="W67" i="17"/>
  <c r="AC67" i="17" s="1"/>
  <c r="V67" i="17"/>
  <c r="AB67" i="17" s="1"/>
  <c r="X66" i="17"/>
  <c r="W66" i="17"/>
  <c r="V66" i="17"/>
  <c r="AB66" i="17" s="1"/>
  <c r="X65" i="17"/>
  <c r="W65" i="17"/>
  <c r="AC65" i="17" s="1"/>
  <c r="V65" i="17"/>
  <c r="AB65" i="17" s="1"/>
  <c r="X64" i="17"/>
  <c r="W64" i="17"/>
  <c r="V64" i="17"/>
  <c r="AB64" i="17" s="1"/>
  <c r="X63" i="17"/>
  <c r="W63" i="17"/>
  <c r="AC63" i="17" s="1"/>
  <c r="V63" i="17"/>
  <c r="AB63" i="17" s="1"/>
  <c r="X62" i="17"/>
  <c r="W62" i="17"/>
  <c r="V62" i="17"/>
  <c r="AB62" i="17" s="1"/>
  <c r="X61" i="17"/>
  <c r="W61" i="17"/>
  <c r="V61" i="17"/>
  <c r="O61" i="17"/>
  <c r="M61" i="17"/>
  <c r="K61" i="17"/>
  <c r="X60" i="17"/>
  <c r="W60" i="17"/>
  <c r="V60" i="17"/>
  <c r="O60" i="17"/>
  <c r="M60" i="17"/>
  <c r="K60" i="17"/>
  <c r="X59" i="17"/>
  <c r="W59" i="17"/>
  <c r="V59" i="17"/>
  <c r="O59" i="17"/>
  <c r="M59" i="17"/>
  <c r="K59" i="17"/>
  <c r="X58" i="17"/>
  <c r="W58" i="17"/>
  <c r="V58" i="17"/>
  <c r="O58" i="17"/>
  <c r="M58" i="17"/>
  <c r="K58" i="17"/>
  <c r="X57" i="17"/>
  <c r="W57" i="17"/>
  <c r="V57" i="17"/>
  <c r="O57" i="17"/>
  <c r="M57" i="17"/>
  <c r="K57" i="17"/>
  <c r="X56" i="17"/>
  <c r="W56" i="17"/>
  <c r="V56" i="17"/>
  <c r="O56" i="17"/>
  <c r="M56" i="17"/>
  <c r="K56" i="17"/>
  <c r="X55" i="17"/>
  <c r="W55" i="17"/>
  <c r="V55" i="17"/>
  <c r="O55" i="17"/>
  <c r="M55" i="17"/>
  <c r="K55" i="17"/>
  <c r="X54" i="17"/>
  <c r="W54" i="17"/>
  <c r="V54" i="17"/>
  <c r="O54" i="17"/>
  <c r="M54" i="17"/>
  <c r="K54" i="17"/>
  <c r="X53" i="17"/>
  <c r="W53" i="17"/>
  <c r="V53" i="17"/>
  <c r="O53" i="17"/>
  <c r="M53" i="17"/>
  <c r="K53" i="17"/>
  <c r="X52" i="17"/>
  <c r="W52" i="17"/>
  <c r="V52" i="17"/>
  <c r="O52" i="17"/>
  <c r="M52" i="17"/>
  <c r="K52" i="17"/>
  <c r="X51" i="17"/>
  <c r="W51" i="17"/>
  <c r="V51" i="17"/>
  <c r="O51" i="17"/>
  <c r="M51" i="17"/>
  <c r="K51" i="17"/>
  <c r="AB51" i="17" s="1"/>
  <c r="X50" i="17"/>
  <c r="W50" i="17"/>
  <c r="V50" i="17"/>
  <c r="O50" i="17"/>
  <c r="M50" i="17"/>
  <c r="K50" i="17"/>
  <c r="X49" i="17"/>
  <c r="W49" i="17"/>
  <c r="V49" i="17"/>
  <c r="O49" i="17"/>
  <c r="M49" i="17"/>
  <c r="K49" i="17"/>
  <c r="X48" i="17"/>
  <c r="W48" i="17"/>
  <c r="V48" i="17"/>
  <c r="O48" i="17"/>
  <c r="M48" i="17"/>
  <c r="K48" i="17"/>
  <c r="AB48" i="17" s="1"/>
  <c r="X47" i="17"/>
  <c r="W47" i="17"/>
  <c r="V47" i="17"/>
  <c r="O47" i="17"/>
  <c r="M47" i="17"/>
  <c r="K47" i="17"/>
  <c r="AB47" i="17" s="1"/>
  <c r="X46" i="17"/>
  <c r="W46" i="17"/>
  <c r="V46" i="17"/>
  <c r="O46" i="17"/>
  <c r="M46" i="17"/>
  <c r="K46" i="17"/>
  <c r="X45" i="17"/>
  <c r="W45" i="17"/>
  <c r="V45" i="17"/>
  <c r="O45" i="17"/>
  <c r="M45" i="17"/>
  <c r="K45" i="17"/>
  <c r="X44" i="17"/>
  <c r="W44" i="17"/>
  <c r="V44" i="17"/>
  <c r="O44" i="17"/>
  <c r="M44" i="17"/>
  <c r="K44" i="17"/>
  <c r="AB44" i="17" s="1"/>
  <c r="X43" i="17"/>
  <c r="W43" i="17"/>
  <c r="V43" i="17"/>
  <c r="O43" i="17"/>
  <c r="M43" i="17"/>
  <c r="K43" i="17"/>
  <c r="AB43" i="17" s="1"/>
  <c r="X42" i="17"/>
  <c r="W42" i="17"/>
  <c r="V42" i="17"/>
  <c r="O42" i="17"/>
  <c r="M42" i="17"/>
  <c r="K42" i="17"/>
  <c r="X41" i="17"/>
  <c r="W41" i="17"/>
  <c r="V41" i="17"/>
  <c r="O41" i="17"/>
  <c r="M41" i="17"/>
  <c r="K41" i="17"/>
  <c r="X40" i="17"/>
  <c r="W40" i="17"/>
  <c r="V40" i="17"/>
  <c r="O40" i="17"/>
  <c r="M40" i="17"/>
  <c r="K40" i="17"/>
  <c r="AB40" i="17" s="1"/>
  <c r="X39" i="17"/>
  <c r="W39" i="17"/>
  <c r="V39" i="17"/>
  <c r="O39" i="17"/>
  <c r="M39" i="17"/>
  <c r="K39" i="17"/>
  <c r="X38" i="17"/>
  <c r="W38" i="17"/>
  <c r="V38" i="17"/>
  <c r="O38" i="17"/>
  <c r="M38" i="17"/>
  <c r="K38" i="17"/>
  <c r="X37" i="17"/>
  <c r="W37" i="17"/>
  <c r="V37" i="17"/>
  <c r="O37" i="17"/>
  <c r="M37" i="17"/>
  <c r="K37" i="17"/>
  <c r="X36" i="17"/>
  <c r="W36" i="17"/>
  <c r="V36" i="17"/>
  <c r="O36" i="17"/>
  <c r="M36" i="17"/>
  <c r="K36" i="17"/>
  <c r="X35" i="17"/>
  <c r="W35" i="17"/>
  <c r="V35" i="17"/>
  <c r="O35" i="17"/>
  <c r="M35" i="17"/>
  <c r="K35" i="17"/>
  <c r="X34" i="17"/>
  <c r="W34" i="17"/>
  <c r="V34" i="17"/>
  <c r="O34" i="17"/>
  <c r="M34" i="17"/>
  <c r="K34" i="17"/>
  <c r="X33" i="17"/>
  <c r="W33" i="17"/>
  <c r="V33" i="17"/>
  <c r="O33" i="17"/>
  <c r="M33" i="17"/>
  <c r="K33" i="17"/>
  <c r="X32" i="17"/>
  <c r="W32" i="17"/>
  <c r="V32" i="17"/>
  <c r="O32" i="17"/>
  <c r="M32" i="17"/>
  <c r="K32" i="17"/>
  <c r="X31" i="17"/>
  <c r="W31" i="17"/>
  <c r="V31" i="17"/>
  <c r="O31" i="17"/>
  <c r="M31" i="17"/>
  <c r="K31" i="17"/>
  <c r="X30" i="17"/>
  <c r="W30" i="17"/>
  <c r="V30" i="17"/>
  <c r="O30" i="17"/>
  <c r="M30" i="17"/>
  <c r="K30" i="17"/>
  <c r="X29" i="17"/>
  <c r="W29" i="17"/>
  <c r="V29" i="17"/>
  <c r="O29" i="17"/>
  <c r="M29" i="17"/>
  <c r="K29" i="17"/>
  <c r="X28" i="17"/>
  <c r="W28" i="17"/>
  <c r="V28" i="17"/>
  <c r="O28" i="17"/>
  <c r="M28" i="17"/>
  <c r="K28" i="17"/>
  <c r="X27" i="17"/>
  <c r="W27" i="17"/>
  <c r="V27" i="17"/>
  <c r="O27" i="17"/>
  <c r="M27" i="17"/>
  <c r="K27" i="17"/>
  <c r="X26" i="17"/>
  <c r="W26" i="17"/>
  <c r="V26" i="17"/>
  <c r="O26" i="17"/>
  <c r="M26" i="17"/>
  <c r="K26" i="17"/>
  <c r="AE644" i="16"/>
  <c r="AE643" i="16"/>
  <c r="AE642" i="16"/>
  <c r="AE641" i="16"/>
  <c r="AB641" i="16"/>
  <c r="AE640" i="16"/>
  <c r="AE639" i="16"/>
  <c r="AE638" i="16"/>
  <c r="AE637" i="16"/>
  <c r="AE636" i="16"/>
  <c r="AE635" i="16"/>
  <c r="AE634" i="16"/>
  <c r="AE633" i="16"/>
  <c r="AA12" i="23" s="1"/>
  <c r="AE632" i="16"/>
  <c r="AD632" i="16"/>
  <c r="AC632" i="16"/>
  <c r="AE631" i="16"/>
  <c r="AD631" i="16"/>
  <c r="AC631" i="16"/>
  <c r="AE630" i="16"/>
  <c r="AD630" i="16"/>
  <c r="AC630" i="16"/>
  <c r="AE629" i="16"/>
  <c r="AD629" i="16"/>
  <c r="AC629" i="16"/>
  <c r="AE628" i="16"/>
  <c r="AD628" i="16"/>
  <c r="AC628" i="16"/>
  <c r="AE627" i="16"/>
  <c r="AD627" i="16"/>
  <c r="AC627" i="16"/>
  <c r="AE626" i="16"/>
  <c r="AD626" i="16"/>
  <c r="AC626" i="16"/>
  <c r="AE625" i="16"/>
  <c r="AD625" i="16"/>
  <c r="AC625" i="16"/>
  <c r="AE624" i="16"/>
  <c r="AD624" i="16"/>
  <c r="AC624" i="16"/>
  <c r="AE623" i="16"/>
  <c r="AD623" i="16"/>
  <c r="AC623" i="16"/>
  <c r="AE622" i="16"/>
  <c r="AD622" i="16"/>
  <c r="AC622" i="16"/>
  <c r="AE621" i="16"/>
  <c r="AD621" i="16"/>
  <c r="AC621" i="16"/>
  <c r="AE620" i="16"/>
  <c r="AE619" i="16"/>
  <c r="AE618" i="16"/>
  <c r="AE617" i="16"/>
  <c r="AE616" i="16"/>
  <c r="AE615" i="16"/>
  <c r="AE614" i="16"/>
  <c r="AE613" i="16"/>
  <c r="AE612" i="16"/>
  <c r="AE611" i="16"/>
  <c r="AE610" i="16"/>
  <c r="AE609" i="16"/>
  <c r="AE608" i="16"/>
  <c r="AE607" i="16"/>
  <c r="AE606" i="16"/>
  <c r="AE605" i="16"/>
  <c r="AE604" i="16"/>
  <c r="AE603" i="16"/>
  <c r="AE602" i="16"/>
  <c r="AE601" i="16"/>
  <c r="AE600" i="16"/>
  <c r="AE599" i="16"/>
  <c r="AE598" i="16"/>
  <c r="AE597" i="16"/>
  <c r="AE596" i="16"/>
  <c r="AE595" i="16"/>
  <c r="AE594" i="16"/>
  <c r="AE593" i="16"/>
  <c r="AE592" i="16"/>
  <c r="AE591" i="16"/>
  <c r="AE590" i="16"/>
  <c r="AE589" i="16"/>
  <c r="AE588" i="16"/>
  <c r="AE587" i="16"/>
  <c r="AE586" i="16"/>
  <c r="AE585" i="16"/>
  <c r="AE584" i="16"/>
  <c r="AE583" i="16"/>
  <c r="AE582" i="16"/>
  <c r="AE581" i="16"/>
  <c r="AE580" i="16"/>
  <c r="AE579" i="16"/>
  <c r="AE578" i="16"/>
  <c r="AE577" i="16"/>
  <c r="AE576" i="16"/>
  <c r="AE575" i="16"/>
  <c r="AE574" i="16"/>
  <c r="AE573" i="16"/>
  <c r="AE572" i="16"/>
  <c r="AE571" i="16"/>
  <c r="AE570" i="16"/>
  <c r="AE569" i="16"/>
  <c r="AE568" i="16"/>
  <c r="AE567" i="16"/>
  <c r="AE566" i="16"/>
  <c r="AE565" i="16"/>
  <c r="AE564" i="16"/>
  <c r="AE563" i="16"/>
  <c r="AE562" i="16"/>
  <c r="AE561" i="16"/>
  <c r="AE560" i="16"/>
  <c r="AE559" i="16"/>
  <c r="AE558" i="16"/>
  <c r="AE557" i="16"/>
  <c r="AE556" i="16"/>
  <c r="AE555" i="16"/>
  <c r="AE554" i="16"/>
  <c r="AE553" i="16"/>
  <c r="AE552" i="16"/>
  <c r="AE551" i="16"/>
  <c r="AE550" i="16"/>
  <c r="AE549" i="16"/>
  <c r="AE548" i="16"/>
  <c r="AE547" i="16"/>
  <c r="AE546" i="16"/>
  <c r="AE545" i="16"/>
  <c r="AE544" i="16"/>
  <c r="AE543" i="16"/>
  <c r="AE542" i="16"/>
  <c r="AA11" i="23" s="1"/>
  <c r="AE541" i="16"/>
  <c r="AE540" i="16"/>
  <c r="AE539" i="16"/>
  <c r="AE538" i="16"/>
  <c r="AE537" i="16"/>
  <c r="AE536" i="16"/>
  <c r="AE535" i="16"/>
  <c r="AE534" i="16"/>
  <c r="AE533" i="16"/>
  <c r="AE532" i="16"/>
  <c r="AE531" i="16"/>
  <c r="AE530" i="16"/>
  <c r="AE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C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A10" i="23" s="1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D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D354" i="16"/>
  <c r="AC354" i="16"/>
  <c r="AE353" i="16"/>
  <c r="AD353" i="16"/>
  <c r="AC353" i="16"/>
  <c r="AE352" i="16"/>
  <c r="AD352" i="16"/>
  <c r="AC352" i="16"/>
  <c r="AE351" i="16"/>
  <c r="AD351" i="16"/>
  <c r="AC351" i="16"/>
  <c r="AE350" i="16"/>
  <c r="AD350" i="16"/>
  <c r="AC350" i="16"/>
  <c r="AE349" i="16"/>
  <c r="AD349" i="16"/>
  <c r="AC349" i="16"/>
  <c r="AE348" i="16"/>
  <c r="AD348" i="16"/>
  <c r="AC348" i="16"/>
  <c r="AE347" i="16"/>
  <c r="AD347" i="16"/>
  <c r="AC347" i="16"/>
  <c r="AE346" i="16"/>
  <c r="AD346" i="16"/>
  <c r="AC346" i="16"/>
  <c r="AE345" i="16"/>
  <c r="AD345" i="16"/>
  <c r="AC345" i="16"/>
  <c r="AE344" i="16"/>
  <c r="AD344" i="16"/>
  <c r="AC344" i="16"/>
  <c r="AE343" i="16"/>
  <c r="AD343" i="16"/>
  <c r="AC343" i="16"/>
  <c r="AG342" i="16"/>
  <c r="AF342" i="16"/>
  <c r="AB342" i="16"/>
  <c r="AG341" i="16"/>
  <c r="AF341" i="16"/>
  <c r="AB341" i="16"/>
  <c r="AG340" i="16"/>
  <c r="AF340" i="16"/>
  <c r="AB340" i="16"/>
  <c r="AG339" i="16"/>
  <c r="AF339" i="16"/>
  <c r="AB339" i="16"/>
  <c r="AG338" i="16"/>
  <c r="AF338" i="16"/>
  <c r="AB338" i="16"/>
  <c r="AG337" i="16"/>
  <c r="AF337" i="16"/>
  <c r="AB337" i="16"/>
  <c r="AG336" i="16"/>
  <c r="AF336" i="16"/>
  <c r="AB336" i="16"/>
  <c r="AG335" i="16"/>
  <c r="AF335" i="16"/>
  <c r="AB335" i="16"/>
  <c r="AG334" i="16"/>
  <c r="AF334" i="16"/>
  <c r="AB334" i="16"/>
  <c r="AG333" i="16"/>
  <c r="AF333" i="16"/>
  <c r="AB333" i="16"/>
  <c r="AG332" i="16"/>
  <c r="AF332" i="16"/>
  <c r="AC332" i="16"/>
  <c r="AB332" i="16"/>
  <c r="AG331" i="16"/>
  <c r="AF331" i="16"/>
  <c r="AB331" i="16"/>
  <c r="AE330" i="16"/>
  <c r="AD330" i="16"/>
  <c r="AC330" i="16"/>
  <c r="AE329" i="16"/>
  <c r="AD329" i="16"/>
  <c r="AC329" i="16"/>
  <c r="AE328" i="16"/>
  <c r="AD328" i="16"/>
  <c r="AC328" i="16"/>
  <c r="AE327" i="16"/>
  <c r="AD327" i="16"/>
  <c r="AC327" i="16"/>
  <c r="AE326" i="16"/>
  <c r="AD326" i="16"/>
  <c r="AC326" i="16"/>
  <c r="AE325" i="16"/>
  <c r="AD325" i="16"/>
  <c r="AC325" i="16"/>
  <c r="AE324" i="16"/>
  <c r="AD324" i="16"/>
  <c r="AC324" i="16"/>
  <c r="AE323" i="16"/>
  <c r="AD323" i="16"/>
  <c r="AC323" i="16"/>
  <c r="AE322" i="16"/>
  <c r="AD322" i="16"/>
  <c r="AC322" i="16"/>
  <c r="AE321" i="16"/>
  <c r="AD321" i="16"/>
  <c r="AC321" i="16"/>
  <c r="AE320" i="16"/>
  <c r="AD320" i="16"/>
  <c r="AC320" i="16"/>
  <c r="AE319" i="16"/>
  <c r="AD319" i="16"/>
  <c r="AC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G306" i="16"/>
  <c r="AF306" i="16"/>
  <c r="AG305" i="16"/>
  <c r="AF305" i="16"/>
  <c r="AG304" i="16"/>
  <c r="AF304" i="16"/>
  <c r="AG303" i="16"/>
  <c r="AF303" i="16"/>
  <c r="AG302" i="16"/>
  <c r="AF302" i="16"/>
  <c r="AG301" i="16"/>
  <c r="AF301" i="16"/>
  <c r="AG300" i="16"/>
  <c r="AF300" i="16"/>
  <c r="AG299" i="16"/>
  <c r="AF299" i="16"/>
  <c r="AG298" i="16"/>
  <c r="AF298" i="16"/>
  <c r="AG297" i="16"/>
  <c r="AF297" i="16"/>
  <c r="AG296" i="16"/>
  <c r="AF296" i="16"/>
  <c r="AG295" i="16"/>
  <c r="AF295" i="16"/>
  <c r="AD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D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D263" i="16"/>
  <c r="AE262" i="16"/>
  <c r="AE261" i="16"/>
  <c r="AE260" i="16"/>
  <c r="AE259" i="16"/>
  <c r="AG258" i="16"/>
  <c r="AF258" i="16"/>
  <c r="AG257" i="16"/>
  <c r="AF257" i="16"/>
  <c r="AG256" i="16"/>
  <c r="AF256" i="16"/>
  <c r="AG255" i="16"/>
  <c r="AF255" i="16"/>
  <c r="AG254" i="16"/>
  <c r="AF254" i="16"/>
  <c r="AG253" i="16"/>
  <c r="AF253" i="16"/>
  <c r="AG252" i="16"/>
  <c r="AF252" i="16"/>
  <c r="AG251" i="16"/>
  <c r="AF251" i="16"/>
  <c r="AG250" i="16"/>
  <c r="AF250" i="16"/>
  <c r="AG249" i="16"/>
  <c r="AF249" i="16"/>
  <c r="AG248" i="16"/>
  <c r="AF248" i="16"/>
  <c r="AG247" i="16"/>
  <c r="AF247" i="16"/>
  <c r="AG246" i="16"/>
  <c r="AF246" i="16"/>
  <c r="AG245" i="16"/>
  <c r="AF245" i="16"/>
  <c r="AG244" i="16"/>
  <c r="AF244" i="16"/>
  <c r="AG243" i="16"/>
  <c r="AF243" i="16"/>
  <c r="AG242" i="16"/>
  <c r="AF242" i="16"/>
  <c r="AG241" i="16"/>
  <c r="AF241" i="16"/>
  <c r="AG240" i="16"/>
  <c r="AF240" i="16"/>
  <c r="AG239" i="16"/>
  <c r="AF239" i="16"/>
  <c r="AG238" i="16"/>
  <c r="AF238" i="16"/>
  <c r="AG237" i="16"/>
  <c r="AF237" i="16"/>
  <c r="AG236" i="16"/>
  <c r="AF236" i="16"/>
  <c r="AG235" i="16"/>
  <c r="AF235" i="16"/>
  <c r="AG234" i="16"/>
  <c r="AF234" i="16"/>
  <c r="AG233" i="16"/>
  <c r="AF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G208" i="16"/>
  <c r="AE208" i="16"/>
  <c r="AG207" i="16"/>
  <c r="AE207" i="16"/>
  <c r="AG206" i="16"/>
  <c r="AE206" i="16"/>
  <c r="AG205" i="16"/>
  <c r="AE205" i="16"/>
  <c r="AG204" i="16"/>
  <c r="AE204" i="16"/>
  <c r="AG203" i="16"/>
  <c r="AE203" i="16"/>
  <c r="AD203" i="16"/>
  <c r="AG202" i="16"/>
  <c r="AF202" i="16"/>
  <c r="AG201" i="16"/>
  <c r="AF201" i="16"/>
  <c r="AG200" i="16"/>
  <c r="AF200" i="16"/>
  <c r="AG199" i="16"/>
  <c r="AF199" i="16"/>
  <c r="AD199" i="16"/>
  <c r="AG198" i="16"/>
  <c r="AF198" i="16"/>
  <c r="AG197" i="16"/>
  <c r="AF197" i="16"/>
  <c r="AG196" i="16"/>
  <c r="AF196" i="16"/>
  <c r="AG195" i="16"/>
  <c r="AF195" i="16"/>
  <c r="AG194" i="16"/>
  <c r="AF194" i="16"/>
  <c r="AG193" i="16"/>
  <c r="AF193" i="16"/>
  <c r="AG192" i="16"/>
  <c r="AF192" i="16"/>
  <c r="AG191" i="16"/>
  <c r="AF191" i="16"/>
  <c r="AG190" i="16"/>
  <c r="AE190" i="16"/>
  <c r="AG189" i="16"/>
  <c r="AE189" i="16"/>
  <c r="AG188" i="16"/>
  <c r="AE188" i="16"/>
  <c r="AG187" i="16"/>
  <c r="AE187" i="16"/>
  <c r="AG186" i="16"/>
  <c r="AE186" i="16"/>
  <c r="AG185" i="16"/>
  <c r="AE185" i="16"/>
  <c r="AG184" i="16"/>
  <c r="AE184" i="16"/>
  <c r="AG183" i="16"/>
  <c r="AE183" i="16"/>
  <c r="AG182" i="16"/>
  <c r="AE182" i="16"/>
  <c r="AG181" i="16"/>
  <c r="AE181" i="16"/>
  <c r="AG180" i="16"/>
  <c r="AE180" i="16"/>
  <c r="AG179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C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G155" i="16"/>
  <c r="AF155" i="16"/>
  <c r="AG154" i="16"/>
  <c r="AF154" i="16"/>
  <c r="AG153" i="16"/>
  <c r="AF153" i="16"/>
  <c r="AG152" i="16"/>
  <c r="AF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G145" i="16"/>
  <c r="AF145" i="16"/>
  <c r="AG144" i="16"/>
  <c r="AF144" i="16"/>
  <c r="AG143" i="16"/>
  <c r="AF143" i="16"/>
  <c r="AG142" i="16"/>
  <c r="AF142" i="16"/>
  <c r="AG141" i="16"/>
  <c r="AF141" i="16"/>
  <c r="AG140" i="16"/>
  <c r="AF140" i="16"/>
  <c r="AG139" i="16"/>
  <c r="AF139" i="16"/>
  <c r="AG138" i="16"/>
  <c r="AF138" i="16"/>
  <c r="AG137" i="16"/>
  <c r="AF137" i="16"/>
  <c r="AG136" i="16"/>
  <c r="AF136" i="16"/>
  <c r="AG135" i="16"/>
  <c r="AF135" i="16"/>
  <c r="AB135" i="16"/>
  <c r="AG134" i="16"/>
  <c r="AF134" i="16"/>
  <c r="AG133" i="16"/>
  <c r="AF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G109" i="16"/>
  <c r="AF109" i="16"/>
  <c r="AG108" i="16"/>
  <c r="AF108" i="16"/>
  <c r="AG107" i="16"/>
  <c r="AF107" i="16"/>
  <c r="AG106" i="16"/>
  <c r="AF106" i="16"/>
  <c r="AG105" i="16"/>
  <c r="AF105" i="16"/>
  <c r="AG104" i="16"/>
  <c r="AF104" i="16"/>
  <c r="AG103" i="16"/>
  <c r="AF103" i="16"/>
  <c r="AG102" i="16"/>
  <c r="AF102" i="16"/>
  <c r="AG101" i="16"/>
  <c r="AF101" i="16"/>
  <c r="AG100" i="16"/>
  <c r="AF100" i="16"/>
  <c r="AG99" i="16"/>
  <c r="AF99" i="16"/>
  <c r="AG98" i="16"/>
  <c r="AF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G85" i="16"/>
  <c r="AF85" i="16"/>
  <c r="AG84" i="16"/>
  <c r="AF84" i="16"/>
  <c r="AG83" i="16"/>
  <c r="AF83" i="16"/>
  <c r="AD83" i="16"/>
  <c r="AG82" i="16"/>
  <c r="AF82" i="16"/>
  <c r="AG81" i="16"/>
  <c r="AF81" i="16"/>
  <c r="AG80" i="16"/>
  <c r="AF80" i="16"/>
  <c r="AG79" i="16"/>
  <c r="AF79" i="16"/>
  <c r="AD79" i="16"/>
  <c r="AG78" i="16"/>
  <c r="AF78" i="16"/>
  <c r="AG77" i="16"/>
  <c r="AF77" i="16"/>
  <c r="AG76" i="16"/>
  <c r="AF76" i="16"/>
  <c r="AG75" i="16"/>
  <c r="AF75" i="16"/>
  <c r="AG74" i="16"/>
  <c r="AF74" i="16"/>
  <c r="AG73" i="16"/>
  <c r="AF73" i="16"/>
  <c r="AG72" i="16"/>
  <c r="AF72" i="16"/>
  <c r="AG71" i="16"/>
  <c r="AF71" i="16"/>
  <c r="AG70" i="16"/>
  <c r="AF70" i="16"/>
  <c r="AG69" i="16"/>
  <c r="AF69" i="16"/>
  <c r="AG68" i="16"/>
  <c r="AF68" i="16"/>
  <c r="AG67" i="16"/>
  <c r="AF67" i="16"/>
  <c r="AG66" i="16"/>
  <c r="AF66" i="16"/>
  <c r="AG65" i="16"/>
  <c r="AF65" i="16"/>
  <c r="AG64" i="16"/>
  <c r="AF64" i="16"/>
  <c r="AG63" i="16"/>
  <c r="AF63" i="16"/>
  <c r="AG62" i="16"/>
  <c r="AF62" i="16"/>
  <c r="AD25" i="16"/>
  <c r="AC25" i="16"/>
  <c r="AB25" i="16"/>
  <c r="AD24" i="16"/>
  <c r="AC24" i="16"/>
  <c r="AB24" i="16"/>
  <c r="AD23" i="16"/>
  <c r="AC23" i="16"/>
  <c r="AB23" i="16"/>
  <c r="AD22" i="16"/>
  <c r="AC22" i="16"/>
  <c r="AB22" i="16"/>
  <c r="AD21" i="16"/>
  <c r="AC21" i="16"/>
  <c r="AB21" i="16"/>
  <c r="AD20" i="16"/>
  <c r="AC20" i="16"/>
  <c r="AB20" i="16"/>
  <c r="AD19" i="16"/>
  <c r="AC19" i="16"/>
  <c r="AB19" i="16"/>
  <c r="AD18" i="16"/>
  <c r="AC18" i="16"/>
  <c r="AB18" i="16"/>
  <c r="AD17" i="16"/>
  <c r="AC17" i="16"/>
  <c r="AB17" i="16"/>
  <c r="AD16" i="16"/>
  <c r="AC16" i="16"/>
  <c r="AB16" i="16"/>
  <c r="AD15" i="16"/>
  <c r="AC15" i="16"/>
  <c r="AB15" i="16"/>
  <c r="AD14" i="16"/>
  <c r="AC14" i="16"/>
  <c r="AB14" i="16"/>
  <c r="AD13" i="16"/>
  <c r="AC13" i="16"/>
  <c r="AB13" i="16"/>
  <c r="AD12" i="16"/>
  <c r="AC12" i="16"/>
  <c r="AB12" i="16"/>
  <c r="AD11" i="16"/>
  <c r="AC11" i="16"/>
  <c r="AB11" i="16"/>
  <c r="AD10" i="16"/>
  <c r="AC10" i="16"/>
  <c r="AB10" i="16"/>
  <c r="AD9" i="16"/>
  <c r="AC9" i="16"/>
  <c r="AB9" i="16"/>
  <c r="AD8" i="16"/>
  <c r="AC8" i="16"/>
  <c r="AB8" i="16"/>
  <c r="AD7" i="16"/>
  <c r="AC7" i="16"/>
  <c r="AB7" i="16"/>
  <c r="AD6" i="16"/>
  <c r="AC6" i="16"/>
  <c r="AB6" i="16"/>
  <c r="AD5" i="16"/>
  <c r="AC5" i="16"/>
  <c r="AB5" i="16"/>
  <c r="AD4" i="16"/>
  <c r="AC4" i="16"/>
  <c r="AB4" i="16"/>
  <c r="AD3" i="16"/>
  <c r="AC3" i="16"/>
  <c r="AB3" i="16"/>
  <c r="AD2" i="16"/>
  <c r="AC2" i="16"/>
  <c r="AB2" i="16"/>
  <c r="M61" i="16"/>
  <c r="O61" i="16"/>
  <c r="K61" i="16"/>
  <c r="M60" i="16"/>
  <c r="O60" i="16"/>
  <c r="K60" i="16"/>
  <c r="M59" i="16"/>
  <c r="O59" i="16"/>
  <c r="K59" i="16"/>
  <c r="M58" i="16"/>
  <c r="O58" i="16"/>
  <c r="K58" i="16"/>
  <c r="M57" i="16"/>
  <c r="O57" i="16"/>
  <c r="K57" i="16"/>
  <c r="M56" i="16"/>
  <c r="O56" i="16"/>
  <c r="K56" i="16"/>
  <c r="M55" i="16"/>
  <c r="O55" i="16"/>
  <c r="K55" i="16"/>
  <c r="M54" i="16"/>
  <c r="O54" i="16"/>
  <c r="K54" i="16"/>
  <c r="M53" i="16"/>
  <c r="O53" i="16"/>
  <c r="K53" i="16"/>
  <c r="M52" i="16"/>
  <c r="O52" i="16"/>
  <c r="K52" i="16"/>
  <c r="M51" i="16"/>
  <c r="O51" i="16"/>
  <c r="K51" i="16"/>
  <c r="M50" i="16"/>
  <c r="O50" i="16"/>
  <c r="K50" i="16"/>
  <c r="M49" i="16"/>
  <c r="O49" i="16"/>
  <c r="K49" i="16"/>
  <c r="M48" i="16"/>
  <c r="O48" i="16"/>
  <c r="K48" i="16"/>
  <c r="M47" i="16"/>
  <c r="O47" i="16"/>
  <c r="K47" i="16"/>
  <c r="M46" i="16"/>
  <c r="O46" i="16"/>
  <c r="K46" i="16"/>
  <c r="M45" i="16"/>
  <c r="O45" i="16"/>
  <c r="K45" i="16"/>
  <c r="M44" i="16"/>
  <c r="O44" i="16"/>
  <c r="K44" i="16"/>
  <c r="M43" i="16"/>
  <c r="O43" i="16"/>
  <c r="K43" i="16"/>
  <c r="M42" i="16"/>
  <c r="O42" i="16"/>
  <c r="K42" i="16"/>
  <c r="M41" i="16"/>
  <c r="O41" i="16"/>
  <c r="K41" i="16"/>
  <c r="M40" i="16"/>
  <c r="O40" i="16"/>
  <c r="K40" i="16"/>
  <c r="M39" i="16"/>
  <c r="O39" i="16"/>
  <c r="K39" i="16"/>
  <c r="M38" i="16"/>
  <c r="O38" i="16"/>
  <c r="K38" i="16"/>
  <c r="M37" i="16"/>
  <c r="O37" i="16"/>
  <c r="K37" i="16"/>
  <c r="M36" i="16"/>
  <c r="O36" i="16"/>
  <c r="K36" i="16"/>
  <c r="M35" i="16"/>
  <c r="O35" i="16"/>
  <c r="K35" i="16"/>
  <c r="M34" i="16"/>
  <c r="O34" i="16"/>
  <c r="K34" i="16"/>
  <c r="M33" i="16"/>
  <c r="O33" i="16"/>
  <c r="K33" i="16"/>
  <c r="M32" i="16"/>
  <c r="O32" i="16"/>
  <c r="K32" i="16"/>
  <c r="M31" i="16"/>
  <c r="O31" i="16"/>
  <c r="K31" i="16"/>
  <c r="M30" i="16"/>
  <c r="O30" i="16"/>
  <c r="K30" i="16"/>
  <c r="M29" i="16"/>
  <c r="O29" i="16"/>
  <c r="K29" i="16"/>
  <c r="M28" i="16"/>
  <c r="O28" i="16"/>
  <c r="K28" i="16"/>
  <c r="M27" i="16"/>
  <c r="O27" i="16"/>
  <c r="K27" i="16"/>
  <c r="M26" i="16"/>
  <c r="O26" i="16"/>
  <c r="K26" i="16"/>
  <c r="X644" i="16"/>
  <c r="AD644" i="16" s="1"/>
  <c r="W644" i="16"/>
  <c r="AC644" i="16" s="1"/>
  <c r="V644" i="16"/>
  <c r="AB644" i="16" s="1"/>
  <c r="X643" i="16"/>
  <c r="AD643" i="16" s="1"/>
  <c r="W643" i="16"/>
  <c r="AC643" i="16" s="1"/>
  <c r="V643" i="16"/>
  <c r="AB643" i="16" s="1"/>
  <c r="X642" i="16"/>
  <c r="AD642" i="16" s="1"/>
  <c r="W642" i="16"/>
  <c r="AC642" i="16" s="1"/>
  <c r="V642" i="16"/>
  <c r="AB642" i="16" s="1"/>
  <c r="X641" i="16"/>
  <c r="AD641" i="16" s="1"/>
  <c r="W641" i="16"/>
  <c r="AC641" i="16" s="1"/>
  <c r="V641" i="16"/>
  <c r="X640" i="16"/>
  <c r="AD640" i="16" s="1"/>
  <c r="W640" i="16"/>
  <c r="AC640" i="16" s="1"/>
  <c r="V640" i="16"/>
  <c r="AB640" i="16" s="1"/>
  <c r="X639" i="16"/>
  <c r="AD639" i="16" s="1"/>
  <c r="W639" i="16"/>
  <c r="AC639" i="16" s="1"/>
  <c r="V639" i="16"/>
  <c r="AB639" i="16" s="1"/>
  <c r="X638" i="16"/>
  <c r="AD638" i="16" s="1"/>
  <c r="W638" i="16"/>
  <c r="AC638" i="16" s="1"/>
  <c r="V638" i="16"/>
  <c r="AB638" i="16" s="1"/>
  <c r="X637" i="16"/>
  <c r="AD637" i="16" s="1"/>
  <c r="W637" i="16"/>
  <c r="AC637" i="16" s="1"/>
  <c r="V637" i="16"/>
  <c r="AB637" i="16" s="1"/>
  <c r="X636" i="16"/>
  <c r="AD636" i="16" s="1"/>
  <c r="W636" i="16"/>
  <c r="AC636" i="16" s="1"/>
  <c r="V636" i="16"/>
  <c r="AB636" i="16" s="1"/>
  <c r="X635" i="16"/>
  <c r="AD635" i="16" s="1"/>
  <c r="W635" i="16"/>
  <c r="AC635" i="16" s="1"/>
  <c r="V635" i="16"/>
  <c r="AB635" i="16" s="1"/>
  <c r="X634" i="16"/>
  <c r="AD634" i="16" s="1"/>
  <c r="W634" i="16"/>
  <c r="AC634" i="16" s="1"/>
  <c r="V634" i="16"/>
  <c r="AB634" i="16" s="1"/>
  <c r="X633" i="16"/>
  <c r="AD633" i="16" s="1"/>
  <c r="W633" i="16"/>
  <c r="AC633" i="16" s="1"/>
  <c r="V633" i="16"/>
  <c r="AB633" i="16" s="1"/>
  <c r="V632" i="16"/>
  <c r="AB632" i="16" s="1"/>
  <c r="V631" i="16"/>
  <c r="AB631" i="16" s="1"/>
  <c r="V630" i="16"/>
  <c r="AB630" i="16" s="1"/>
  <c r="V629" i="16"/>
  <c r="AB629" i="16" s="1"/>
  <c r="V628" i="16"/>
  <c r="AB628" i="16" s="1"/>
  <c r="V627" i="16"/>
  <c r="AB627" i="16" s="1"/>
  <c r="V626" i="16"/>
  <c r="AB626" i="16" s="1"/>
  <c r="V625" i="16"/>
  <c r="AB625" i="16" s="1"/>
  <c r="V624" i="16"/>
  <c r="AB624" i="16" s="1"/>
  <c r="V623" i="16"/>
  <c r="AB623" i="16" s="1"/>
  <c r="V622" i="16"/>
  <c r="AB622" i="16" s="1"/>
  <c r="V621" i="16"/>
  <c r="AB621" i="16" s="1"/>
  <c r="X620" i="16"/>
  <c r="AD620" i="16" s="1"/>
  <c r="W620" i="16"/>
  <c r="AC620" i="16" s="1"/>
  <c r="V620" i="16"/>
  <c r="AB620" i="16" s="1"/>
  <c r="X619" i="16"/>
  <c r="AD619" i="16" s="1"/>
  <c r="W619" i="16"/>
  <c r="AC619" i="16" s="1"/>
  <c r="V619" i="16"/>
  <c r="AB619" i="16" s="1"/>
  <c r="X618" i="16"/>
  <c r="AD618" i="16" s="1"/>
  <c r="W618" i="16"/>
  <c r="AC618" i="16" s="1"/>
  <c r="V618" i="16"/>
  <c r="AB618" i="16" s="1"/>
  <c r="X617" i="16"/>
  <c r="AD617" i="16" s="1"/>
  <c r="W617" i="16"/>
  <c r="AC617" i="16" s="1"/>
  <c r="V617" i="16"/>
  <c r="AB617" i="16" s="1"/>
  <c r="X616" i="16"/>
  <c r="AD616" i="16" s="1"/>
  <c r="W616" i="16"/>
  <c r="AC616" i="16" s="1"/>
  <c r="V616" i="16"/>
  <c r="AB616" i="16" s="1"/>
  <c r="X615" i="16"/>
  <c r="AD615" i="16" s="1"/>
  <c r="W615" i="16"/>
  <c r="AC615" i="16" s="1"/>
  <c r="V615" i="16"/>
  <c r="AB615" i="16" s="1"/>
  <c r="X614" i="16"/>
  <c r="AD614" i="16" s="1"/>
  <c r="W614" i="16"/>
  <c r="AC614" i="16" s="1"/>
  <c r="V614" i="16"/>
  <c r="AB614" i="16" s="1"/>
  <c r="X613" i="16"/>
  <c r="AD613" i="16" s="1"/>
  <c r="W613" i="16"/>
  <c r="AC613" i="16" s="1"/>
  <c r="V613" i="16"/>
  <c r="AB613" i="16" s="1"/>
  <c r="X612" i="16"/>
  <c r="AD612" i="16" s="1"/>
  <c r="W612" i="16"/>
  <c r="AC612" i="16" s="1"/>
  <c r="V612" i="16"/>
  <c r="AB612" i="16" s="1"/>
  <c r="X611" i="16"/>
  <c r="AD611" i="16" s="1"/>
  <c r="W611" i="16"/>
  <c r="AC611" i="16" s="1"/>
  <c r="V611" i="16"/>
  <c r="AB611" i="16" s="1"/>
  <c r="X610" i="16"/>
  <c r="AD610" i="16" s="1"/>
  <c r="W610" i="16"/>
  <c r="AC610" i="16" s="1"/>
  <c r="V610" i="16"/>
  <c r="AB610" i="16" s="1"/>
  <c r="X609" i="16"/>
  <c r="AD609" i="16" s="1"/>
  <c r="W609" i="16"/>
  <c r="AC609" i="16" s="1"/>
  <c r="V609" i="16"/>
  <c r="AB609" i="16" s="1"/>
  <c r="X608" i="16"/>
  <c r="AD608" i="16" s="1"/>
  <c r="W608" i="16"/>
  <c r="AC608" i="16" s="1"/>
  <c r="V608" i="16"/>
  <c r="AB608" i="16" s="1"/>
  <c r="X607" i="16"/>
  <c r="AD607" i="16" s="1"/>
  <c r="W607" i="16"/>
  <c r="AC607" i="16" s="1"/>
  <c r="V607" i="16"/>
  <c r="AB607" i="16" s="1"/>
  <c r="X606" i="16"/>
  <c r="AD606" i="16" s="1"/>
  <c r="W606" i="16"/>
  <c r="AC606" i="16" s="1"/>
  <c r="V606" i="16"/>
  <c r="AB606" i="16" s="1"/>
  <c r="X605" i="16"/>
  <c r="AD605" i="16" s="1"/>
  <c r="W605" i="16"/>
  <c r="AC605" i="16" s="1"/>
  <c r="V605" i="16"/>
  <c r="AB605" i="16" s="1"/>
  <c r="X604" i="16"/>
  <c r="AD604" i="16" s="1"/>
  <c r="W604" i="16"/>
  <c r="AC604" i="16" s="1"/>
  <c r="V604" i="16"/>
  <c r="AB604" i="16" s="1"/>
  <c r="X603" i="16"/>
  <c r="AD603" i="16" s="1"/>
  <c r="W603" i="16"/>
  <c r="AC603" i="16" s="1"/>
  <c r="V603" i="16"/>
  <c r="AB603" i="16" s="1"/>
  <c r="X602" i="16"/>
  <c r="AD602" i="16" s="1"/>
  <c r="W602" i="16"/>
  <c r="AC602" i="16" s="1"/>
  <c r="V602" i="16"/>
  <c r="AB602" i="16" s="1"/>
  <c r="X601" i="16"/>
  <c r="AD601" i="16" s="1"/>
  <c r="W601" i="16"/>
  <c r="AC601" i="16" s="1"/>
  <c r="V601" i="16"/>
  <c r="AB601" i="16" s="1"/>
  <c r="X600" i="16"/>
  <c r="AD600" i="16" s="1"/>
  <c r="W600" i="16"/>
  <c r="AC600" i="16" s="1"/>
  <c r="V600" i="16"/>
  <c r="AB600" i="16" s="1"/>
  <c r="X599" i="16"/>
  <c r="AD599" i="16" s="1"/>
  <c r="W599" i="16"/>
  <c r="AC599" i="16" s="1"/>
  <c r="V599" i="16"/>
  <c r="AB599" i="16" s="1"/>
  <c r="X598" i="16"/>
  <c r="AD598" i="16" s="1"/>
  <c r="W598" i="16"/>
  <c r="AC598" i="16" s="1"/>
  <c r="V598" i="16"/>
  <c r="AB598" i="16" s="1"/>
  <c r="X597" i="16"/>
  <c r="AD597" i="16" s="1"/>
  <c r="W597" i="16"/>
  <c r="AC597" i="16" s="1"/>
  <c r="V597" i="16"/>
  <c r="AB597" i="16" s="1"/>
  <c r="X596" i="16"/>
  <c r="AD596" i="16" s="1"/>
  <c r="W596" i="16"/>
  <c r="AC596" i="16" s="1"/>
  <c r="V596" i="16"/>
  <c r="AB596" i="16" s="1"/>
  <c r="X595" i="16"/>
  <c r="AD595" i="16" s="1"/>
  <c r="W595" i="16"/>
  <c r="AC595" i="16" s="1"/>
  <c r="V595" i="16"/>
  <c r="AB595" i="16" s="1"/>
  <c r="X594" i="16"/>
  <c r="AD594" i="16" s="1"/>
  <c r="W594" i="16"/>
  <c r="AC594" i="16" s="1"/>
  <c r="V594" i="16"/>
  <c r="AB594" i="16" s="1"/>
  <c r="X593" i="16"/>
  <c r="AD593" i="16" s="1"/>
  <c r="W593" i="16"/>
  <c r="AC593" i="16" s="1"/>
  <c r="V593" i="16"/>
  <c r="AB593" i="16" s="1"/>
  <c r="X592" i="16"/>
  <c r="AD592" i="16" s="1"/>
  <c r="W592" i="16"/>
  <c r="AC592" i="16" s="1"/>
  <c r="V592" i="16"/>
  <c r="AB592" i="16" s="1"/>
  <c r="X591" i="16"/>
  <c r="AD591" i="16" s="1"/>
  <c r="W591" i="16"/>
  <c r="AC591" i="16" s="1"/>
  <c r="V591" i="16"/>
  <c r="AB591" i="16" s="1"/>
  <c r="X590" i="16"/>
  <c r="AD590" i="16" s="1"/>
  <c r="W590" i="16"/>
  <c r="AC590" i="16" s="1"/>
  <c r="V590" i="16"/>
  <c r="AB590" i="16" s="1"/>
  <c r="X589" i="16"/>
  <c r="AD589" i="16" s="1"/>
  <c r="W589" i="16"/>
  <c r="AC589" i="16" s="1"/>
  <c r="V589" i="16"/>
  <c r="AB589" i="16" s="1"/>
  <c r="X588" i="16"/>
  <c r="AD588" i="16" s="1"/>
  <c r="W588" i="16"/>
  <c r="AC588" i="16" s="1"/>
  <c r="V588" i="16"/>
  <c r="AB588" i="16" s="1"/>
  <c r="X587" i="16"/>
  <c r="AD587" i="16" s="1"/>
  <c r="W587" i="16"/>
  <c r="AC587" i="16" s="1"/>
  <c r="V587" i="16"/>
  <c r="AB587" i="16" s="1"/>
  <c r="X586" i="16"/>
  <c r="AD586" i="16" s="1"/>
  <c r="W586" i="16"/>
  <c r="AC586" i="16" s="1"/>
  <c r="V586" i="16"/>
  <c r="AB586" i="16" s="1"/>
  <c r="X585" i="16"/>
  <c r="AD585" i="16" s="1"/>
  <c r="W585" i="16"/>
  <c r="AC585" i="16" s="1"/>
  <c r="V585" i="16"/>
  <c r="AB585" i="16" s="1"/>
  <c r="X584" i="16"/>
  <c r="AD584" i="16" s="1"/>
  <c r="W584" i="16"/>
  <c r="AC584" i="16" s="1"/>
  <c r="V584" i="16"/>
  <c r="AB584" i="16" s="1"/>
  <c r="X583" i="16"/>
  <c r="AD583" i="16" s="1"/>
  <c r="W583" i="16"/>
  <c r="AC583" i="16" s="1"/>
  <c r="V583" i="16"/>
  <c r="AB583" i="16" s="1"/>
  <c r="X582" i="16"/>
  <c r="AD582" i="16" s="1"/>
  <c r="W582" i="16"/>
  <c r="AC582" i="16" s="1"/>
  <c r="V582" i="16"/>
  <c r="AB582" i="16" s="1"/>
  <c r="X581" i="16"/>
  <c r="AD581" i="16" s="1"/>
  <c r="W581" i="16"/>
  <c r="AC581" i="16" s="1"/>
  <c r="V581" i="16"/>
  <c r="AB581" i="16" s="1"/>
  <c r="X580" i="16"/>
  <c r="AD580" i="16" s="1"/>
  <c r="W580" i="16"/>
  <c r="AC580" i="16" s="1"/>
  <c r="V580" i="16"/>
  <c r="AB580" i="16" s="1"/>
  <c r="X579" i="16"/>
  <c r="AD579" i="16" s="1"/>
  <c r="W579" i="16"/>
  <c r="AC579" i="16" s="1"/>
  <c r="V579" i="16"/>
  <c r="AB579" i="16" s="1"/>
  <c r="X578" i="16"/>
  <c r="AD578" i="16" s="1"/>
  <c r="W578" i="16"/>
  <c r="AC578" i="16" s="1"/>
  <c r="V578" i="16"/>
  <c r="AB578" i="16" s="1"/>
  <c r="X577" i="16"/>
  <c r="AD577" i="16" s="1"/>
  <c r="W577" i="16"/>
  <c r="AC577" i="16" s="1"/>
  <c r="V577" i="16"/>
  <c r="AB577" i="16" s="1"/>
  <c r="X576" i="16"/>
  <c r="AD576" i="16" s="1"/>
  <c r="W576" i="16"/>
  <c r="AC576" i="16" s="1"/>
  <c r="V576" i="16"/>
  <c r="AB576" i="16" s="1"/>
  <c r="X575" i="16"/>
  <c r="AD575" i="16" s="1"/>
  <c r="W575" i="16"/>
  <c r="AC575" i="16" s="1"/>
  <c r="V575" i="16"/>
  <c r="AB575" i="16" s="1"/>
  <c r="X574" i="16"/>
  <c r="AD574" i="16" s="1"/>
  <c r="W574" i="16"/>
  <c r="AC574" i="16" s="1"/>
  <c r="V574" i="16"/>
  <c r="AB574" i="16" s="1"/>
  <c r="X573" i="16"/>
  <c r="AD573" i="16" s="1"/>
  <c r="W573" i="16"/>
  <c r="AC573" i="16" s="1"/>
  <c r="V573" i="16"/>
  <c r="AB573" i="16" s="1"/>
  <c r="X572" i="16"/>
  <c r="AD572" i="16" s="1"/>
  <c r="W572" i="16"/>
  <c r="AC572" i="16" s="1"/>
  <c r="V572" i="16"/>
  <c r="AB572" i="16" s="1"/>
  <c r="X571" i="16"/>
  <c r="AD571" i="16" s="1"/>
  <c r="W571" i="16"/>
  <c r="AC571" i="16" s="1"/>
  <c r="V571" i="16"/>
  <c r="AB571" i="16" s="1"/>
  <c r="X570" i="16"/>
  <c r="AD570" i="16" s="1"/>
  <c r="W570" i="16"/>
  <c r="AC570" i="16" s="1"/>
  <c r="V570" i="16"/>
  <c r="AB570" i="16" s="1"/>
  <c r="X569" i="16"/>
  <c r="AD569" i="16" s="1"/>
  <c r="W569" i="16"/>
  <c r="AC569" i="16" s="1"/>
  <c r="V569" i="16"/>
  <c r="AB569" i="16" s="1"/>
  <c r="X568" i="16"/>
  <c r="AD568" i="16" s="1"/>
  <c r="W568" i="16"/>
  <c r="AC568" i="16" s="1"/>
  <c r="V568" i="16"/>
  <c r="AB568" i="16" s="1"/>
  <c r="X567" i="16"/>
  <c r="AD567" i="16" s="1"/>
  <c r="W567" i="16"/>
  <c r="AC567" i="16" s="1"/>
  <c r="V567" i="16"/>
  <c r="AB567" i="16" s="1"/>
  <c r="X566" i="16"/>
  <c r="AD566" i="16" s="1"/>
  <c r="W566" i="16"/>
  <c r="AC566" i="16" s="1"/>
  <c r="V566" i="16"/>
  <c r="AB566" i="16" s="1"/>
  <c r="X565" i="16"/>
  <c r="AD565" i="16" s="1"/>
  <c r="W565" i="16"/>
  <c r="AC565" i="16" s="1"/>
  <c r="V565" i="16"/>
  <c r="AB565" i="16" s="1"/>
  <c r="X564" i="16"/>
  <c r="AD564" i="16" s="1"/>
  <c r="W564" i="16"/>
  <c r="AC564" i="16" s="1"/>
  <c r="V564" i="16"/>
  <c r="AB564" i="16" s="1"/>
  <c r="X563" i="16"/>
  <c r="AD563" i="16" s="1"/>
  <c r="W563" i="16"/>
  <c r="AC563" i="16" s="1"/>
  <c r="V563" i="16"/>
  <c r="AB563" i="16" s="1"/>
  <c r="X562" i="16"/>
  <c r="AD562" i="16" s="1"/>
  <c r="W562" i="16"/>
  <c r="AC562" i="16" s="1"/>
  <c r="V562" i="16"/>
  <c r="AB562" i="16" s="1"/>
  <c r="X561" i="16"/>
  <c r="AD561" i="16" s="1"/>
  <c r="W561" i="16"/>
  <c r="AC561" i="16" s="1"/>
  <c r="V561" i="16"/>
  <c r="AB561" i="16" s="1"/>
  <c r="X560" i="16"/>
  <c r="AD560" i="16" s="1"/>
  <c r="W560" i="16"/>
  <c r="AC560" i="16" s="1"/>
  <c r="V560" i="16"/>
  <c r="AB560" i="16" s="1"/>
  <c r="X559" i="16"/>
  <c r="AD559" i="16" s="1"/>
  <c r="W559" i="16"/>
  <c r="AC559" i="16" s="1"/>
  <c r="V559" i="16"/>
  <c r="AB559" i="16" s="1"/>
  <c r="X558" i="16"/>
  <c r="AD558" i="16" s="1"/>
  <c r="W558" i="16"/>
  <c r="AC558" i="16" s="1"/>
  <c r="V558" i="16"/>
  <c r="AB558" i="16" s="1"/>
  <c r="X557" i="16"/>
  <c r="AD557" i="16" s="1"/>
  <c r="W557" i="16"/>
  <c r="AC557" i="16" s="1"/>
  <c r="V557" i="16"/>
  <c r="AB557" i="16" s="1"/>
  <c r="X556" i="16"/>
  <c r="AD556" i="16" s="1"/>
  <c r="W556" i="16"/>
  <c r="AC556" i="16" s="1"/>
  <c r="V556" i="16"/>
  <c r="AB556" i="16" s="1"/>
  <c r="X555" i="16"/>
  <c r="AD555" i="16" s="1"/>
  <c r="W555" i="16"/>
  <c r="AC555" i="16" s="1"/>
  <c r="V555" i="16"/>
  <c r="AB555" i="16" s="1"/>
  <c r="X554" i="16"/>
  <c r="AD554" i="16" s="1"/>
  <c r="W554" i="16"/>
  <c r="AC554" i="16" s="1"/>
  <c r="V554" i="16"/>
  <c r="AB554" i="16" s="1"/>
  <c r="X553" i="16"/>
  <c r="AD553" i="16" s="1"/>
  <c r="W553" i="16"/>
  <c r="AC553" i="16" s="1"/>
  <c r="V553" i="16"/>
  <c r="AB553" i="16" s="1"/>
  <c r="X552" i="16"/>
  <c r="AD552" i="16" s="1"/>
  <c r="W552" i="16"/>
  <c r="AC552" i="16" s="1"/>
  <c r="V552" i="16"/>
  <c r="AB552" i="16" s="1"/>
  <c r="X551" i="16"/>
  <c r="AD551" i="16" s="1"/>
  <c r="W551" i="16"/>
  <c r="AC551" i="16" s="1"/>
  <c r="V551" i="16"/>
  <c r="AB551" i="16" s="1"/>
  <c r="X550" i="16"/>
  <c r="AD550" i="16" s="1"/>
  <c r="W550" i="16"/>
  <c r="AC550" i="16" s="1"/>
  <c r="V550" i="16"/>
  <c r="AB550" i="16" s="1"/>
  <c r="X549" i="16"/>
  <c r="AD549" i="16" s="1"/>
  <c r="W549" i="16"/>
  <c r="AC549" i="16" s="1"/>
  <c r="V549" i="16"/>
  <c r="AB549" i="16" s="1"/>
  <c r="X548" i="16"/>
  <c r="AD548" i="16" s="1"/>
  <c r="W548" i="16"/>
  <c r="AC548" i="16" s="1"/>
  <c r="V548" i="16"/>
  <c r="AB548" i="16" s="1"/>
  <c r="X547" i="16"/>
  <c r="AD547" i="16" s="1"/>
  <c r="W547" i="16"/>
  <c r="AC547" i="16" s="1"/>
  <c r="V547" i="16"/>
  <c r="AB547" i="16" s="1"/>
  <c r="X546" i="16"/>
  <c r="AD546" i="16" s="1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AC535" i="16" s="1"/>
  <c r="V535" i="16"/>
  <c r="AB535" i="16" s="1"/>
  <c r="X534" i="16"/>
  <c r="AD534" i="16" s="1"/>
  <c r="W534" i="16"/>
  <c r="AC534" i="16" s="1"/>
  <c r="V534" i="16"/>
  <c r="AB534" i="16" s="1"/>
  <c r="X533" i="16"/>
  <c r="AD533" i="16" s="1"/>
  <c r="W533" i="16"/>
  <c r="AC533" i="16" s="1"/>
  <c r="V533" i="16"/>
  <c r="AB533" i="16" s="1"/>
  <c r="X532" i="16"/>
  <c r="AD532" i="16" s="1"/>
  <c r="W532" i="16"/>
  <c r="AC532" i="16" s="1"/>
  <c r="V532" i="16"/>
  <c r="AB532" i="16" s="1"/>
  <c r="X531" i="16"/>
  <c r="AD531" i="16" s="1"/>
  <c r="W531" i="16"/>
  <c r="AC531" i="16" s="1"/>
  <c r="V531" i="16"/>
  <c r="AB531" i="16" s="1"/>
  <c r="X530" i="16"/>
  <c r="AD530" i="16" s="1"/>
  <c r="W530" i="16"/>
  <c r="AC530" i="16" s="1"/>
  <c r="V530" i="16"/>
  <c r="AB530" i="16" s="1"/>
  <c r="X529" i="16"/>
  <c r="AD529" i="16" s="1"/>
  <c r="W529" i="16"/>
  <c r="AC529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V354" i="16"/>
  <c r="AB354" i="16" s="1"/>
  <c r="V353" i="16"/>
  <c r="AB353" i="16" s="1"/>
  <c r="V352" i="16"/>
  <c r="AB352" i="16" s="1"/>
  <c r="V351" i="16"/>
  <c r="AB351" i="16" s="1"/>
  <c r="V350" i="16"/>
  <c r="AB350" i="16" s="1"/>
  <c r="V349" i="16"/>
  <c r="AB349" i="16" s="1"/>
  <c r="V348" i="16"/>
  <c r="AB348" i="16" s="1"/>
  <c r="V347" i="16"/>
  <c r="AB347" i="16" s="1"/>
  <c r="V346" i="16"/>
  <c r="AB346" i="16" s="1"/>
  <c r="V345" i="16"/>
  <c r="AB345" i="16" s="1"/>
  <c r="V344" i="16"/>
  <c r="AB344" i="16" s="1"/>
  <c r="V343" i="16"/>
  <c r="AB343" i="16" s="1"/>
  <c r="X342" i="16"/>
  <c r="AD342" i="16" s="1"/>
  <c r="W342" i="16"/>
  <c r="AC342" i="16" s="1"/>
  <c r="X341" i="16"/>
  <c r="AD341" i="16" s="1"/>
  <c r="W341" i="16"/>
  <c r="AC341" i="16" s="1"/>
  <c r="X340" i="16"/>
  <c r="AD340" i="16" s="1"/>
  <c r="W340" i="16"/>
  <c r="AC340" i="16" s="1"/>
  <c r="X339" i="16"/>
  <c r="AD339" i="16" s="1"/>
  <c r="W339" i="16"/>
  <c r="AC339" i="16" s="1"/>
  <c r="X338" i="16"/>
  <c r="AD338" i="16" s="1"/>
  <c r="W338" i="16"/>
  <c r="AC338" i="16" s="1"/>
  <c r="X337" i="16"/>
  <c r="AD337" i="16" s="1"/>
  <c r="W337" i="16"/>
  <c r="AC337" i="16" s="1"/>
  <c r="X336" i="16"/>
  <c r="AD336" i="16" s="1"/>
  <c r="W336" i="16"/>
  <c r="AC336" i="16" s="1"/>
  <c r="X335" i="16"/>
  <c r="AD335" i="16" s="1"/>
  <c r="W335" i="16"/>
  <c r="AC335" i="16" s="1"/>
  <c r="X334" i="16"/>
  <c r="AD334" i="16" s="1"/>
  <c r="W334" i="16"/>
  <c r="AC334" i="16" s="1"/>
  <c r="X333" i="16"/>
  <c r="AD333" i="16" s="1"/>
  <c r="W333" i="16"/>
  <c r="AC333" i="16" s="1"/>
  <c r="X332" i="16"/>
  <c r="AD332" i="16" s="1"/>
  <c r="W332" i="16"/>
  <c r="X331" i="16"/>
  <c r="AD331" i="16" s="1"/>
  <c r="W331" i="16"/>
  <c r="AC331" i="16" s="1"/>
  <c r="V330" i="16"/>
  <c r="AB330" i="16" s="1"/>
  <c r="V329" i="16"/>
  <c r="AB329" i="16" s="1"/>
  <c r="V328" i="16"/>
  <c r="AB328" i="16" s="1"/>
  <c r="V327" i="16"/>
  <c r="AB327" i="16" s="1"/>
  <c r="V326" i="16"/>
  <c r="AB326" i="16" s="1"/>
  <c r="V325" i="16"/>
  <c r="AB325" i="16" s="1"/>
  <c r="V324" i="16"/>
  <c r="AB324" i="16" s="1"/>
  <c r="V323" i="16"/>
  <c r="AB323" i="16" s="1"/>
  <c r="V322" i="16"/>
  <c r="AB322" i="16" s="1"/>
  <c r="V321" i="16"/>
  <c r="AB321" i="16" s="1"/>
  <c r="V320" i="16"/>
  <c r="AB320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W61" i="16"/>
  <c r="V61" i="16"/>
  <c r="X60" i="16"/>
  <c r="W60" i="16"/>
  <c r="V60" i="16"/>
  <c r="X59" i="16"/>
  <c r="AD59" i="16" s="1"/>
  <c r="W59" i="16"/>
  <c r="V59" i="16"/>
  <c r="X58" i="16"/>
  <c r="W58" i="16"/>
  <c r="V58" i="16"/>
  <c r="X57" i="16"/>
  <c r="W57" i="16"/>
  <c r="V57" i="16"/>
  <c r="X56" i="16"/>
  <c r="W56" i="16"/>
  <c r="V56" i="16"/>
  <c r="X55" i="16"/>
  <c r="W55" i="16"/>
  <c r="V55" i="16"/>
  <c r="X54" i="16"/>
  <c r="W54" i="16"/>
  <c r="V54" i="16"/>
  <c r="X53" i="16"/>
  <c r="W53" i="16"/>
  <c r="V53" i="16"/>
  <c r="X52" i="16"/>
  <c r="W52" i="16"/>
  <c r="AC52" i="16" s="1"/>
  <c r="V52" i="16"/>
  <c r="X51" i="16"/>
  <c r="W51" i="16"/>
  <c r="V51" i="16"/>
  <c r="X50" i="16"/>
  <c r="W50" i="16"/>
  <c r="V50" i="16"/>
  <c r="X49" i="16"/>
  <c r="W49" i="16"/>
  <c r="V49" i="16"/>
  <c r="X48" i="16"/>
  <c r="W48" i="16"/>
  <c r="AC48" i="16" s="1"/>
  <c r="V48" i="16"/>
  <c r="X47" i="16"/>
  <c r="W47" i="16"/>
  <c r="V47" i="16"/>
  <c r="X46" i="16"/>
  <c r="W46" i="16"/>
  <c r="V46" i="16"/>
  <c r="X45" i="16"/>
  <c r="W45" i="16"/>
  <c r="V45" i="16"/>
  <c r="X44" i="16"/>
  <c r="W44" i="16"/>
  <c r="V44" i="16"/>
  <c r="X43" i="16"/>
  <c r="W43" i="16"/>
  <c r="V43" i="16"/>
  <c r="X42" i="16"/>
  <c r="W42" i="16"/>
  <c r="V42" i="16"/>
  <c r="X41" i="16"/>
  <c r="W41" i="16"/>
  <c r="V41" i="16"/>
  <c r="X40" i="16"/>
  <c r="W40" i="16"/>
  <c r="V40" i="16"/>
  <c r="X39" i="16"/>
  <c r="AD39" i="16" s="1"/>
  <c r="W39" i="16"/>
  <c r="V39" i="16"/>
  <c r="X38" i="16"/>
  <c r="W38" i="16"/>
  <c r="V38" i="16"/>
  <c r="X37" i="16"/>
  <c r="W37" i="16"/>
  <c r="V37" i="16"/>
  <c r="X36" i="16"/>
  <c r="W36" i="16"/>
  <c r="V36" i="16"/>
  <c r="X35" i="16"/>
  <c r="W35" i="16"/>
  <c r="V35" i="16"/>
  <c r="X34" i="16"/>
  <c r="W34" i="16"/>
  <c r="V34" i="16"/>
  <c r="X33" i="16"/>
  <c r="W33" i="16"/>
  <c r="V33" i="16"/>
  <c r="X32" i="16"/>
  <c r="W32" i="16"/>
  <c r="V32" i="16"/>
  <c r="X31" i="16"/>
  <c r="W31" i="16"/>
  <c r="V31" i="16"/>
  <c r="X30" i="16"/>
  <c r="W30" i="16"/>
  <c r="V30" i="16"/>
  <c r="X29" i="16"/>
  <c r="W29" i="16"/>
  <c r="V29" i="16"/>
  <c r="X28" i="16"/>
  <c r="W28" i="16"/>
  <c r="V28" i="16"/>
  <c r="X27" i="16"/>
  <c r="W27" i="16"/>
  <c r="V27" i="16"/>
  <c r="X26" i="16"/>
  <c r="W26" i="16"/>
  <c r="V26" i="16"/>
  <c r="AD54" i="6"/>
  <c r="AB54" i="6"/>
  <c r="AA54" i="6"/>
  <c r="Z54" i="6"/>
  <c r="Z54" i="7" s="1"/>
  <c r="X54" i="6"/>
  <c r="W54" i="6"/>
  <c r="V54" i="6"/>
  <c r="U54" i="6"/>
  <c r="AD53" i="6"/>
  <c r="AB53" i="6"/>
  <c r="AA53" i="6"/>
  <c r="AA53" i="7" s="1"/>
  <c r="Z53" i="6"/>
  <c r="Y53" i="6"/>
  <c r="X53" i="6"/>
  <c r="W53" i="6"/>
  <c r="V53" i="6"/>
  <c r="U53" i="6"/>
  <c r="AD52" i="6"/>
  <c r="AB52" i="6"/>
  <c r="AA52" i="6"/>
  <c r="AA52" i="7" s="1"/>
  <c r="Z52" i="6"/>
  <c r="X52" i="6"/>
  <c r="W52" i="6"/>
  <c r="V52" i="6"/>
  <c r="U52" i="6"/>
  <c r="AD51" i="6"/>
  <c r="AC51" i="6"/>
  <c r="AB51" i="6"/>
  <c r="AA51" i="6"/>
  <c r="Z51" i="6"/>
  <c r="Y51" i="6"/>
  <c r="X51" i="6"/>
  <c r="W51" i="6"/>
  <c r="V51" i="6"/>
  <c r="U51" i="6"/>
  <c r="AD50" i="6"/>
  <c r="AB50" i="6"/>
  <c r="AA50" i="6"/>
  <c r="Z50" i="6"/>
  <c r="Z50" i="7" s="1"/>
  <c r="X50" i="6"/>
  <c r="W50" i="6"/>
  <c r="V50" i="6"/>
  <c r="U50" i="6"/>
  <c r="AD49" i="6"/>
  <c r="AB49" i="6"/>
  <c r="AA49" i="6"/>
  <c r="Z49" i="6"/>
  <c r="Y49" i="6"/>
  <c r="X49" i="6"/>
  <c r="W49" i="6"/>
  <c r="V49" i="6"/>
  <c r="U49" i="6"/>
  <c r="AD48" i="6"/>
  <c r="AB48" i="6"/>
  <c r="AA48" i="6"/>
  <c r="AA48" i="7" s="1"/>
  <c r="Z48" i="6"/>
  <c r="Z48" i="7" s="1"/>
  <c r="X48" i="6"/>
  <c r="W48" i="6"/>
  <c r="V48" i="6"/>
  <c r="U48" i="6"/>
  <c r="AD47" i="6"/>
  <c r="AC47" i="6"/>
  <c r="AB47" i="6"/>
  <c r="AA47" i="6"/>
  <c r="AA47" i="7" s="1"/>
  <c r="Z47" i="6"/>
  <c r="Y47" i="6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AA45" i="7" s="1"/>
  <c r="Z45" i="6"/>
  <c r="Y45" i="6"/>
  <c r="X45" i="6"/>
  <c r="W45" i="6"/>
  <c r="V45" i="6"/>
  <c r="U45" i="6"/>
  <c r="AD44" i="6"/>
  <c r="AB44" i="6"/>
  <c r="AA44" i="6"/>
  <c r="AA44" i="7" s="1"/>
  <c r="Z44" i="6"/>
  <c r="X44" i="6"/>
  <c r="W44" i="6"/>
  <c r="V44" i="6"/>
  <c r="U44" i="6"/>
  <c r="AD43" i="6"/>
  <c r="AC43" i="6"/>
  <c r="AB43" i="6"/>
  <c r="AA43" i="6"/>
  <c r="Z43" i="6"/>
  <c r="Y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Y41" i="6"/>
  <c r="X41" i="6"/>
  <c r="W41" i="6"/>
  <c r="V41" i="6"/>
  <c r="U41" i="6"/>
  <c r="AD40" i="6"/>
  <c r="AB40" i="6"/>
  <c r="AA40" i="6"/>
  <c r="AA40" i="7" s="1"/>
  <c r="Z40" i="6"/>
  <c r="Z40" i="7" s="1"/>
  <c r="X40" i="6"/>
  <c r="W40" i="6"/>
  <c r="V40" i="6"/>
  <c r="U40" i="6"/>
  <c r="AD39" i="6"/>
  <c r="AC39" i="6"/>
  <c r="AB39" i="6"/>
  <c r="AA39" i="6"/>
  <c r="AA39" i="7" s="1"/>
  <c r="Z39" i="6"/>
  <c r="Y39" i="6"/>
  <c r="X39" i="6"/>
  <c r="W39" i="6"/>
  <c r="V39" i="6"/>
  <c r="U39" i="6"/>
  <c r="AD38" i="6"/>
  <c r="AB38" i="6"/>
  <c r="AA38" i="6"/>
  <c r="Z38" i="6"/>
  <c r="Z38" i="7" s="1"/>
  <c r="X38" i="6"/>
  <c r="W38" i="6"/>
  <c r="V38" i="6"/>
  <c r="U38" i="6"/>
  <c r="AD37" i="6"/>
  <c r="AB37" i="6"/>
  <c r="AA37" i="6"/>
  <c r="AA37" i="7" s="1"/>
  <c r="Z37" i="6"/>
  <c r="Y37" i="6"/>
  <c r="X37" i="6"/>
  <c r="W37" i="6"/>
  <c r="V37" i="6"/>
  <c r="U37" i="6"/>
  <c r="AD36" i="6"/>
  <c r="AB36" i="6"/>
  <c r="AA36" i="6"/>
  <c r="AA36" i="7" s="1"/>
  <c r="Z36" i="6"/>
  <c r="X36" i="6"/>
  <c r="W36" i="6"/>
  <c r="V36" i="6"/>
  <c r="U36" i="6"/>
  <c r="AD35" i="6"/>
  <c r="AC35" i="6"/>
  <c r="AB35" i="6"/>
  <c r="AA35" i="6"/>
  <c r="Z35" i="6"/>
  <c r="Y35" i="6"/>
  <c r="X35" i="6"/>
  <c r="W35" i="6"/>
  <c r="V35" i="6"/>
  <c r="U35" i="6"/>
  <c r="AD34" i="6"/>
  <c r="AB34" i="6"/>
  <c r="AA34" i="6"/>
  <c r="Z34" i="6"/>
  <c r="Z34" i="7" s="1"/>
  <c r="X34" i="6"/>
  <c r="W34" i="6"/>
  <c r="V34" i="6"/>
  <c r="U34" i="6"/>
  <c r="AD33" i="6"/>
  <c r="AB33" i="6"/>
  <c r="AA33" i="6"/>
  <c r="Z33" i="6"/>
  <c r="Y33" i="6"/>
  <c r="X33" i="6"/>
  <c r="W33" i="6"/>
  <c r="V33" i="6"/>
  <c r="U33" i="6"/>
  <c r="AD32" i="6"/>
  <c r="AB32" i="6"/>
  <c r="AA32" i="6"/>
  <c r="AA32" i="7" s="1"/>
  <c r="Z32" i="6"/>
  <c r="Z32" i="7" s="1"/>
  <c r="X32" i="6"/>
  <c r="W32" i="6"/>
  <c r="V32" i="6"/>
  <c r="U32" i="6"/>
  <c r="AD31" i="6"/>
  <c r="AC31" i="6"/>
  <c r="AB31" i="6"/>
  <c r="AA31" i="6"/>
  <c r="AA31" i="7" s="1"/>
  <c r="Z31" i="6"/>
  <c r="Y31" i="6"/>
  <c r="X31" i="6"/>
  <c r="W31" i="6"/>
  <c r="V31" i="6"/>
  <c r="U31" i="6"/>
  <c r="AD30" i="6"/>
  <c r="AB30" i="6"/>
  <c r="AA30" i="6"/>
  <c r="Z30" i="6"/>
  <c r="Z30" i="7" s="1"/>
  <c r="X30" i="6"/>
  <c r="W30" i="6"/>
  <c r="V30" i="6"/>
  <c r="U30" i="6"/>
  <c r="AD29" i="6"/>
  <c r="AB29" i="6"/>
  <c r="AA29" i="6"/>
  <c r="AA29" i="7" s="1"/>
  <c r="Z29" i="6"/>
  <c r="Y29" i="6"/>
  <c r="X29" i="6"/>
  <c r="W29" i="6"/>
  <c r="V29" i="6"/>
  <c r="U29" i="6"/>
  <c r="AD28" i="6"/>
  <c r="AC28" i="6"/>
  <c r="AB28" i="6"/>
  <c r="AA28" i="6"/>
  <c r="AA28" i="7" s="1"/>
  <c r="Z28" i="6"/>
  <c r="Y28" i="6"/>
  <c r="X28" i="6"/>
  <c r="W28" i="6"/>
  <c r="V28" i="6"/>
  <c r="U28" i="6"/>
  <c r="AD27" i="6"/>
  <c r="AC27" i="6"/>
  <c r="AB27" i="6"/>
  <c r="AA27" i="6"/>
  <c r="Z27" i="6"/>
  <c r="X27" i="6"/>
  <c r="W27" i="6"/>
  <c r="V27" i="6"/>
  <c r="U27" i="6"/>
  <c r="AD26" i="6"/>
  <c r="AB26" i="6"/>
  <c r="AA26" i="6"/>
  <c r="AA26" i="7" s="1"/>
  <c r="Z26" i="6"/>
  <c r="X26" i="6"/>
  <c r="W26" i="6"/>
  <c r="V26" i="6"/>
  <c r="U26" i="6"/>
  <c r="AD25" i="6"/>
  <c r="AB25" i="6"/>
  <c r="AA25" i="6"/>
  <c r="Z25" i="6"/>
  <c r="Z25" i="7" s="1"/>
  <c r="X25" i="6"/>
  <c r="W25" i="6"/>
  <c r="V25" i="6"/>
  <c r="U25" i="6"/>
  <c r="AD24" i="6"/>
  <c r="AB24" i="6"/>
  <c r="AA24" i="6"/>
  <c r="AA24" i="7" s="1"/>
  <c r="Z24" i="6"/>
  <c r="Z24" i="7" s="1"/>
  <c r="X24" i="6"/>
  <c r="W24" i="6"/>
  <c r="V24" i="6"/>
  <c r="U24" i="6"/>
  <c r="AD23" i="6"/>
  <c r="AC23" i="6"/>
  <c r="AB23" i="6"/>
  <c r="AA23" i="6"/>
  <c r="AA23" i="7" s="1"/>
  <c r="Z23" i="6"/>
  <c r="Y23" i="6"/>
  <c r="X23" i="6"/>
  <c r="W23" i="6"/>
  <c r="V23" i="6"/>
  <c r="U23" i="6"/>
  <c r="AD22" i="6"/>
  <c r="AC22" i="6"/>
  <c r="AB22" i="6"/>
  <c r="AA22" i="6"/>
  <c r="AA22" i="7" s="1"/>
  <c r="Z22" i="6"/>
  <c r="Y22" i="6"/>
  <c r="X22" i="6"/>
  <c r="W22" i="6"/>
  <c r="V22" i="6"/>
  <c r="U22" i="6"/>
  <c r="AD21" i="6"/>
  <c r="AC21" i="6"/>
  <c r="AB21" i="6"/>
  <c r="AA21" i="6"/>
  <c r="AA21" i="7" s="1"/>
  <c r="Z21" i="6"/>
  <c r="Y21" i="6"/>
  <c r="X21" i="6"/>
  <c r="W21" i="6"/>
  <c r="V21" i="6"/>
  <c r="U21" i="6"/>
  <c r="AD20" i="6"/>
  <c r="AC20" i="6"/>
  <c r="AB20" i="6"/>
  <c r="AA20" i="6"/>
  <c r="AA20" i="7" s="1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AA18" i="7" s="1"/>
  <c r="Z18" i="6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AA16" i="7" s="1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AA12" i="7" s="1"/>
  <c r="Z12" i="6"/>
  <c r="Z12" i="7" s="1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AA10" i="7" s="1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AA8" i="7" s="1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AA6" i="7" s="1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4" i="14"/>
  <c r="AC54" i="14"/>
  <c r="AC54" i="6" s="1"/>
  <c r="Y54" i="14"/>
  <c r="Y54" i="6" s="1"/>
  <c r="AP53" i="14"/>
  <c r="AC53" i="14"/>
  <c r="AC53" i="6" s="1"/>
  <c r="Y53" i="14"/>
  <c r="AP52" i="14"/>
  <c r="AC52" i="14"/>
  <c r="AC52" i="6" s="1"/>
  <c r="Y52" i="14"/>
  <c r="Y52" i="6" s="1"/>
  <c r="AP51" i="14"/>
  <c r="AC51" i="14"/>
  <c r="Y51" i="14"/>
  <c r="AP50" i="14"/>
  <c r="AC50" i="14"/>
  <c r="AC50" i="6" s="1"/>
  <c r="Y50" i="14"/>
  <c r="Y50" i="6" s="1"/>
  <c r="AP49" i="14"/>
  <c r="AC49" i="14"/>
  <c r="AC49" i="6" s="1"/>
  <c r="Y49" i="14"/>
  <c r="AP48" i="14"/>
  <c r="AC48" i="14"/>
  <c r="AC48" i="6" s="1"/>
  <c r="Y48" i="14"/>
  <c r="Y48" i="6" s="1"/>
  <c r="AP47" i="14"/>
  <c r="AC47" i="14"/>
  <c r="Y47" i="14"/>
  <c r="AP46" i="14"/>
  <c r="AC46" i="14"/>
  <c r="AC46" i="6" s="1"/>
  <c r="Y46" i="14"/>
  <c r="Y46" i="6" s="1"/>
  <c r="AP45" i="14"/>
  <c r="AC45" i="14"/>
  <c r="AC45" i="6" s="1"/>
  <c r="Y45" i="14"/>
  <c r="AP44" i="14"/>
  <c r="AC44" i="14"/>
  <c r="AC44" i="6" s="1"/>
  <c r="Y44" i="14"/>
  <c r="Y44" i="6" s="1"/>
  <c r="AP43" i="14"/>
  <c r="AC43" i="14"/>
  <c r="Y43" i="14"/>
  <c r="AP42" i="14"/>
  <c r="AC42" i="14"/>
  <c r="AC42" i="6" s="1"/>
  <c r="Y42" i="14"/>
  <c r="Y42" i="6" s="1"/>
  <c r="AP41" i="14"/>
  <c r="AC41" i="14"/>
  <c r="AC41" i="6" s="1"/>
  <c r="Y41" i="14"/>
  <c r="AP40" i="14"/>
  <c r="AC40" i="14"/>
  <c r="AC40" i="6" s="1"/>
  <c r="Y40" i="14"/>
  <c r="Y40" i="6" s="1"/>
  <c r="AP39" i="14"/>
  <c r="AC39" i="14"/>
  <c r="Y39" i="14"/>
  <c r="AP38" i="14"/>
  <c r="AC38" i="14"/>
  <c r="AC38" i="6" s="1"/>
  <c r="Y38" i="14"/>
  <c r="Y38" i="6" s="1"/>
  <c r="AP37" i="14"/>
  <c r="AC37" i="14"/>
  <c r="AC37" i="6" s="1"/>
  <c r="Y37" i="14"/>
  <c r="AP36" i="14"/>
  <c r="AC36" i="14"/>
  <c r="AC36" i="6" s="1"/>
  <c r="Y36" i="14"/>
  <c r="Y36" i="6" s="1"/>
  <c r="AP35" i="14"/>
  <c r="AC35" i="14"/>
  <c r="Y35" i="14"/>
  <c r="AP34" i="14"/>
  <c r="AC34" i="14"/>
  <c r="AC34" i="6" s="1"/>
  <c r="Y34" i="14"/>
  <c r="Y34" i="6" s="1"/>
  <c r="AP33" i="14"/>
  <c r="AC33" i="14"/>
  <c r="AC33" i="6" s="1"/>
  <c r="Y33" i="14"/>
  <c r="AP32" i="14"/>
  <c r="AC32" i="14"/>
  <c r="AC32" i="6" s="1"/>
  <c r="Y32" i="14"/>
  <c r="Y32" i="6" s="1"/>
  <c r="AP31" i="14"/>
  <c r="AC31" i="14"/>
  <c r="Y31" i="14"/>
  <c r="AP30" i="14"/>
  <c r="AC30" i="14"/>
  <c r="AC30" i="6" s="1"/>
  <c r="Y30" i="14"/>
  <c r="Y30" i="6" s="1"/>
  <c r="AP29" i="14"/>
  <c r="AC29" i="14"/>
  <c r="AC29" i="6" s="1"/>
  <c r="Y29" i="14"/>
  <c r="AP27" i="14"/>
  <c r="AC27" i="14"/>
  <c r="Y27" i="14"/>
  <c r="Y27" i="6" s="1"/>
  <c r="AP26" i="14"/>
  <c r="AC26" i="14"/>
  <c r="AC26" i="6" s="1"/>
  <c r="Y26" i="14"/>
  <c r="Y26" i="6" s="1"/>
  <c r="AP25" i="14"/>
  <c r="AC25" i="14"/>
  <c r="AC25" i="6" s="1"/>
  <c r="Y25" i="14"/>
  <c r="Y25" i="6" s="1"/>
  <c r="AP24" i="14"/>
  <c r="AC24" i="14"/>
  <c r="AC24" i="6" s="1"/>
  <c r="Y24" i="14"/>
  <c r="Y24" i="6" s="1"/>
  <c r="Y9" i="13"/>
  <c r="Y8" i="13"/>
  <c r="Y7" i="13"/>
  <c r="X49" i="13"/>
  <c r="V49" i="13"/>
  <c r="T49" i="13"/>
  <c r="P49" i="13"/>
  <c r="O49" i="13"/>
  <c r="N49" i="13"/>
  <c r="M49" i="13"/>
  <c r="V48" i="13"/>
  <c r="U48" i="13"/>
  <c r="T48" i="13"/>
  <c r="P48" i="13"/>
  <c r="O48" i="13"/>
  <c r="N48" i="13"/>
  <c r="M48" i="13"/>
  <c r="X47" i="13"/>
  <c r="V47" i="13"/>
  <c r="U47" i="13"/>
  <c r="T47" i="13"/>
  <c r="P47" i="13"/>
  <c r="O47" i="13"/>
  <c r="N47" i="13"/>
  <c r="M47" i="13"/>
  <c r="Y9" i="12"/>
  <c r="Y8" i="12"/>
  <c r="Y7" i="12"/>
  <c r="X49" i="12"/>
  <c r="V49" i="12"/>
  <c r="T49" i="12"/>
  <c r="P49" i="12"/>
  <c r="O49" i="12"/>
  <c r="N49" i="12"/>
  <c r="M49" i="12"/>
  <c r="V48" i="12"/>
  <c r="U48" i="12"/>
  <c r="T48" i="12"/>
  <c r="P48" i="12"/>
  <c r="O48" i="12"/>
  <c r="N48" i="12"/>
  <c r="M48" i="12"/>
  <c r="X47" i="12"/>
  <c r="V47" i="12"/>
  <c r="V51" i="12" s="1"/>
  <c r="U47" i="12"/>
  <c r="U51" i="12" s="1"/>
  <c r="T47" i="12"/>
  <c r="T51" i="12" s="1"/>
  <c r="P47" i="12"/>
  <c r="O47" i="12"/>
  <c r="O51" i="12" s="1"/>
  <c r="N47" i="12"/>
  <c r="N51" i="12" s="1"/>
  <c r="M47" i="12"/>
  <c r="M51" i="12" s="1"/>
  <c r="Y44" i="1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AA9" i="11"/>
  <c r="Y9" i="11"/>
  <c r="Y8" i="11"/>
  <c r="Y7" i="11"/>
  <c r="Y6" i="11"/>
  <c r="Y5" i="11"/>
  <c r="X49" i="11"/>
  <c r="V49" i="11"/>
  <c r="T49" i="11"/>
  <c r="P49" i="11"/>
  <c r="O49" i="11"/>
  <c r="N49" i="11"/>
  <c r="M49" i="11"/>
  <c r="V48" i="11"/>
  <c r="U48" i="11"/>
  <c r="T48" i="11"/>
  <c r="P48" i="11"/>
  <c r="O48" i="11"/>
  <c r="N48" i="11"/>
  <c r="M48" i="11"/>
  <c r="X47" i="11"/>
  <c r="V47" i="11"/>
  <c r="V51" i="11" s="1"/>
  <c r="U47" i="11"/>
  <c r="U51" i="11" s="1"/>
  <c r="T47" i="11"/>
  <c r="T51" i="11" s="1"/>
  <c r="P47" i="11"/>
  <c r="P51" i="11" s="1"/>
  <c r="O47" i="11"/>
  <c r="O51" i="11" s="1"/>
  <c r="N47" i="11"/>
  <c r="N51" i="11" s="1"/>
  <c r="M47" i="11"/>
  <c r="X49" i="10"/>
  <c r="X47" i="10"/>
  <c r="V49" i="10"/>
  <c r="V48" i="10"/>
  <c r="V47" i="10"/>
  <c r="U48" i="10"/>
  <c r="U47" i="10"/>
  <c r="T49" i="10"/>
  <c r="T48" i="10"/>
  <c r="T47" i="10"/>
  <c r="R50" i="10"/>
  <c r="R9" i="11" s="1"/>
  <c r="P49" i="10"/>
  <c r="P48" i="10"/>
  <c r="P47" i="10"/>
  <c r="O49" i="10"/>
  <c r="O48" i="10"/>
  <c r="O47" i="10"/>
  <c r="N49" i="10"/>
  <c r="N48" i="10"/>
  <c r="N47" i="10"/>
  <c r="M49" i="10"/>
  <c r="M48" i="10"/>
  <c r="M47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7" i="10"/>
  <c r="Z16" i="10"/>
  <c r="Z15" i="10"/>
  <c r="Z14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7" i="10"/>
  <c r="V16" i="10"/>
  <c r="V15" i="10"/>
  <c r="V14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7" i="10"/>
  <c r="U16" i="10"/>
  <c r="U15" i="10"/>
  <c r="U14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7" i="10"/>
  <c r="T16" i="10"/>
  <c r="T15" i="10"/>
  <c r="T14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7" i="10"/>
  <c r="R16" i="10"/>
  <c r="R15" i="10"/>
  <c r="R14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7" i="10"/>
  <c r="P16" i="10"/>
  <c r="P15" i="10"/>
  <c r="P14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7" i="10"/>
  <c r="O16" i="10"/>
  <c r="O15" i="10"/>
  <c r="O14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7" i="10"/>
  <c r="N16" i="10"/>
  <c r="N15" i="10"/>
  <c r="N14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7" i="10"/>
  <c r="M16" i="10"/>
  <c r="M15" i="10"/>
  <c r="M14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7" i="10"/>
  <c r="L16" i="10"/>
  <c r="L15" i="10"/>
  <c r="L14" i="10"/>
  <c r="AK59" i="9"/>
  <c r="AF59" i="9"/>
  <c r="AP57" i="9" s="1"/>
  <c r="AE59" i="9"/>
  <c r="AO57" i="9" s="1"/>
  <c r="AC59" i="9"/>
  <c r="Y59" i="9"/>
  <c r="X59" i="9"/>
  <c r="W59" i="9"/>
  <c r="S59" i="9"/>
  <c r="R59" i="9"/>
  <c r="Q59" i="9"/>
  <c r="P59" i="9"/>
  <c r="O59" i="9"/>
  <c r="M59" i="9"/>
  <c r="L59" i="9"/>
  <c r="AK58" i="9"/>
  <c r="AF58" i="9"/>
  <c r="AC58" i="9"/>
  <c r="AA58" i="9"/>
  <c r="Z58" i="9"/>
  <c r="Y58" i="9"/>
  <c r="X58" i="9"/>
  <c r="W58" i="9"/>
  <c r="V58" i="9"/>
  <c r="U58" i="9"/>
  <c r="S58" i="9"/>
  <c r="R58" i="9"/>
  <c r="Q58" i="9"/>
  <c r="P58" i="9"/>
  <c r="O58" i="9"/>
  <c r="M58" i="9"/>
  <c r="L58" i="9"/>
  <c r="AL60" i="8"/>
  <c r="AG60" i="8"/>
  <c r="AD60" i="8"/>
  <c r="AB60" i="8"/>
  <c r="T60" i="8"/>
  <c r="AK59" i="8"/>
  <c r="AF59" i="8"/>
  <c r="AE59" i="8"/>
  <c r="AC59" i="8"/>
  <c r="Y59" i="8"/>
  <c r="X59" i="8"/>
  <c r="W59" i="8"/>
  <c r="S59" i="8"/>
  <c r="R59" i="8"/>
  <c r="Q59" i="8"/>
  <c r="P59" i="8"/>
  <c r="O59" i="8"/>
  <c r="M59" i="8"/>
  <c r="L59" i="8"/>
  <c r="AK58" i="8"/>
  <c r="AF58" i="8"/>
  <c r="AP57" i="8" s="1"/>
  <c r="AC58" i="8"/>
  <c r="AA58" i="8"/>
  <c r="Z58" i="8"/>
  <c r="Y58" i="8"/>
  <c r="X58" i="8"/>
  <c r="W58" i="8"/>
  <c r="V58" i="8"/>
  <c r="U58" i="8"/>
  <c r="S58" i="8"/>
  <c r="R58" i="8"/>
  <c r="Q58" i="8"/>
  <c r="P58" i="8"/>
  <c r="O58" i="8"/>
  <c r="M58" i="8"/>
  <c r="L58" i="8"/>
  <c r="AL60" i="7"/>
  <c r="AG60" i="7"/>
  <c r="AD60" i="7"/>
  <c r="AB60" i="7"/>
  <c r="T60" i="7"/>
  <c r="AM60" i="7" s="1"/>
  <c r="AG54" i="7"/>
  <c r="AA54" i="7"/>
  <c r="AG53" i="7"/>
  <c r="Z53" i="7"/>
  <c r="AG52" i="7"/>
  <c r="Z52" i="7"/>
  <c r="AG51" i="7"/>
  <c r="AA51" i="7"/>
  <c r="Z51" i="7"/>
  <c r="AG50" i="7"/>
  <c r="AA50" i="7"/>
  <c r="AG49" i="7"/>
  <c r="AA49" i="7"/>
  <c r="Z49" i="7"/>
  <c r="AG48" i="7"/>
  <c r="AG47" i="7"/>
  <c r="Z47" i="7"/>
  <c r="AG46" i="7"/>
  <c r="AA46" i="7"/>
  <c r="AG45" i="7"/>
  <c r="Z45" i="7"/>
  <c r="AG44" i="7"/>
  <c r="Z44" i="7"/>
  <c r="AG43" i="7"/>
  <c r="AA43" i="7"/>
  <c r="Z43" i="7"/>
  <c r="AG42" i="7"/>
  <c r="AA42" i="7"/>
  <c r="Z42" i="7"/>
  <c r="AG41" i="7"/>
  <c r="Z41" i="7"/>
  <c r="AG40" i="7"/>
  <c r="AG39" i="7"/>
  <c r="Z39" i="7"/>
  <c r="AG38" i="7"/>
  <c r="AA38" i="7"/>
  <c r="AG37" i="7"/>
  <c r="Z37" i="7"/>
  <c r="AG36" i="7"/>
  <c r="Z36" i="7"/>
  <c r="AG35" i="7"/>
  <c r="AA35" i="7"/>
  <c r="Z35" i="7"/>
  <c r="AG34" i="7"/>
  <c r="AA34" i="7"/>
  <c r="AG33" i="7"/>
  <c r="AA33" i="7"/>
  <c r="Z33" i="7"/>
  <c r="AG32" i="7"/>
  <c r="AG31" i="7"/>
  <c r="Z31" i="7"/>
  <c r="AG30" i="7"/>
  <c r="AA30" i="7"/>
  <c r="AG29" i="7"/>
  <c r="Z29" i="7"/>
  <c r="AG28" i="7"/>
  <c r="Z28" i="7"/>
  <c r="AG27" i="7"/>
  <c r="AA27" i="7"/>
  <c r="Z27" i="7"/>
  <c r="AG26" i="7"/>
  <c r="Z26" i="7"/>
  <c r="AG25" i="7"/>
  <c r="AA25" i="7"/>
  <c r="AG24" i="7"/>
  <c r="AG23" i="7"/>
  <c r="Z23" i="7"/>
  <c r="AG22" i="7"/>
  <c r="Z22" i="7"/>
  <c r="AG21" i="7"/>
  <c r="Z21" i="7"/>
  <c r="AG20" i="7"/>
  <c r="Z20" i="7"/>
  <c r="AG19" i="7"/>
  <c r="AA19" i="7"/>
  <c r="Z19" i="7"/>
  <c r="AG18" i="7"/>
  <c r="Z18" i="7"/>
  <c r="AG17" i="7"/>
  <c r="AA17" i="7"/>
  <c r="Z17" i="7"/>
  <c r="AG16" i="7"/>
  <c r="Z16" i="7"/>
  <c r="AG15" i="7"/>
  <c r="Z15" i="7"/>
  <c r="AG14" i="7"/>
  <c r="AA14" i="7"/>
  <c r="Z14" i="7"/>
  <c r="AG13" i="7"/>
  <c r="Z13" i="7"/>
  <c r="AG12" i="7"/>
  <c r="AG11" i="7"/>
  <c r="Z11" i="7"/>
  <c r="AG10" i="7"/>
  <c r="Z10" i="7"/>
  <c r="AG9" i="7"/>
  <c r="Z9" i="7"/>
  <c r="AG8" i="7"/>
  <c r="Z8" i="7"/>
  <c r="AG7" i="7"/>
  <c r="AA7" i="7"/>
  <c r="Z7" i="7"/>
  <c r="AG6" i="7"/>
  <c r="Z6" i="7"/>
  <c r="AG5" i="7"/>
  <c r="AA5" i="7"/>
  <c r="Z5" i="7"/>
  <c r="AK59" i="7"/>
  <c r="AF59" i="7"/>
  <c r="AE59" i="7"/>
  <c r="AC59" i="7"/>
  <c r="Y59" i="7"/>
  <c r="X59" i="7"/>
  <c r="W59" i="7"/>
  <c r="S59" i="7"/>
  <c r="R59" i="7"/>
  <c r="Q59" i="7"/>
  <c r="P59" i="7"/>
  <c r="O59" i="7"/>
  <c r="M59" i="7"/>
  <c r="L59" i="7"/>
  <c r="AK58" i="7"/>
  <c r="AF58" i="7"/>
  <c r="AC58" i="7"/>
  <c r="AA58" i="7"/>
  <c r="Z58" i="7"/>
  <c r="Y58" i="7"/>
  <c r="X58" i="7"/>
  <c r="W58" i="7"/>
  <c r="V58" i="7"/>
  <c r="U58" i="7"/>
  <c r="S58" i="7"/>
  <c r="R58" i="7"/>
  <c r="Q58" i="7"/>
  <c r="P58" i="7"/>
  <c r="O58" i="7"/>
  <c r="M58" i="7"/>
  <c r="L58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7" i="7"/>
  <c r="AP26" i="7"/>
  <c r="AP25" i="7"/>
  <c r="AP24" i="7"/>
  <c r="AA59" i="6"/>
  <c r="Z59" i="6"/>
  <c r="AK61" i="6"/>
  <c r="AK60" i="6"/>
  <c r="AK59" i="6"/>
  <c r="AK57" i="7" s="1"/>
  <c r="AF61" i="6"/>
  <c r="AF60" i="6"/>
  <c r="AF59" i="6"/>
  <c r="AE61" i="6"/>
  <c r="AE59" i="6"/>
  <c r="AC61" i="6"/>
  <c r="AC60" i="6"/>
  <c r="AC59" i="6"/>
  <c r="AA60" i="6"/>
  <c r="Z60" i="6"/>
  <c r="Y61" i="6"/>
  <c r="Y60" i="6"/>
  <c r="X61" i="6"/>
  <c r="X60" i="6"/>
  <c r="X59" i="6"/>
  <c r="W61" i="6"/>
  <c r="W60" i="6"/>
  <c r="V60" i="6"/>
  <c r="U60" i="6"/>
  <c r="U59" i="6"/>
  <c r="S61" i="6"/>
  <c r="S60" i="6"/>
  <c r="S59" i="6"/>
  <c r="R61" i="6"/>
  <c r="R60" i="6"/>
  <c r="R59" i="6"/>
  <c r="Q61" i="6"/>
  <c r="Q60" i="6"/>
  <c r="Q59" i="6"/>
  <c r="P61" i="6"/>
  <c r="P60" i="6"/>
  <c r="P59" i="6"/>
  <c r="O61" i="6"/>
  <c r="O60" i="6"/>
  <c r="O59" i="6"/>
  <c r="M61" i="6"/>
  <c r="M60" i="6"/>
  <c r="M59" i="6"/>
  <c r="L61" i="6"/>
  <c r="L60" i="6"/>
  <c r="L59" i="6"/>
  <c r="AK19" i="6"/>
  <c r="AK18" i="6"/>
  <c r="AK13" i="6"/>
  <c r="AK12" i="6"/>
  <c r="AK11" i="6"/>
  <c r="AK10" i="6"/>
  <c r="AK9" i="6"/>
  <c r="AK6" i="6"/>
  <c r="AK5" i="6"/>
  <c r="AI54" i="6"/>
  <c r="AI53" i="6"/>
  <c r="AI52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7" i="6"/>
  <c r="AI26" i="6"/>
  <c r="AI25" i="6"/>
  <c r="AI24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7" i="6"/>
  <c r="AH26" i="6"/>
  <c r="AH25" i="6"/>
  <c r="AH24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7" i="6"/>
  <c r="S26" i="6"/>
  <c r="S25" i="6"/>
  <c r="S24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28" i="6"/>
  <c r="Q23" i="6"/>
  <c r="Q22" i="6"/>
  <c r="Q21" i="6"/>
  <c r="Q20" i="6"/>
  <c r="Q15" i="6"/>
  <c r="Q14" i="6"/>
  <c r="Q7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7" i="6"/>
  <c r="O26" i="6"/>
  <c r="O25" i="6"/>
  <c r="O24" i="6"/>
  <c r="AP54" i="6"/>
  <c r="AP53" i="6"/>
  <c r="AP52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7" i="6"/>
  <c r="AP26" i="6"/>
  <c r="AP25" i="6"/>
  <c r="AP24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28" i="6"/>
  <c r="L23" i="6"/>
  <c r="L22" i="6"/>
  <c r="L21" i="6"/>
  <c r="L20" i="6"/>
  <c r="L15" i="6"/>
  <c r="L14" i="6"/>
  <c r="L7" i="6"/>
  <c r="AJ61" i="6"/>
  <c r="AJ59" i="6"/>
  <c r="AI59" i="6"/>
  <c r="AH59" i="7"/>
  <c r="AH59" i="6"/>
  <c r="W59" i="6"/>
  <c r="F45" i="5"/>
  <c r="E45" i="5"/>
  <c r="F43" i="5"/>
  <c r="D43" i="5"/>
  <c r="E41" i="5"/>
  <c r="D41" i="5"/>
  <c r="E28" i="5"/>
  <c r="AL58" i="7" s="1"/>
  <c r="F23" i="5"/>
  <c r="D23" i="5"/>
  <c r="AG59" i="6" s="1"/>
  <c r="F20" i="5"/>
  <c r="AD61" i="6" s="1"/>
  <c r="E20" i="5"/>
  <c r="AD60" i="6" s="1"/>
  <c r="D20" i="5"/>
  <c r="AD59" i="6" s="1"/>
  <c r="F18" i="5"/>
  <c r="E18" i="5"/>
  <c r="D18" i="5"/>
  <c r="AB59" i="6" s="1"/>
  <c r="T41" i="4"/>
  <c r="S41" i="4"/>
  <c r="R41" i="4"/>
  <c r="Q41" i="4"/>
  <c r="P41" i="4"/>
  <c r="O41" i="4"/>
  <c r="N41" i="4"/>
  <c r="M41" i="4"/>
  <c r="L41" i="4"/>
  <c r="K41" i="4"/>
  <c r="J41" i="4"/>
  <c r="I41" i="4"/>
  <c r="U41" i="4" s="1"/>
  <c r="T40" i="4"/>
  <c r="S40" i="4"/>
  <c r="R40" i="4"/>
  <c r="Q40" i="4"/>
  <c r="P40" i="4"/>
  <c r="O40" i="4"/>
  <c r="N40" i="4"/>
  <c r="M40" i="4"/>
  <c r="L40" i="4"/>
  <c r="K40" i="4"/>
  <c r="J40" i="4"/>
  <c r="I40" i="4"/>
  <c r="U40" i="4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51" i="3"/>
  <c r="S51" i="3"/>
  <c r="R51" i="3"/>
  <c r="Q51" i="3"/>
  <c r="P51" i="3"/>
  <c r="O51" i="3"/>
  <c r="N51" i="3"/>
  <c r="M51" i="3"/>
  <c r="L51" i="3"/>
  <c r="K51" i="3"/>
  <c r="J51" i="3"/>
  <c r="I51" i="3"/>
  <c r="U51" i="3" s="1"/>
  <c r="T50" i="3"/>
  <c r="S50" i="3"/>
  <c r="R50" i="3"/>
  <c r="Q50" i="3"/>
  <c r="P50" i="3"/>
  <c r="O50" i="3"/>
  <c r="N50" i="3"/>
  <c r="M50" i="3"/>
  <c r="L50" i="3"/>
  <c r="K50" i="3"/>
  <c r="J50" i="3"/>
  <c r="I50" i="3"/>
  <c r="U50" i="3" s="1"/>
  <c r="T49" i="3"/>
  <c r="S49" i="3"/>
  <c r="R49" i="3"/>
  <c r="Q49" i="3"/>
  <c r="P49" i="3"/>
  <c r="O49" i="3"/>
  <c r="N49" i="3"/>
  <c r="M49" i="3"/>
  <c r="L49" i="3"/>
  <c r="K49" i="3"/>
  <c r="J49" i="3"/>
  <c r="I49" i="3"/>
  <c r="U49" i="3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Q8" i="3"/>
  <c r="M8" i="3"/>
  <c r="I8" i="3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T8" i="3" s="1"/>
  <c r="S6" i="3"/>
  <c r="S8" i="3" s="1"/>
  <c r="R6" i="3"/>
  <c r="R8" i="3" s="1"/>
  <c r="Q6" i="3"/>
  <c r="P6" i="3"/>
  <c r="P8" i="3" s="1"/>
  <c r="O6" i="3"/>
  <c r="O8" i="3" s="1"/>
  <c r="N6" i="3"/>
  <c r="N8" i="3" s="1"/>
  <c r="M6" i="3"/>
  <c r="L6" i="3"/>
  <c r="L8" i="3" s="1"/>
  <c r="K6" i="3"/>
  <c r="K8" i="3" s="1"/>
  <c r="J6" i="3"/>
  <c r="J8" i="3" s="1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13" i="25" l="1"/>
  <c r="I13" i="9"/>
  <c r="I13" i="8"/>
  <c r="I13" i="6"/>
  <c r="I13" i="14"/>
  <c r="I13" i="7"/>
  <c r="I14" i="25"/>
  <c r="I14" i="8"/>
  <c r="I14" i="6"/>
  <c r="I14" i="14"/>
  <c r="I14" i="7"/>
  <c r="I14" i="9"/>
  <c r="I15" i="25"/>
  <c r="I15" i="8"/>
  <c r="I15" i="6"/>
  <c r="I15" i="14"/>
  <c r="I15" i="7"/>
  <c r="I15" i="9"/>
  <c r="I16" i="25"/>
  <c r="I16" i="14"/>
  <c r="I16" i="7"/>
  <c r="I16" i="9"/>
  <c r="I16" i="8"/>
  <c r="I16" i="6"/>
  <c r="I17" i="25"/>
  <c r="I17" i="9"/>
  <c r="I17" i="8"/>
  <c r="I17" i="6"/>
  <c r="I17" i="14"/>
  <c r="I17" i="7"/>
  <c r="I18" i="25"/>
  <c r="I18" i="6"/>
  <c r="I18" i="8"/>
  <c r="I18" i="14"/>
  <c r="I18" i="7"/>
  <c r="I18" i="9"/>
  <c r="I19" i="25"/>
  <c r="I19" i="8"/>
  <c r="I19" i="14"/>
  <c r="I19" i="7"/>
  <c r="I19" i="9"/>
  <c r="I19" i="6"/>
  <c r="I20" i="25"/>
  <c r="I20" i="14"/>
  <c r="I20" i="7"/>
  <c r="I20" i="9"/>
  <c r="I20" i="6"/>
  <c r="I20" i="8"/>
  <c r="I21" i="25"/>
  <c r="I21" i="9"/>
  <c r="I21" i="6"/>
  <c r="I21" i="8"/>
  <c r="I21" i="14"/>
  <c r="I21" i="7"/>
  <c r="I22" i="25"/>
  <c r="I22" i="8"/>
  <c r="I22" i="14"/>
  <c r="I22" i="7"/>
  <c r="I22" i="9"/>
  <c r="I22" i="6"/>
  <c r="I23" i="25"/>
  <c r="I23" i="8"/>
  <c r="I23" i="14"/>
  <c r="I23" i="7"/>
  <c r="I23" i="9"/>
  <c r="I23" i="6"/>
  <c r="I24" i="25"/>
  <c r="I24" i="14"/>
  <c r="I24" i="7"/>
  <c r="I24" i="9"/>
  <c r="I24" i="6"/>
  <c r="I24" i="8"/>
  <c r="I25" i="25"/>
  <c r="I25" i="14"/>
  <c r="I25" i="9"/>
  <c r="I25" i="6"/>
  <c r="I25" i="8"/>
  <c r="I25" i="7"/>
  <c r="I12" i="25"/>
  <c r="I12" i="14"/>
  <c r="I12" i="7"/>
  <c r="I12" i="9"/>
  <c r="I12" i="8"/>
  <c r="I12" i="6"/>
  <c r="P12" i="5"/>
  <c r="I5" i="25"/>
  <c r="AX60" i="25" s="1"/>
  <c r="I5" i="9"/>
  <c r="I5" i="8"/>
  <c r="I5" i="6"/>
  <c r="I5" i="14"/>
  <c r="I5" i="7"/>
  <c r="I6" i="25"/>
  <c r="I6" i="8"/>
  <c r="I6" i="6"/>
  <c r="I6" i="14"/>
  <c r="I6" i="7"/>
  <c r="I6" i="9"/>
  <c r="I7" i="25"/>
  <c r="AZ62" i="25" s="1"/>
  <c r="I7" i="8"/>
  <c r="I7" i="6"/>
  <c r="I7" i="14"/>
  <c r="I7" i="7"/>
  <c r="I7" i="9"/>
  <c r="I8" i="25"/>
  <c r="AR63" i="25" s="1"/>
  <c r="I8" i="14"/>
  <c r="I8" i="7"/>
  <c r="I8" i="9"/>
  <c r="I8" i="8"/>
  <c r="I8" i="6"/>
  <c r="I9" i="25"/>
  <c r="I9" i="9"/>
  <c r="I9" i="8"/>
  <c r="I9" i="6"/>
  <c r="I9" i="14"/>
  <c r="I9" i="7"/>
  <c r="I10" i="25"/>
  <c r="I10" i="8"/>
  <c r="I10" i="6"/>
  <c r="I10" i="14"/>
  <c r="I10" i="7"/>
  <c r="I10" i="9"/>
  <c r="U8" i="3"/>
  <c r="U23" i="3"/>
  <c r="U24" i="3"/>
  <c r="U25" i="3"/>
  <c r="I29" i="25"/>
  <c r="I29" i="9"/>
  <c r="I29" i="6"/>
  <c r="I29" i="8"/>
  <c r="I29" i="14"/>
  <c r="I29" i="7"/>
  <c r="I30" i="25"/>
  <c r="I30" i="8"/>
  <c r="I30" i="7"/>
  <c r="I30" i="14"/>
  <c r="I30" i="9"/>
  <c r="I30" i="6"/>
  <c r="I31" i="25"/>
  <c r="I31" i="8"/>
  <c r="I31" i="9"/>
  <c r="I31" i="6"/>
  <c r="I31" i="14"/>
  <c r="I31" i="7"/>
  <c r="I32" i="25"/>
  <c r="I32" i="9"/>
  <c r="I32" i="7"/>
  <c r="I32" i="6"/>
  <c r="I32" i="14"/>
  <c r="I32" i="8"/>
  <c r="I33" i="25"/>
  <c r="I33" i="9"/>
  <c r="I33" i="6"/>
  <c r="I33" i="8"/>
  <c r="I33" i="14"/>
  <c r="I33" i="7"/>
  <c r="I34" i="25"/>
  <c r="I34" i="8"/>
  <c r="I34" i="7"/>
  <c r="I34" i="14"/>
  <c r="I34" i="9"/>
  <c r="I34" i="6"/>
  <c r="I35" i="25"/>
  <c r="I35" i="8"/>
  <c r="I35" i="9"/>
  <c r="I35" i="6"/>
  <c r="I35" i="14"/>
  <c r="I35" i="7"/>
  <c r="I36" i="25"/>
  <c r="I36" i="9"/>
  <c r="I36" i="7"/>
  <c r="I36" i="6"/>
  <c r="I36" i="14"/>
  <c r="I36" i="8"/>
  <c r="I37" i="25"/>
  <c r="I37" i="9"/>
  <c r="I37" i="6"/>
  <c r="I37" i="8"/>
  <c r="I37" i="14"/>
  <c r="I37" i="7"/>
  <c r="I38" i="25"/>
  <c r="I38" i="8"/>
  <c r="I38" i="7"/>
  <c r="I38" i="14"/>
  <c r="I38" i="9"/>
  <c r="I38" i="6"/>
  <c r="I39" i="25"/>
  <c r="I39" i="8"/>
  <c r="I39" i="9"/>
  <c r="I39" i="6"/>
  <c r="I39" i="14"/>
  <c r="I39" i="7"/>
  <c r="I40" i="25"/>
  <c r="I40" i="9"/>
  <c r="I40" i="7"/>
  <c r="I40" i="6"/>
  <c r="I40" i="14"/>
  <c r="I40" i="8"/>
  <c r="I41" i="25"/>
  <c r="I41" i="9"/>
  <c r="I41" i="6"/>
  <c r="I41" i="8"/>
  <c r="I41" i="14"/>
  <c r="I41" i="7"/>
  <c r="I42" i="25"/>
  <c r="I42" i="8"/>
  <c r="I42" i="7"/>
  <c r="I42" i="14"/>
  <c r="I42" i="9"/>
  <c r="I42" i="6"/>
  <c r="I43" i="25"/>
  <c r="I43" i="8"/>
  <c r="I43" i="9"/>
  <c r="I43" i="6"/>
  <c r="I43" i="14"/>
  <c r="I43" i="7"/>
  <c r="I44" i="25"/>
  <c r="I44" i="9"/>
  <c r="I44" i="7"/>
  <c r="I44" i="6"/>
  <c r="I44" i="14"/>
  <c r="I44" i="8"/>
  <c r="I45" i="25"/>
  <c r="I45" i="9"/>
  <c r="I45" i="6"/>
  <c r="I45" i="8"/>
  <c r="I45" i="14"/>
  <c r="I45" i="7"/>
  <c r="I46" i="25"/>
  <c r="I46" i="8"/>
  <c r="I46" i="7"/>
  <c r="I46" i="14"/>
  <c r="I46" i="9"/>
  <c r="I46" i="6"/>
  <c r="I47" i="25"/>
  <c r="I47" i="8"/>
  <c r="I47" i="9"/>
  <c r="I47" i="6"/>
  <c r="I47" i="14"/>
  <c r="I47" i="7"/>
  <c r="I48" i="25"/>
  <c r="I48" i="9"/>
  <c r="I48" i="7"/>
  <c r="I48" i="6"/>
  <c r="I48" i="14"/>
  <c r="I48" i="8"/>
  <c r="I49" i="25"/>
  <c r="I49" i="9"/>
  <c r="I49" i="6"/>
  <c r="I49" i="8"/>
  <c r="I49" i="14"/>
  <c r="I49" i="7"/>
  <c r="I50" i="25"/>
  <c r="I50" i="8"/>
  <c r="I50" i="7"/>
  <c r="I50" i="14"/>
  <c r="I50" i="9"/>
  <c r="I50" i="6"/>
  <c r="I51" i="25"/>
  <c r="I51" i="8"/>
  <c r="I51" i="9"/>
  <c r="I51" i="6"/>
  <c r="I51" i="14"/>
  <c r="I51" i="7"/>
  <c r="I52" i="25"/>
  <c r="I52" i="9"/>
  <c r="I52" i="7"/>
  <c r="I52" i="6"/>
  <c r="I52" i="14"/>
  <c r="I52" i="8"/>
  <c r="I53" i="25"/>
  <c r="I53" i="9"/>
  <c r="I53" i="6"/>
  <c r="I53" i="8"/>
  <c r="I53" i="14"/>
  <c r="I53" i="7"/>
  <c r="I54" i="25"/>
  <c r="I54" i="8"/>
  <c r="I54" i="7"/>
  <c r="I54" i="14"/>
  <c r="I54" i="9"/>
  <c r="I54" i="6"/>
  <c r="I5" i="26"/>
  <c r="AF50" i="26" s="1"/>
  <c r="P14" i="5"/>
  <c r="I5" i="13"/>
  <c r="I5" i="11"/>
  <c r="I5" i="12"/>
  <c r="I5" i="10"/>
  <c r="I6" i="26"/>
  <c r="I6" i="12"/>
  <c r="I6" i="10"/>
  <c r="I6" i="13"/>
  <c r="I6" i="11"/>
  <c r="I7" i="26"/>
  <c r="I7" i="10"/>
  <c r="I7" i="13"/>
  <c r="I7" i="11"/>
  <c r="I7" i="12"/>
  <c r="I8" i="26"/>
  <c r="I8" i="10"/>
  <c r="I8" i="13"/>
  <c r="I8" i="11"/>
  <c r="I8" i="12"/>
  <c r="I9" i="26"/>
  <c r="AF54" i="26" s="1"/>
  <c r="I9" i="13"/>
  <c r="I9" i="11"/>
  <c r="I9" i="12"/>
  <c r="I9" i="10"/>
  <c r="I10" i="26"/>
  <c r="I10" i="12"/>
  <c r="I10" i="10"/>
  <c r="I10" i="13"/>
  <c r="I10" i="11"/>
  <c r="I11" i="26"/>
  <c r="I11" i="10"/>
  <c r="I11" i="13"/>
  <c r="I11" i="11"/>
  <c r="I11" i="12"/>
  <c r="I12" i="26"/>
  <c r="I12" i="10"/>
  <c r="I12" i="13"/>
  <c r="I12" i="11"/>
  <c r="I12" i="12"/>
  <c r="I13" i="26"/>
  <c r="I13" i="13"/>
  <c r="I13" i="11"/>
  <c r="I13" i="12"/>
  <c r="I13" i="10"/>
  <c r="I14" i="26"/>
  <c r="I14" i="12"/>
  <c r="I14" i="10"/>
  <c r="I14" i="13"/>
  <c r="I14" i="11"/>
  <c r="I15" i="26"/>
  <c r="I15" i="10"/>
  <c r="I15" i="13"/>
  <c r="I15" i="11"/>
  <c r="I15" i="12"/>
  <c r="I16" i="26"/>
  <c r="I16" i="10"/>
  <c r="I16" i="13"/>
  <c r="I16" i="11"/>
  <c r="I16" i="12"/>
  <c r="I17" i="26"/>
  <c r="I17" i="13"/>
  <c r="I17" i="11"/>
  <c r="I17" i="12"/>
  <c r="I17" i="10"/>
  <c r="I18" i="26"/>
  <c r="I18" i="12"/>
  <c r="I18" i="10"/>
  <c r="I18" i="13"/>
  <c r="I18" i="11"/>
  <c r="I19" i="26"/>
  <c r="I19" i="10"/>
  <c r="I19" i="13"/>
  <c r="I19" i="11"/>
  <c r="I19" i="12"/>
  <c r="I20" i="26"/>
  <c r="I20" i="10"/>
  <c r="I20" i="13"/>
  <c r="I20" i="11"/>
  <c r="I20" i="12"/>
  <c r="I21" i="26"/>
  <c r="I21" i="13"/>
  <c r="I21" i="11"/>
  <c r="I21" i="12"/>
  <c r="I21" i="10"/>
  <c r="I22" i="26"/>
  <c r="I22" i="12"/>
  <c r="I22" i="10"/>
  <c r="I22" i="13"/>
  <c r="I22" i="11"/>
  <c r="I23" i="26"/>
  <c r="I23" i="10"/>
  <c r="I23" i="13"/>
  <c r="I23" i="11"/>
  <c r="I23" i="12"/>
  <c r="I24" i="26"/>
  <c r="I24" i="10"/>
  <c r="I24" i="13"/>
  <c r="I24" i="11"/>
  <c r="I24" i="12"/>
  <c r="I25" i="26"/>
  <c r="I25" i="13"/>
  <c r="I25" i="11"/>
  <c r="I25" i="12"/>
  <c r="I25" i="10"/>
  <c r="I26" i="26"/>
  <c r="I26" i="12"/>
  <c r="I26" i="10"/>
  <c r="I26" i="13"/>
  <c r="I26" i="11"/>
  <c r="I27" i="26"/>
  <c r="I27" i="10"/>
  <c r="I27" i="13"/>
  <c r="I27" i="11"/>
  <c r="I27" i="12"/>
  <c r="I28" i="26"/>
  <c r="I28" i="10"/>
  <c r="I28" i="13"/>
  <c r="I28" i="11"/>
  <c r="I28" i="12"/>
  <c r="I29" i="26"/>
  <c r="I29" i="13"/>
  <c r="I29" i="11"/>
  <c r="I29" i="12"/>
  <c r="I29" i="10"/>
  <c r="I30" i="26"/>
  <c r="I30" i="12"/>
  <c r="I30" i="10"/>
  <c r="I30" i="13"/>
  <c r="I30" i="11"/>
  <c r="I31" i="26"/>
  <c r="I31" i="10"/>
  <c r="I31" i="13"/>
  <c r="I31" i="11"/>
  <c r="I31" i="12"/>
  <c r="I32" i="26"/>
  <c r="I32" i="10"/>
  <c r="I32" i="13"/>
  <c r="I32" i="11"/>
  <c r="I32" i="12"/>
  <c r="I33" i="26"/>
  <c r="I33" i="13"/>
  <c r="I33" i="11"/>
  <c r="I33" i="12"/>
  <c r="I33" i="10"/>
  <c r="I34" i="26"/>
  <c r="I34" i="12"/>
  <c r="I34" i="10"/>
  <c r="I34" i="13"/>
  <c r="I34" i="11"/>
  <c r="I35" i="26"/>
  <c r="I35" i="10"/>
  <c r="I35" i="13"/>
  <c r="I35" i="11"/>
  <c r="I35" i="12"/>
  <c r="I36" i="26"/>
  <c r="I36" i="10"/>
  <c r="I36" i="13"/>
  <c r="I36" i="11"/>
  <c r="I36" i="12"/>
  <c r="I37" i="26"/>
  <c r="I37" i="13"/>
  <c r="I37" i="11"/>
  <c r="I37" i="12"/>
  <c r="I37" i="10"/>
  <c r="I38" i="26"/>
  <c r="I38" i="12"/>
  <c r="I38" i="10"/>
  <c r="I38" i="13"/>
  <c r="I38" i="11"/>
  <c r="I39" i="26"/>
  <c r="I39" i="10"/>
  <c r="I39" i="13"/>
  <c r="I39" i="11"/>
  <c r="I39" i="12"/>
  <c r="I40" i="26"/>
  <c r="I40" i="10"/>
  <c r="I40" i="13"/>
  <c r="I40" i="11"/>
  <c r="I40" i="12"/>
  <c r="I41" i="26"/>
  <c r="I41" i="13"/>
  <c r="I41" i="11"/>
  <c r="I41" i="12"/>
  <c r="I41" i="10"/>
  <c r="I42" i="26"/>
  <c r="I42" i="12"/>
  <c r="I42" i="10"/>
  <c r="I42" i="13"/>
  <c r="I42" i="11"/>
  <c r="I43" i="26"/>
  <c r="I43" i="10"/>
  <c r="I43" i="13"/>
  <c r="I43" i="11"/>
  <c r="I43" i="12"/>
  <c r="I44" i="26"/>
  <c r="I44" i="10"/>
  <c r="I44" i="13"/>
  <c r="I44" i="11"/>
  <c r="I44" i="12"/>
  <c r="AB27" i="16"/>
  <c r="AC29" i="16"/>
  <c r="AB31" i="16"/>
  <c r="AC33" i="16"/>
  <c r="AB35" i="16"/>
  <c r="AC37" i="16"/>
  <c r="AB39" i="16"/>
  <c r="AC41" i="16"/>
  <c r="AB43" i="16"/>
  <c r="AC45" i="16"/>
  <c r="AB47" i="16"/>
  <c r="AC49" i="16"/>
  <c r="AB51" i="16"/>
  <c r="AC53" i="16"/>
  <c r="AB55" i="16"/>
  <c r="AC57" i="16"/>
  <c r="AB59" i="16"/>
  <c r="AD60" i="16"/>
  <c r="AC61" i="16"/>
  <c r="AO3" i="16"/>
  <c r="AO4" i="16"/>
  <c r="AO5" i="16"/>
  <c r="AC27" i="16"/>
  <c r="AB29" i="16"/>
  <c r="AC31" i="16"/>
  <c r="AB33" i="16"/>
  <c r="AC35" i="16"/>
  <c r="AB37" i="16"/>
  <c r="AC39" i="16"/>
  <c r="AB41" i="16"/>
  <c r="AC43" i="16"/>
  <c r="AB45" i="16"/>
  <c r="AC47" i="16"/>
  <c r="AB49" i="16"/>
  <c r="AC51" i="16"/>
  <c r="AB53" i="16"/>
  <c r="AC55" i="16"/>
  <c r="AT3" i="16"/>
  <c r="AJ3" i="16"/>
  <c r="AJ4" i="16"/>
  <c r="AT4" i="16"/>
  <c r="AO6" i="16"/>
  <c r="AC26" i="16"/>
  <c r="AB28" i="16"/>
  <c r="AC30" i="16"/>
  <c r="AB32" i="16"/>
  <c r="AC34" i="16"/>
  <c r="AB36" i="16"/>
  <c r="AC38" i="16"/>
  <c r="AB40" i="16"/>
  <c r="AC42" i="16"/>
  <c r="AB44" i="16"/>
  <c r="AC46" i="16"/>
  <c r="AB48" i="16"/>
  <c r="AC50" i="16"/>
  <c r="AB52" i="16"/>
  <c r="AC54" i="16"/>
  <c r="AB56" i="16"/>
  <c r="AC58" i="16"/>
  <c r="AB60" i="16"/>
  <c r="AJ5" i="16"/>
  <c r="AJ6" i="16"/>
  <c r="AT6" i="16"/>
  <c r="AB26" i="16"/>
  <c r="AC28" i="16"/>
  <c r="AB30" i="16"/>
  <c r="AC32" i="16"/>
  <c r="AB34" i="16"/>
  <c r="AC56" i="16"/>
  <c r="AB57" i="16"/>
  <c r="AC59" i="16"/>
  <c r="AB61" i="16"/>
  <c r="AC36" i="16"/>
  <c r="AB38" i="16"/>
  <c r="AC40" i="16"/>
  <c r="AB42" i="16"/>
  <c r="AC44" i="16"/>
  <c r="AB46" i="16"/>
  <c r="AB50" i="16"/>
  <c r="AB54" i="16"/>
  <c r="AB58" i="16"/>
  <c r="AC60" i="16"/>
  <c r="AA9" i="23"/>
  <c r="AC64" i="17"/>
  <c r="AC68" i="17"/>
  <c r="AC72" i="17"/>
  <c r="AC76" i="17"/>
  <c r="AC80" i="17"/>
  <c r="AC84" i="17"/>
  <c r="AC62" i="17"/>
  <c r="AI3" i="17" s="1"/>
  <c r="AC66" i="17"/>
  <c r="AC70" i="17"/>
  <c r="AC74" i="17"/>
  <c r="AC78" i="17"/>
  <c r="AC82" i="17"/>
  <c r="AC86" i="17"/>
  <c r="AC90" i="17"/>
  <c r="AC94" i="17"/>
  <c r="AC98" i="17"/>
  <c r="AC102" i="17"/>
  <c r="AC106" i="17"/>
  <c r="AC146" i="17"/>
  <c r="AC150" i="17"/>
  <c r="AC154" i="17"/>
  <c r="AC158" i="17"/>
  <c r="AC162" i="17"/>
  <c r="AC166" i="17"/>
  <c r="AC170" i="17"/>
  <c r="AC174" i="17"/>
  <c r="AC178" i="17"/>
  <c r="AC182" i="17"/>
  <c r="AC186" i="17"/>
  <c r="AC214" i="17"/>
  <c r="AC3" i="17"/>
  <c r="AC5" i="17"/>
  <c r="AC10" i="17"/>
  <c r="AC17" i="17"/>
  <c r="AC19" i="17"/>
  <c r="AC21" i="17"/>
  <c r="AC23" i="17"/>
  <c r="AC25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301" i="17"/>
  <c r="AC302" i="17"/>
  <c r="AC303" i="17"/>
  <c r="AC304" i="17"/>
  <c r="AC305" i="17"/>
  <c r="AC306" i="17"/>
  <c r="AC307" i="17"/>
  <c r="AC308" i="17"/>
  <c r="AC309" i="17"/>
  <c r="AC310" i="17"/>
  <c r="AC311" i="17"/>
  <c r="AC312" i="17"/>
  <c r="P15" i="5"/>
  <c r="AC88" i="17"/>
  <c r="AC92" i="17"/>
  <c r="AC96" i="17"/>
  <c r="AC100" i="17"/>
  <c r="AC104" i="17"/>
  <c r="AC108" i="17"/>
  <c r="AC148" i="17"/>
  <c r="AC152" i="17"/>
  <c r="AC156" i="17"/>
  <c r="AC160" i="17"/>
  <c r="AC164" i="17"/>
  <c r="AC168" i="17"/>
  <c r="AC172" i="17"/>
  <c r="AC176" i="17"/>
  <c r="AC180" i="17"/>
  <c r="AC184" i="17"/>
  <c r="AC188" i="17"/>
  <c r="AC192" i="17"/>
  <c r="AC196" i="17"/>
  <c r="AC200" i="17"/>
  <c r="AC204" i="17"/>
  <c r="AC220" i="17"/>
  <c r="AC228" i="17"/>
  <c r="AC236" i="17"/>
  <c r="AC252" i="17"/>
  <c r="AC268" i="17"/>
  <c r="AC284" i="17"/>
  <c r="AC300" i="17"/>
  <c r="AD9" i="23"/>
  <c r="AD10" i="23"/>
  <c r="AC2" i="17"/>
  <c r="AC4" i="17"/>
  <c r="AC6" i="17"/>
  <c r="AC9" i="17"/>
  <c r="AC11" i="17"/>
  <c r="AC18" i="17"/>
  <c r="AC20" i="17"/>
  <c r="AC22" i="17"/>
  <c r="AC24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219" i="17"/>
  <c r="AC227" i="17"/>
  <c r="AC235" i="17"/>
  <c r="P17" i="5"/>
  <c r="X4" i="23"/>
  <c r="AF4" i="23" s="1"/>
  <c r="Y5" i="23"/>
  <c r="AG5" i="23" s="1"/>
  <c r="Y6" i="23"/>
  <c r="AJ6" i="23"/>
  <c r="R10" i="5"/>
  <c r="Y3" i="23"/>
  <c r="AG3" i="23" s="1"/>
  <c r="R11" i="5"/>
  <c r="AF5" i="23"/>
  <c r="AF6" i="23"/>
  <c r="AI8" i="23"/>
  <c r="E36" i="5"/>
  <c r="F36" i="5"/>
  <c r="P51" i="12"/>
  <c r="R7" i="11"/>
  <c r="AD31" i="16"/>
  <c r="AD46" i="16"/>
  <c r="AD50" i="16"/>
  <c r="AD54" i="16"/>
  <c r="AD56" i="16"/>
  <c r="AD27" i="16"/>
  <c r="AD43" i="16"/>
  <c r="AD47" i="16"/>
  <c r="AD51" i="16"/>
  <c r="AD55" i="16"/>
  <c r="AD58" i="16"/>
  <c r="AD35" i="16"/>
  <c r="AJ2" i="16"/>
  <c r="AJ7" i="16" s="1"/>
  <c r="AD26" i="16"/>
  <c r="AD28" i="16"/>
  <c r="AD29" i="16"/>
  <c r="AD30" i="16"/>
  <c r="AD32" i="16"/>
  <c r="AD33" i="16"/>
  <c r="AD34" i="16"/>
  <c r="AD36" i="16"/>
  <c r="AD37" i="16"/>
  <c r="AD38" i="16"/>
  <c r="AD40" i="16"/>
  <c r="AD41" i="16"/>
  <c r="AD42" i="16"/>
  <c r="AD44" i="16"/>
  <c r="AD45" i="16"/>
  <c r="AD48" i="16"/>
  <c r="AD49" i="16"/>
  <c r="AD52" i="16"/>
  <c r="AD53" i="16"/>
  <c r="AD57" i="16"/>
  <c r="AD61" i="16"/>
  <c r="BA61" i="25"/>
  <c r="AW61" i="25"/>
  <c r="AS61" i="25"/>
  <c r="AO61" i="25"/>
  <c r="AK61" i="25"/>
  <c r="BC61" i="25"/>
  <c r="AX61" i="25"/>
  <c r="AR61" i="25"/>
  <c r="AM61" i="25"/>
  <c r="BD61" i="25"/>
  <c r="AY61" i="25"/>
  <c r="AT61" i="25"/>
  <c r="AN61" i="25"/>
  <c r="AI61" i="25"/>
  <c r="BA65" i="25"/>
  <c r="AW65" i="25"/>
  <c r="AS65" i="25"/>
  <c r="AO65" i="25"/>
  <c r="AK65" i="25"/>
  <c r="AB65" i="25"/>
  <c r="BC65" i="25"/>
  <c r="AX65" i="25"/>
  <c r="AR65" i="25"/>
  <c r="AM65" i="25"/>
  <c r="BB65" i="25"/>
  <c r="AV65" i="25"/>
  <c r="AQ65" i="25"/>
  <c r="AL65" i="25"/>
  <c r="AZ65" i="25"/>
  <c r="AU65" i="25"/>
  <c r="AP65" i="25"/>
  <c r="AJ65" i="25"/>
  <c r="BD65" i="25"/>
  <c r="AY65" i="25"/>
  <c r="AT65" i="25"/>
  <c r="AN65" i="25"/>
  <c r="AI65" i="25"/>
  <c r="BA69" i="25"/>
  <c r="AW69" i="25"/>
  <c r="AS69" i="25"/>
  <c r="AO69" i="25"/>
  <c r="AK69" i="25"/>
  <c r="BC69" i="25"/>
  <c r="AX69" i="25"/>
  <c r="AR69" i="25"/>
  <c r="AM69" i="25"/>
  <c r="BB69" i="25"/>
  <c r="AV69" i="25"/>
  <c r="AQ69" i="25"/>
  <c r="AL69" i="25"/>
  <c r="AZ69" i="25"/>
  <c r="AU69" i="25"/>
  <c r="AP69" i="25"/>
  <c r="AJ69" i="25"/>
  <c r="BD69" i="25"/>
  <c r="AY69" i="25"/>
  <c r="AT69" i="25"/>
  <c r="AN69" i="25"/>
  <c r="AI69" i="25"/>
  <c r="BA73" i="25"/>
  <c r="AW73" i="25"/>
  <c r="AS73" i="25"/>
  <c r="AO73" i="25"/>
  <c r="AK73" i="25"/>
  <c r="BC73" i="25"/>
  <c r="AX73" i="25"/>
  <c r="AR73" i="25"/>
  <c r="AM73" i="25"/>
  <c r="BB73" i="25"/>
  <c r="AV73" i="25"/>
  <c r="AQ73" i="25"/>
  <c r="AL73" i="25"/>
  <c r="AZ73" i="25"/>
  <c r="AU73" i="25"/>
  <c r="AP73" i="25"/>
  <c r="AJ73" i="25"/>
  <c r="BD73" i="25"/>
  <c r="AY73" i="25"/>
  <c r="AT73" i="25"/>
  <c r="AN73" i="25"/>
  <c r="AI73" i="25"/>
  <c r="BA77" i="25"/>
  <c r="AW77" i="25"/>
  <c r="AS77" i="25"/>
  <c r="AO77" i="25"/>
  <c r="AK77" i="25"/>
  <c r="BB77" i="25"/>
  <c r="AV77" i="25"/>
  <c r="AQ77" i="25"/>
  <c r="AL77" i="25"/>
  <c r="AY77" i="25"/>
  <c r="AR77" i="25"/>
  <c r="AJ77" i="25"/>
  <c r="BD77" i="25"/>
  <c r="AX77" i="25"/>
  <c r="AP77" i="25"/>
  <c r="AI77" i="25"/>
  <c r="BC77" i="25"/>
  <c r="AU77" i="25"/>
  <c r="AN77" i="25"/>
  <c r="AZ77" i="25"/>
  <c r="AT77" i="25"/>
  <c r="AM77" i="25"/>
  <c r="BA85" i="25"/>
  <c r="AW85" i="25"/>
  <c r="AS85" i="25"/>
  <c r="AO85" i="25"/>
  <c r="AK85" i="25"/>
  <c r="P85" i="25"/>
  <c r="AZ85" i="25"/>
  <c r="AU85" i="25"/>
  <c r="AP85" i="25"/>
  <c r="AJ85" i="25"/>
  <c r="BB85" i="25"/>
  <c r="AV85" i="25"/>
  <c r="AQ85" i="25"/>
  <c r="AL85" i="25"/>
  <c r="BC85" i="25"/>
  <c r="AR85" i="25"/>
  <c r="AY85" i="25"/>
  <c r="AN85" i="25"/>
  <c r="R85" i="25"/>
  <c r="AX85" i="25"/>
  <c r="AM85" i="25"/>
  <c r="BD85" i="25"/>
  <c r="AT85" i="25"/>
  <c r="AI85" i="25"/>
  <c r="BA89" i="25"/>
  <c r="AW89" i="25"/>
  <c r="AS89" i="25"/>
  <c r="AO89" i="25"/>
  <c r="AK89" i="25"/>
  <c r="AZ89" i="25"/>
  <c r="AU89" i="25"/>
  <c r="AP89" i="25"/>
  <c r="AJ89" i="25"/>
  <c r="BC89" i="25"/>
  <c r="AX89" i="25"/>
  <c r="AR89" i="25"/>
  <c r="AM89" i="25"/>
  <c r="BB89" i="25"/>
  <c r="AV89" i="25"/>
  <c r="AQ89" i="25"/>
  <c r="AL89" i="25"/>
  <c r="BD89" i="25"/>
  <c r="AI89" i="25"/>
  <c r="AY89" i="25"/>
  <c r="AT89" i="25"/>
  <c r="AN89" i="25"/>
  <c r="BA93" i="25"/>
  <c r="AW93" i="25"/>
  <c r="AS93" i="25"/>
  <c r="AO93" i="25"/>
  <c r="AK93" i="25"/>
  <c r="AZ93" i="25"/>
  <c r="AU93" i="25"/>
  <c r="AP93" i="25"/>
  <c r="AJ93" i="25"/>
  <c r="BD93" i="25"/>
  <c r="AY93" i="25"/>
  <c r="AT93" i="25"/>
  <c r="AN93" i="25"/>
  <c r="AI93" i="25"/>
  <c r="BC93" i="25"/>
  <c r="AX93" i="25"/>
  <c r="AR93" i="25"/>
  <c r="AM93" i="25"/>
  <c r="BB93" i="25"/>
  <c r="AV93" i="25"/>
  <c r="AQ93" i="25"/>
  <c r="AL93" i="25"/>
  <c r="BB97" i="25"/>
  <c r="AX97" i="25"/>
  <c r="AT97" i="25"/>
  <c r="AP97" i="25"/>
  <c r="AL97" i="25"/>
  <c r="BA97" i="25"/>
  <c r="AW97" i="25"/>
  <c r="AS97" i="25"/>
  <c r="AO97" i="25"/>
  <c r="AK97" i="25"/>
  <c r="BD97" i="25"/>
  <c r="AV97" i="25"/>
  <c r="AN97" i="25"/>
  <c r="BC97" i="25"/>
  <c r="AU97" i="25"/>
  <c r="AM97" i="25"/>
  <c r="AZ97" i="25"/>
  <c r="AR97" i="25"/>
  <c r="AJ97" i="25"/>
  <c r="AY97" i="25"/>
  <c r="AQ97" i="25"/>
  <c r="AI97" i="25"/>
  <c r="BA101" i="25"/>
  <c r="AW101" i="25"/>
  <c r="AS101" i="25"/>
  <c r="AO101" i="25"/>
  <c r="AK101" i="25"/>
  <c r="AZ101" i="25"/>
  <c r="AU101" i="25"/>
  <c r="AP101" i="25"/>
  <c r="AJ101" i="25"/>
  <c r="BD101" i="25"/>
  <c r="AY101" i="25"/>
  <c r="AT101" i="25"/>
  <c r="AN101" i="25"/>
  <c r="AI101" i="25"/>
  <c r="BC101" i="25"/>
  <c r="AR101" i="25"/>
  <c r="BB101" i="25"/>
  <c r="AQ101" i="25"/>
  <c r="AX101" i="25"/>
  <c r="AM101" i="25"/>
  <c r="AV101" i="25"/>
  <c r="AL101" i="25"/>
  <c r="BA105" i="25"/>
  <c r="AW105" i="25"/>
  <c r="AS105" i="25"/>
  <c r="AO105" i="25"/>
  <c r="AK105" i="25"/>
  <c r="BC105" i="25"/>
  <c r="AX105" i="25"/>
  <c r="AR105" i="25"/>
  <c r="AM105" i="25"/>
  <c r="AZ105" i="25"/>
  <c r="AU105" i="25"/>
  <c r="AP105" i="25"/>
  <c r="AJ105" i="25"/>
  <c r="BD105" i="25"/>
  <c r="AY105" i="25"/>
  <c r="AT105" i="25"/>
  <c r="AN105" i="25"/>
  <c r="AI105" i="25"/>
  <c r="BB105" i="25"/>
  <c r="AV105" i="25"/>
  <c r="AQ105" i="25"/>
  <c r="AL105" i="25"/>
  <c r="BA109" i="25"/>
  <c r="AW109" i="25"/>
  <c r="AS109" i="25"/>
  <c r="AO109" i="25"/>
  <c r="AK109" i="25"/>
  <c r="BC109" i="25"/>
  <c r="AX109" i="25"/>
  <c r="AR109" i="25"/>
  <c r="AM109" i="25"/>
  <c r="AZ109" i="25"/>
  <c r="AU109" i="25"/>
  <c r="AP109" i="25"/>
  <c r="AJ109" i="25"/>
  <c r="BD109" i="25"/>
  <c r="AY109" i="25"/>
  <c r="AT109" i="25"/>
  <c r="AN109" i="25"/>
  <c r="AI109" i="25"/>
  <c r="AV109" i="25"/>
  <c r="AQ109" i="25"/>
  <c r="AL109" i="25"/>
  <c r="BB109" i="25"/>
  <c r="AR60" i="25"/>
  <c r="BC60" i="25"/>
  <c r="AQ61" i="25"/>
  <c r="BB61" i="25"/>
  <c r="AP62" i="25"/>
  <c r="AN63" i="25"/>
  <c r="AY63" i="25"/>
  <c r="BA62" i="25"/>
  <c r="AW62" i="25"/>
  <c r="AS62" i="25"/>
  <c r="AO62" i="25"/>
  <c r="AK62" i="25"/>
  <c r="BB62" i="25"/>
  <c r="AV62" i="25"/>
  <c r="AQ62" i="25"/>
  <c r="AL62" i="25"/>
  <c r="BC62" i="25"/>
  <c r="AX62" i="25"/>
  <c r="AR62" i="25"/>
  <c r="AM62" i="25"/>
  <c r="BA70" i="25"/>
  <c r="AW70" i="25"/>
  <c r="AS70" i="25"/>
  <c r="AO70" i="25"/>
  <c r="AK70" i="25"/>
  <c r="BB70" i="25"/>
  <c r="AV70" i="25"/>
  <c r="AQ70" i="25"/>
  <c r="AL70" i="25"/>
  <c r="AZ70" i="25"/>
  <c r="AU70" i="25"/>
  <c r="AP70" i="25"/>
  <c r="AJ70" i="25"/>
  <c r="BD70" i="25"/>
  <c r="AY70" i="25"/>
  <c r="AT70" i="25"/>
  <c r="AN70" i="25"/>
  <c r="AI70" i="25"/>
  <c r="BC70" i="25"/>
  <c r="AX70" i="25"/>
  <c r="AR70" i="25"/>
  <c r="AM70" i="25"/>
  <c r="BA74" i="25"/>
  <c r="AW74" i="25"/>
  <c r="AS74" i="25"/>
  <c r="AO74" i="25"/>
  <c r="AK74" i="25"/>
  <c r="BB74" i="25"/>
  <c r="AV74" i="25"/>
  <c r="AQ74" i="25"/>
  <c r="AL74" i="25"/>
  <c r="AZ74" i="25"/>
  <c r="AU74" i="25"/>
  <c r="AP74" i="25"/>
  <c r="AJ74" i="25"/>
  <c r="BD74" i="25"/>
  <c r="AY74" i="25"/>
  <c r="AT74" i="25"/>
  <c r="AN74" i="25"/>
  <c r="AI74" i="25"/>
  <c r="BC74" i="25"/>
  <c r="AX74" i="25"/>
  <c r="AR74" i="25"/>
  <c r="AM74" i="25"/>
  <c r="BA78" i="25"/>
  <c r="AW78" i="25"/>
  <c r="AS78" i="25"/>
  <c r="AO78" i="25"/>
  <c r="AK78" i="25"/>
  <c r="AZ78" i="25"/>
  <c r="AU78" i="25"/>
  <c r="AP78" i="25"/>
  <c r="AJ78" i="25"/>
  <c r="BD78" i="25"/>
  <c r="AX78" i="25"/>
  <c r="AQ78" i="25"/>
  <c r="AI78" i="25"/>
  <c r="BC78" i="25"/>
  <c r="AV78" i="25"/>
  <c r="AN78" i="25"/>
  <c r="BB78" i="25"/>
  <c r="AT78" i="25"/>
  <c r="AM78" i="25"/>
  <c r="AY78" i="25"/>
  <c r="AR78" i="25"/>
  <c r="AL78" i="25"/>
  <c r="BA86" i="25"/>
  <c r="AW86" i="25"/>
  <c r="AS86" i="25"/>
  <c r="AO86" i="25"/>
  <c r="AK86" i="25"/>
  <c r="P86" i="25"/>
  <c r="BD86" i="25"/>
  <c r="AY86" i="25"/>
  <c r="AT86" i="25"/>
  <c r="AN86" i="25"/>
  <c r="AI86" i="25"/>
  <c r="R86" i="25"/>
  <c r="AZ86" i="25"/>
  <c r="AU86" i="25"/>
  <c r="AP86" i="25"/>
  <c r="AJ86" i="25"/>
  <c r="BB86" i="25"/>
  <c r="AQ86" i="25"/>
  <c r="AX86" i="25"/>
  <c r="AM86" i="25"/>
  <c r="AV86" i="25"/>
  <c r="AL86" i="25"/>
  <c r="BC86" i="25"/>
  <c r="AR86" i="25"/>
  <c r="BA90" i="25"/>
  <c r="AW90" i="25"/>
  <c r="AS90" i="25"/>
  <c r="AO90" i="25"/>
  <c r="AK90" i="25"/>
  <c r="BD90" i="25"/>
  <c r="AY90" i="25"/>
  <c r="AT90" i="25"/>
  <c r="AN90" i="25"/>
  <c r="AI90" i="25"/>
  <c r="BC90" i="25"/>
  <c r="AX90" i="25"/>
  <c r="AR90" i="25"/>
  <c r="BB90" i="25"/>
  <c r="AV90" i="25"/>
  <c r="AQ90" i="25"/>
  <c r="AL90" i="25"/>
  <c r="AZ90" i="25"/>
  <c r="AU90" i="25"/>
  <c r="AP90" i="25"/>
  <c r="AJ90" i="25"/>
  <c r="AM90" i="25"/>
  <c r="BA94" i="25"/>
  <c r="AW94" i="25"/>
  <c r="AS94" i="25"/>
  <c r="AO94" i="25"/>
  <c r="AK94" i="25"/>
  <c r="BD94" i="25"/>
  <c r="AY94" i="25"/>
  <c r="AT94" i="25"/>
  <c r="AN94" i="25"/>
  <c r="AI94" i="25"/>
  <c r="BC94" i="25"/>
  <c r="AX94" i="25"/>
  <c r="AR94" i="25"/>
  <c r="AM94" i="25"/>
  <c r="BB94" i="25"/>
  <c r="AV94" i="25"/>
  <c r="AQ94" i="25"/>
  <c r="AL94" i="25"/>
  <c r="AZ94" i="25"/>
  <c r="AU94" i="25"/>
  <c r="AP94" i="25"/>
  <c r="AJ94" i="25"/>
  <c r="BB98" i="25"/>
  <c r="AX98" i="25"/>
  <c r="AT98" i="25"/>
  <c r="AP98" i="25"/>
  <c r="AL98" i="25"/>
  <c r="BA98" i="25"/>
  <c r="AW98" i="25"/>
  <c r="AS98" i="25"/>
  <c r="AO98" i="25"/>
  <c r="AK98" i="25"/>
  <c r="AZ98" i="25"/>
  <c r="AR98" i="25"/>
  <c r="AJ98" i="25"/>
  <c r="AY98" i="25"/>
  <c r="AQ98" i="25"/>
  <c r="AI98" i="25"/>
  <c r="BD98" i="25"/>
  <c r="AV98" i="25"/>
  <c r="AN98" i="25"/>
  <c r="BC98" i="25"/>
  <c r="AU98" i="25"/>
  <c r="AM98" i="25"/>
  <c r="BA102" i="25"/>
  <c r="AW102" i="25"/>
  <c r="AS102" i="25"/>
  <c r="AO102" i="25"/>
  <c r="AK102" i="25"/>
  <c r="BD102" i="25"/>
  <c r="AY102" i="25"/>
  <c r="AT102" i="25"/>
  <c r="AN102" i="25"/>
  <c r="AI102" i="25"/>
  <c r="BC102" i="25"/>
  <c r="AX102" i="25"/>
  <c r="AR102" i="25"/>
  <c r="AM102" i="25"/>
  <c r="BB102" i="25"/>
  <c r="AQ102" i="25"/>
  <c r="AZ102" i="25"/>
  <c r="AP102" i="25"/>
  <c r="AV102" i="25"/>
  <c r="AL102" i="25"/>
  <c r="AU102" i="25"/>
  <c r="AJ102" i="25"/>
  <c r="BA106" i="25"/>
  <c r="AW106" i="25"/>
  <c r="AS106" i="25"/>
  <c r="AO106" i="25"/>
  <c r="AK106" i="25"/>
  <c r="BB106" i="25"/>
  <c r="AV106" i="25"/>
  <c r="AQ106" i="25"/>
  <c r="AL106" i="25"/>
  <c r="BD106" i="25"/>
  <c r="AY106" i="25"/>
  <c r="AT106" i="25"/>
  <c r="AN106" i="25"/>
  <c r="AI106" i="25"/>
  <c r="BC106" i="25"/>
  <c r="AX106" i="25"/>
  <c r="AR106" i="25"/>
  <c r="AM106" i="25"/>
  <c r="AZ106" i="25"/>
  <c r="AU106" i="25"/>
  <c r="AP106" i="25"/>
  <c r="AJ106" i="25"/>
  <c r="AL60" i="25"/>
  <c r="AV60" i="25"/>
  <c r="AJ61" i="25"/>
  <c r="AU61" i="25"/>
  <c r="AI62" i="25"/>
  <c r="AT62" i="25"/>
  <c r="BD62" i="25"/>
  <c r="BA63" i="25"/>
  <c r="AW63" i="25"/>
  <c r="AS63" i="25"/>
  <c r="AO63" i="25"/>
  <c r="AK63" i="25"/>
  <c r="AZ63" i="25"/>
  <c r="AU63" i="25"/>
  <c r="AP63" i="25"/>
  <c r="AJ63" i="25"/>
  <c r="BD63" i="25"/>
  <c r="BC63" i="25"/>
  <c r="BB63" i="25"/>
  <c r="AV63" i="25"/>
  <c r="AQ63" i="25"/>
  <c r="AL63" i="25"/>
  <c r="BA67" i="25"/>
  <c r="AW67" i="25"/>
  <c r="AS67" i="25"/>
  <c r="AO67" i="25"/>
  <c r="AK67" i="25"/>
  <c r="AZ67" i="25"/>
  <c r="AU67" i="25"/>
  <c r="AP67" i="25"/>
  <c r="AJ67" i="25"/>
  <c r="BD67" i="25"/>
  <c r="AY67" i="25"/>
  <c r="AT67" i="25"/>
  <c r="AN67" i="25"/>
  <c r="AI67" i="25"/>
  <c r="BC67" i="25"/>
  <c r="AX67" i="25"/>
  <c r="AR67" i="25"/>
  <c r="AM67" i="25"/>
  <c r="BB67" i="25"/>
  <c r="AV67" i="25"/>
  <c r="AQ67" i="25"/>
  <c r="AL67" i="25"/>
  <c r="BA71" i="25"/>
  <c r="AW71" i="25"/>
  <c r="AS71" i="25"/>
  <c r="AO71" i="25"/>
  <c r="AK71" i="25"/>
  <c r="AZ71" i="25"/>
  <c r="AU71" i="25"/>
  <c r="AP71" i="25"/>
  <c r="AJ71" i="25"/>
  <c r="BD71" i="25"/>
  <c r="AY71" i="25"/>
  <c r="AT71" i="25"/>
  <c r="AN71" i="25"/>
  <c r="AI71" i="25"/>
  <c r="BC71" i="25"/>
  <c r="AX71" i="25"/>
  <c r="AR71" i="25"/>
  <c r="AM71" i="25"/>
  <c r="BB71" i="25"/>
  <c r="AV71" i="25"/>
  <c r="AQ71" i="25"/>
  <c r="AL71" i="25"/>
  <c r="BA75" i="25"/>
  <c r="AW75" i="25"/>
  <c r="AS75" i="25"/>
  <c r="AO75" i="25"/>
  <c r="AK75" i="25"/>
  <c r="AZ75" i="25"/>
  <c r="AU75" i="25"/>
  <c r="AP75" i="25"/>
  <c r="AJ75" i="25"/>
  <c r="BD75" i="25"/>
  <c r="AY75" i="25"/>
  <c r="AT75" i="25"/>
  <c r="AN75" i="25"/>
  <c r="AI75" i="25"/>
  <c r="BC75" i="25"/>
  <c r="AX75" i="25"/>
  <c r="AR75" i="25"/>
  <c r="AM75" i="25"/>
  <c r="BB75" i="25"/>
  <c r="AV75" i="25"/>
  <c r="AQ75" i="25"/>
  <c r="AL75" i="25"/>
  <c r="BA79" i="25"/>
  <c r="AW79" i="25"/>
  <c r="AS79" i="25"/>
  <c r="AO79" i="25"/>
  <c r="AK79" i="25"/>
  <c r="P79" i="25"/>
  <c r="BD79" i="25"/>
  <c r="AY79" i="25"/>
  <c r="AT79" i="25"/>
  <c r="AN79" i="25"/>
  <c r="AI79" i="25"/>
  <c r="R79" i="25"/>
  <c r="BC79" i="25"/>
  <c r="AV79" i="25"/>
  <c r="AP79" i="25"/>
  <c r="BB79" i="25"/>
  <c r="AU79" i="25"/>
  <c r="AM79" i="25"/>
  <c r="AZ79" i="25"/>
  <c r="AR79" i="25"/>
  <c r="AL79" i="25"/>
  <c r="AX79" i="25"/>
  <c r="AQ79" i="25"/>
  <c r="AJ79" i="25"/>
  <c r="BA87" i="25"/>
  <c r="AW87" i="25"/>
  <c r="AS87" i="25"/>
  <c r="AO87" i="25"/>
  <c r="AK87" i="25"/>
  <c r="P87" i="25"/>
  <c r="BC87" i="25"/>
  <c r="AX87" i="25"/>
  <c r="AR87" i="25"/>
  <c r="AM87" i="25"/>
  <c r="BD87" i="25"/>
  <c r="AY87" i="25"/>
  <c r="AT87" i="25"/>
  <c r="AN87" i="25"/>
  <c r="AI87" i="25"/>
  <c r="R87" i="25"/>
  <c r="AZ87" i="25"/>
  <c r="AP87" i="25"/>
  <c r="AV87" i="25"/>
  <c r="AL87" i="25"/>
  <c r="AU87" i="25"/>
  <c r="AJ87" i="25"/>
  <c r="BB87" i="25"/>
  <c r="AQ87" i="25"/>
  <c r="BA91" i="25"/>
  <c r="AW91" i="25"/>
  <c r="AS91" i="25"/>
  <c r="AO91" i="25"/>
  <c r="AK91" i="25"/>
  <c r="BC91" i="25"/>
  <c r="AX91" i="25"/>
  <c r="AR91" i="25"/>
  <c r="AM91" i="25"/>
  <c r="BB91" i="25"/>
  <c r="AV91" i="25"/>
  <c r="AQ91" i="25"/>
  <c r="AL91" i="25"/>
  <c r="AZ91" i="25"/>
  <c r="AU91" i="25"/>
  <c r="AP91" i="25"/>
  <c r="AJ91" i="25"/>
  <c r="BD91" i="25"/>
  <c r="AY91" i="25"/>
  <c r="AT91" i="25"/>
  <c r="AN91" i="25"/>
  <c r="AI91" i="25"/>
  <c r="BA95" i="25"/>
  <c r="AW95" i="25"/>
  <c r="AS95" i="25"/>
  <c r="AO95" i="25"/>
  <c r="AK95" i="25"/>
  <c r="BC95" i="25"/>
  <c r="AX95" i="25"/>
  <c r="AR95" i="25"/>
  <c r="AM95" i="25"/>
  <c r="BB95" i="25"/>
  <c r="AV95" i="25"/>
  <c r="AQ95" i="25"/>
  <c r="AL95" i="25"/>
  <c r="AZ95" i="25"/>
  <c r="AU95" i="25"/>
  <c r="AP95" i="25"/>
  <c r="AJ95" i="25"/>
  <c r="BD95" i="25"/>
  <c r="AY95" i="25"/>
  <c r="AT95" i="25"/>
  <c r="AN95" i="25"/>
  <c r="AI95" i="25"/>
  <c r="BA99" i="25"/>
  <c r="BC99" i="25"/>
  <c r="AX99" i="25"/>
  <c r="AT99" i="25"/>
  <c r="AP99" i="25"/>
  <c r="AL99" i="25"/>
  <c r="BB99" i="25"/>
  <c r="AW99" i="25"/>
  <c r="AS99" i="25"/>
  <c r="AO99" i="25"/>
  <c r="AK99" i="25"/>
  <c r="AV99" i="25"/>
  <c r="AN99" i="25"/>
  <c r="BD99" i="25"/>
  <c r="AU99" i="25"/>
  <c r="AM99" i="25"/>
  <c r="AZ99" i="25"/>
  <c r="AR99" i="25"/>
  <c r="AJ99" i="25"/>
  <c r="AY99" i="25"/>
  <c r="AQ99" i="25"/>
  <c r="AI99" i="25"/>
  <c r="BA103" i="25"/>
  <c r="AW103" i="25"/>
  <c r="AS103" i="25"/>
  <c r="AO103" i="25"/>
  <c r="AK103" i="25"/>
  <c r="BC103" i="25"/>
  <c r="AX103" i="25"/>
  <c r="AR103" i="25"/>
  <c r="AM103" i="25"/>
  <c r="BB103" i="25"/>
  <c r="AV103" i="25"/>
  <c r="AQ103" i="25"/>
  <c r="AL103" i="25"/>
  <c r="AZ103" i="25"/>
  <c r="AP103" i="25"/>
  <c r="AY103" i="25"/>
  <c r="AN103" i="25"/>
  <c r="AU103" i="25"/>
  <c r="AJ103" i="25"/>
  <c r="BD103" i="25"/>
  <c r="AT103" i="25"/>
  <c r="AI103" i="25"/>
  <c r="BA107" i="25"/>
  <c r="AW107" i="25"/>
  <c r="AS107" i="25"/>
  <c r="AO107" i="25"/>
  <c r="AK107" i="25"/>
  <c r="AZ107" i="25"/>
  <c r="AU107" i="25"/>
  <c r="AP107" i="25"/>
  <c r="AJ107" i="25"/>
  <c r="BC107" i="25"/>
  <c r="AX107" i="25"/>
  <c r="AR107" i="25"/>
  <c r="AM107" i="25"/>
  <c r="BB107" i="25"/>
  <c r="AV107" i="25"/>
  <c r="AQ107" i="25"/>
  <c r="AL107" i="25"/>
  <c r="AY107" i="25"/>
  <c r="AT107" i="25"/>
  <c r="AN107" i="25"/>
  <c r="BD107" i="25"/>
  <c r="AI107" i="25"/>
  <c r="AM60" i="25"/>
  <c r="AL61" i="25"/>
  <c r="AV61" i="25"/>
  <c r="AJ62" i="25"/>
  <c r="AU62" i="25"/>
  <c r="AI63" i="25"/>
  <c r="AT63" i="25"/>
  <c r="BA60" i="25"/>
  <c r="AW60" i="25"/>
  <c r="AS60" i="25"/>
  <c r="AO60" i="25"/>
  <c r="AK60" i="25"/>
  <c r="BD60" i="25"/>
  <c r="AY60" i="25"/>
  <c r="AT60" i="25"/>
  <c r="AN60" i="25"/>
  <c r="AI60" i="25"/>
  <c r="AZ60" i="25"/>
  <c r="AU60" i="25"/>
  <c r="AP60" i="25"/>
  <c r="AJ60" i="25"/>
  <c r="BA64" i="25"/>
  <c r="AW64" i="25"/>
  <c r="AS64" i="25"/>
  <c r="AO64" i="25"/>
  <c r="AK64" i="25"/>
  <c r="AB64" i="25"/>
  <c r="BD64" i="25"/>
  <c r="AY64" i="25"/>
  <c r="AT64" i="25"/>
  <c r="AN64" i="25"/>
  <c r="AI64" i="25"/>
  <c r="BC64" i="25"/>
  <c r="AX64" i="25"/>
  <c r="AR64" i="25"/>
  <c r="AM64" i="25"/>
  <c r="BB64" i="25"/>
  <c r="AV64" i="25"/>
  <c r="AQ64" i="25"/>
  <c r="AL64" i="25"/>
  <c r="AZ64" i="25"/>
  <c r="AU64" i="25"/>
  <c r="AP64" i="25"/>
  <c r="AJ64" i="25"/>
  <c r="BA68" i="25"/>
  <c r="AW68" i="25"/>
  <c r="AS68" i="25"/>
  <c r="AO68" i="25"/>
  <c r="AK68" i="25"/>
  <c r="BD68" i="25"/>
  <c r="AY68" i="25"/>
  <c r="AT68" i="25"/>
  <c r="AN68" i="25"/>
  <c r="AI68" i="25"/>
  <c r="BC68" i="25"/>
  <c r="AX68" i="25"/>
  <c r="AR68" i="25"/>
  <c r="AM68" i="25"/>
  <c r="BB68" i="25"/>
  <c r="AV68" i="25"/>
  <c r="AQ68" i="25"/>
  <c r="AL68" i="25"/>
  <c r="AZ68" i="25"/>
  <c r="AU68" i="25"/>
  <c r="AP68" i="25"/>
  <c r="AJ68" i="25"/>
  <c r="BA72" i="25"/>
  <c r="AW72" i="25"/>
  <c r="AS72" i="25"/>
  <c r="AO72" i="25"/>
  <c r="AK72" i="25"/>
  <c r="BD72" i="25"/>
  <c r="AY72" i="25"/>
  <c r="AT72" i="25"/>
  <c r="AN72" i="25"/>
  <c r="AI72" i="25"/>
  <c r="BC72" i="25"/>
  <c r="AX72" i="25"/>
  <c r="AR72" i="25"/>
  <c r="AM72" i="25"/>
  <c r="BB72" i="25"/>
  <c r="AV72" i="25"/>
  <c r="AQ72" i="25"/>
  <c r="AL72" i="25"/>
  <c r="AZ72" i="25"/>
  <c r="AU72" i="25"/>
  <c r="AP72" i="25"/>
  <c r="AJ72" i="25"/>
  <c r="BA76" i="25"/>
  <c r="AW76" i="25"/>
  <c r="BC76" i="25"/>
  <c r="AX76" i="25"/>
  <c r="AS76" i="25"/>
  <c r="AO76" i="25"/>
  <c r="AK76" i="25"/>
  <c r="AZ76" i="25"/>
  <c r="AT76" i="25"/>
  <c r="AN76" i="25"/>
  <c r="AI76" i="25"/>
  <c r="AY76" i="25"/>
  <c r="AR76" i="25"/>
  <c r="AM76" i="25"/>
  <c r="BD76" i="25"/>
  <c r="AV76" i="25"/>
  <c r="AQ76" i="25"/>
  <c r="AL76" i="25"/>
  <c r="BB76" i="25"/>
  <c r="AU76" i="25"/>
  <c r="AP76" i="25"/>
  <c r="AJ76" i="25"/>
  <c r="BA80" i="25"/>
  <c r="AW80" i="25"/>
  <c r="AS80" i="25"/>
  <c r="AO80" i="25"/>
  <c r="AK80" i="25"/>
  <c r="P80" i="25"/>
  <c r="BC80" i="25"/>
  <c r="AX80" i="25"/>
  <c r="AR80" i="25"/>
  <c r="AM80" i="25"/>
  <c r="BB80" i="25"/>
  <c r="AU80" i="25"/>
  <c r="AN80" i="25"/>
  <c r="R80" i="25"/>
  <c r="AZ80" i="25"/>
  <c r="AT80" i="25"/>
  <c r="AL80" i="25"/>
  <c r="AY80" i="25"/>
  <c r="AQ80" i="25"/>
  <c r="AJ80" i="25"/>
  <c r="BD80" i="25"/>
  <c r="AV80" i="25"/>
  <c r="AP80" i="25"/>
  <c r="AI80" i="25"/>
  <c r="BA84" i="25"/>
  <c r="AW84" i="25"/>
  <c r="AS84" i="25"/>
  <c r="AO84" i="25"/>
  <c r="AK84" i="25"/>
  <c r="P84" i="25"/>
  <c r="BB84" i="25"/>
  <c r="AV84" i="25"/>
  <c r="AQ84" i="25"/>
  <c r="AL84" i="25"/>
  <c r="BC84" i="25"/>
  <c r="AX84" i="25"/>
  <c r="AR84" i="25"/>
  <c r="AM84" i="25"/>
  <c r="BD84" i="25"/>
  <c r="AT84" i="25"/>
  <c r="AI84" i="25"/>
  <c r="AZ84" i="25"/>
  <c r="AP84" i="25"/>
  <c r="AY84" i="25"/>
  <c r="AN84" i="25"/>
  <c r="R84" i="25"/>
  <c r="AU84" i="25"/>
  <c r="AJ84" i="25"/>
  <c r="BA88" i="25"/>
  <c r="AW88" i="25"/>
  <c r="AS88" i="25"/>
  <c r="AO88" i="25"/>
  <c r="AK88" i="25"/>
  <c r="BB88" i="25"/>
  <c r="AV88" i="25"/>
  <c r="AQ88" i="25"/>
  <c r="AL88" i="25"/>
  <c r="BD88" i="25"/>
  <c r="AY88" i="25"/>
  <c r="AT88" i="25"/>
  <c r="BC88" i="25"/>
  <c r="AX88" i="25"/>
  <c r="AR88" i="25"/>
  <c r="AM88" i="25"/>
  <c r="AN88" i="25"/>
  <c r="AZ88" i="25"/>
  <c r="AJ88" i="25"/>
  <c r="AU88" i="25"/>
  <c r="AI88" i="25"/>
  <c r="AP88" i="25"/>
  <c r="BA92" i="25"/>
  <c r="AW92" i="25"/>
  <c r="AS92" i="25"/>
  <c r="AO92" i="25"/>
  <c r="AK92" i="25"/>
  <c r="BB92" i="25"/>
  <c r="AV92" i="25"/>
  <c r="AQ92" i="25"/>
  <c r="AL92" i="25"/>
  <c r="AZ92" i="25"/>
  <c r="AU92" i="25"/>
  <c r="AP92" i="25"/>
  <c r="AJ92" i="25"/>
  <c r="BD92" i="25"/>
  <c r="AY92" i="25"/>
  <c r="AT92" i="25"/>
  <c r="AN92" i="25"/>
  <c r="AI92" i="25"/>
  <c r="BC92" i="25"/>
  <c r="AX92" i="25"/>
  <c r="AR92" i="25"/>
  <c r="AM92" i="25"/>
  <c r="BA96" i="25"/>
  <c r="AW96" i="25"/>
  <c r="AS96" i="25"/>
  <c r="AO96" i="25"/>
  <c r="AK96" i="25"/>
  <c r="BB96" i="25"/>
  <c r="AV96" i="25"/>
  <c r="AQ96" i="25"/>
  <c r="AL96" i="25"/>
  <c r="AZ96" i="25"/>
  <c r="AU96" i="25"/>
  <c r="AP96" i="25"/>
  <c r="AJ96" i="25"/>
  <c r="BD96" i="25"/>
  <c r="AY96" i="25"/>
  <c r="AT96" i="25"/>
  <c r="AN96" i="25"/>
  <c r="AI96" i="25"/>
  <c r="BC96" i="25"/>
  <c r="AX96" i="25"/>
  <c r="AR96" i="25"/>
  <c r="AM96" i="25"/>
  <c r="BA100" i="25"/>
  <c r="AW100" i="25"/>
  <c r="AS100" i="25"/>
  <c r="AO100" i="25"/>
  <c r="AK100" i="25"/>
  <c r="BB100" i="25"/>
  <c r="AV100" i="25"/>
  <c r="AQ100" i="25"/>
  <c r="AL100" i="25"/>
  <c r="AZ100" i="25"/>
  <c r="AU100" i="25"/>
  <c r="AP100" i="25"/>
  <c r="AJ100" i="25"/>
  <c r="BD100" i="25"/>
  <c r="AT100" i="25"/>
  <c r="AI100" i="25"/>
  <c r="BC100" i="25"/>
  <c r="AR100" i="25"/>
  <c r="AY100" i="25"/>
  <c r="AN100" i="25"/>
  <c r="AX100" i="25"/>
  <c r="AM100" i="25"/>
  <c r="BA104" i="25"/>
  <c r="AW104" i="25"/>
  <c r="AS104" i="25"/>
  <c r="AO104" i="25"/>
  <c r="AK104" i="25"/>
  <c r="BD104" i="25"/>
  <c r="AY104" i="25"/>
  <c r="AT104" i="25"/>
  <c r="AN104" i="25"/>
  <c r="AI104" i="25"/>
  <c r="BB104" i="25"/>
  <c r="AV104" i="25"/>
  <c r="AQ104" i="25"/>
  <c r="AL104" i="25"/>
  <c r="AZ104" i="25"/>
  <c r="AU104" i="25"/>
  <c r="AP104" i="25"/>
  <c r="AJ104" i="25"/>
  <c r="BC104" i="25"/>
  <c r="AX104" i="25"/>
  <c r="AR104" i="25"/>
  <c r="AM104" i="25"/>
  <c r="BA108" i="25"/>
  <c r="AW108" i="25"/>
  <c r="AS108" i="25"/>
  <c r="AO108" i="25"/>
  <c r="AK108" i="25"/>
  <c r="BD108" i="25"/>
  <c r="AY108" i="25"/>
  <c r="AT108" i="25"/>
  <c r="AN108" i="25"/>
  <c r="AI108" i="25"/>
  <c r="BB108" i="25"/>
  <c r="AV108" i="25"/>
  <c r="AQ108" i="25"/>
  <c r="AL108" i="25"/>
  <c r="AZ108" i="25"/>
  <c r="AU108" i="25"/>
  <c r="AP108" i="25"/>
  <c r="AJ108" i="25"/>
  <c r="AX108" i="25"/>
  <c r="AR108" i="25"/>
  <c r="AM108" i="25"/>
  <c r="BC108" i="25"/>
  <c r="AQ60" i="25"/>
  <c r="BB60" i="25"/>
  <c r="AP61" i="25"/>
  <c r="AZ61" i="25"/>
  <c r="AN62" i="25"/>
  <c r="AY62" i="25"/>
  <c r="AM63" i="25"/>
  <c r="AX63" i="25"/>
  <c r="AH51" i="26"/>
  <c r="AD51" i="26"/>
  <c r="Z51" i="26"/>
  <c r="AG51" i="26"/>
  <c r="AC51" i="26"/>
  <c r="Y51" i="26"/>
  <c r="AF51" i="26"/>
  <c r="AB51" i="26"/>
  <c r="X51" i="26"/>
  <c r="AE51" i="26"/>
  <c r="AA51" i="26"/>
  <c r="AG55" i="26"/>
  <c r="AC55" i="26"/>
  <c r="AE55" i="26"/>
  <c r="Z55" i="26"/>
  <c r="AD55" i="26"/>
  <c r="Y55" i="26"/>
  <c r="AH55" i="26"/>
  <c r="AB55" i="26"/>
  <c r="X55" i="26"/>
  <c r="AF55" i="26"/>
  <c r="AA55" i="26"/>
  <c r="AG59" i="26"/>
  <c r="AC59" i="26"/>
  <c r="Y59" i="26"/>
  <c r="AF59" i="26"/>
  <c r="AB59" i="26"/>
  <c r="X59" i="26"/>
  <c r="AH59" i="26"/>
  <c r="AD59" i="26"/>
  <c r="Z59" i="26"/>
  <c r="AA59" i="26"/>
  <c r="AE59" i="26"/>
  <c r="AH53" i="26"/>
  <c r="AD53" i="26"/>
  <c r="Z53" i="26"/>
  <c r="U53" i="26"/>
  <c r="AG53" i="26"/>
  <c r="AC53" i="26"/>
  <c r="Y53" i="26"/>
  <c r="AF53" i="26"/>
  <c r="AB53" i="26"/>
  <c r="X53" i="26"/>
  <c r="AE53" i="26"/>
  <c r="AA53" i="26"/>
  <c r="AG57" i="26"/>
  <c r="AC57" i="26"/>
  <c r="Y57" i="26"/>
  <c r="AF57" i="26"/>
  <c r="AB57" i="26"/>
  <c r="X57" i="26"/>
  <c r="AH57" i="26"/>
  <c r="AD57" i="26"/>
  <c r="Z57" i="26"/>
  <c r="AE57" i="26"/>
  <c r="AA57" i="26"/>
  <c r="AG61" i="26"/>
  <c r="AC61" i="26"/>
  <c r="Y61" i="26"/>
  <c r="AF61" i="26"/>
  <c r="AB61" i="26"/>
  <c r="X61" i="26"/>
  <c r="AH61" i="26"/>
  <c r="AD61" i="26"/>
  <c r="Z61" i="26"/>
  <c r="AE61" i="26"/>
  <c r="AA61" i="26"/>
  <c r="AG65" i="26"/>
  <c r="AC65" i="26"/>
  <c r="Y65" i="26"/>
  <c r="AF65" i="26"/>
  <c r="AB65" i="26"/>
  <c r="X65" i="26"/>
  <c r="AH65" i="26"/>
  <c r="AD65" i="26"/>
  <c r="Z65" i="26"/>
  <c r="AE65" i="26"/>
  <c r="AA65" i="26"/>
  <c r="AF69" i="26"/>
  <c r="AB69" i="26"/>
  <c r="X69" i="26"/>
  <c r="AG69" i="26"/>
  <c r="AC69" i="26"/>
  <c r="Y69" i="26"/>
  <c r="AE69" i="26"/>
  <c r="AD69" i="26"/>
  <c r="AH69" i="26"/>
  <c r="Z69" i="26"/>
  <c r="AA69" i="26"/>
  <c r="AF73" i="26"/>
  <c r="AB73" i="26"/>
  <c r="X73" i="26"/>
  <c r="AH73" i="26"/>
  <c r="AD73" i="26"/>
  <c r="Z73" i="26"/>
  <c r="AG73" i="26"/>
  <c r="AC73" i="26"/>
  <c r="Y73" i="26"/>
  <c r="AA73" i="26"/>
  <c r="AE73" i="26"/>
  <c r="AG77" i="26"/>
  <c r="AC77" i="26"/>
  <c r="Y77" i="26"/>
  <c r="AH77" i="26"/>
  <c r="AB77" i="26"/>
  <c r="AE77" i="26"/>
  <c r="Z77" i="26"/>
  <c r="AD77" i="26"/>
  <c r="X77" i="26"/>
  <c r="AA77" i="26"/>
  <c r="AF77" i="26"/>
  <c r="AG81" i="26"/>
  <c r="AC81" i="26"/>
  <c r="Y81" i="26"/>
  <c r="AE81" i="26"/>
  <c r="Z81" i="26"/>
  <c r="AH81" i="26"/>
  <c r="AB81" i="26"/>
  <c r="AF81" i="26"/>
  <c r="AA81" i="26"/>
  <c r="X81" i="26"/>
  <c r="AD81" i="26"/>
  <c r="AG85" i="26"/>
  <c r="AC85" i="26"/>
  <c r="Y85" i="26"/>
  <c r="AH85" i="26"/>
  <c r="AD85" i="26"/>
  <c r="Z85" i="26"/>
  <c r="AE85" i="26"/>
  <c r="AB85" i="26"/>
  <c r="AA85" i="26"/>
  <c r="AF85" i="26"/>
  <c r="X85" i="26"/>
  <c r="AG89" i="26"/>
  <c r="AC89" i="26"/>
  <c r="Y89" i="26"/>
  <c r="AH89" i="26"/>
  <c r="AD89" i="26"/>
  <c r="Z89" i="26"/>
  <c r="AE89" i="26"/>
  <c r="AB89" i="26"/>
  <c r="AA89" i="26"/>
  <c r="AF89" i="26"/>
  <c r="X89" i="26"/>
  <c r="AG63" i="26"/>
  <c r="AC63" i="26"/>
  <c r="Y63" i="26"/>
  <c r="AF63" i="26"/>
  <c r="AB63" i="26"/>
  <c r="X63" i="26"/>
  <c r="AH63" i="26"/>
  <c r="AD63" i="26"/>
  <c r="Z63" i="26"/>
  <c r="AE63" i="26"/>
  <c r="AA63" i="26"/>
  <c r="AF67" i="26"/>
  <c r="AG67" i="26"/>
  <c r="AC67" i="26"/>
  <c r="Y67" i="26"/>
  <c r="AH67" i="26"/>
  <c r="AB67" i="26"/>
  <c r="X67" i="26"/>
  <c r="AD67" i="26"/>
  <c r="Z67" i="26"/>
  <c r="AA67" i="26"/>
  <c r="AE67" i="26"/>
  <c r="AF71" i="26"/>
  <c r="AB71" i="26"/>
  <c r="X71" i="26"/>
  <c r="AH71" i="26"/>
  <c r="AD71" i="26"/>
  <c r="Z71" i="26"/>
  <c r="AG71" i="26"/>
  <c r="AC71" i="26"/>
  <c r="Y71" i="26"/>
  <c r="AA71" i="26"/>
  <c r="AE71" i="26"/>
  <c r="AF75" i="26"/>
  <c r="AB75" i="26"/>
  <c r="X75" i="26"/>
  <c r="AH75" i="26"/>
  <c r="AD75" i="26"/>
  <c r="Z75" i="26"/>
  <c r="AG75" i="26"/>
  <c r="AC75" i="26"/>
  <c r="Y75" i="26"/>
  <c r="AE75" i="26"/>
  <c r="AA75" i="26"/>
  <c r="AG79" i="26"/>
  <c r="AC79" i="26"/>
  <c r="Y79" i="26"/>
  <c r="AF79" i="26"/>
  <c r="AA79" i="26"/>
  <c r="AD79" i="26"/>
  <c r="X79" i="26"/>
  <c r="AH79" i="26"/>
  <c r="AB79" i="26"/>
  <c r="Z79" i="26"/>
  <c r="AE79" i="26"/>
  <c r="AG83" i="26"/>
  <c r="AC83" i="26"/>
  <c r="Y83" i="26"/>
  <c r="AD83" i="26"/>
  <c r="X83" i="26"/>
  <c r="AH83" i="26"/>
  <c r="AB83" i="26"/>
  <c r="AF83" i="26"/>
  <c r="AA83" i="26"/>
  <c r="AE83" i="26"/>
  <c r="Z83" i="26"/>
  <c r="AG87" i="26"/>
  <c r="AC87" i="26"/>
  <c r="Y87" i="26"/>
  <c r="AH87" i="26"/>
  <c r="AD87" i="26"/>
  <c r="Z87" i="26"/>
  <c r="AA87" i="26"/>
  <c r="AF87" i="26"/>
  <c r="X87" i="26"/>
  <c r="AE87" i="26"/>
  <c r="AB87" i="26"/>
  <c r="AF52" i="26"/>
  <c r="J10" i="28" s="1"/>
  <c r="AB52" i="26"/>
  <c r="X52" i="26"/>
  <c r="AE52" i="26"/>
  <c r="AA52" i="26"/>
  <c r="AH52" i="26"/>
  <c r="AD52" i="26"/>
  <c r="Z52" i="26"/>
  <c r="U52" i="26"/>
  <c r="AG52" i="26"/>
  <c r="AC52" i="26"/>
  <c r="Y52" i="26"/>
  <c r="AE56" i="26"/>
  <c r="AA56" i="26"/>
  <c r="AH56" i="26"/>
  <c r="AD56" i="26"/>
  <c r="Z56" i="26"/>
  <c r="AC56" i="26"/>
  <c r="AB56" i="26"/>
  <c r="AG56" i="26"/>
  <c r="Y56" i="26"/>
  <c r="AF56" i="26"/>
  <c r="X56" i="26"/>
  <c r="AE60" i="26"/>
  <c r="AA60" i="26"/>
  <c r="AH60" i="26"/>
  <c r="AD60" i="26"/>
  <c r="Z60" i="26"/>
  <c r="AF60" i="26"/>
  <c r="AB60" i="26"/>
  <c r="X60" i="26"/>
  <c r="AG60" i="26"/>
  <c r="AC60" i="26"/>
  <c r="Y60" i="26"/>
  <c r="AE64" i="26"/>
  <c r="AA64" i="26"/>
  <c r="AH64" i="26"/>
  <c r="AD64" i="26"/>
  <c r="Z64" i="26"/>
  <c r="AF64" i="26"/>
  <c r="AB64" i="26"/>
  <c r="X64" i="26"/>
  <c r="AC64" i="26"/>
  <c r="Y64" i="26"/>
  <c r="AG64" i="26"/>
  <c r="AH68" i="26"/>
  <c r="AD68" i="26"/>
  <c r="Z68" i="26"/>
  <c r="AE68" i="26"/>
  <c r="AA68" i="26"/>
  <c r="AC68" i="26"/>
  <c r="AB68" i="26"/>
  <c r="AF68" i="26"/>
  <c r="X68" i="26"/>
  <c r="AG68" i="26"/>
  <c r="Y68" i="26"/>
  <c r="AH72" i="26"/>
  <c r="AD72" i="26"/>
  <c r="Z72" i="26"/>
  <c r="AF72" i="26"/>
  <c r="AB72" i="26"/>
  <c r="X72" i="26"/>
  <c r="AE72" i="26"/>
  <c r="AA72" i="26"/>
  <c r="AG72" i="26"/>
  <c r="AC72" i="26"/>
  <c r="Y72" i="26"/>
  <c r="AE76" i="26"/>
  <c r="AA76" i="26"/>
  <c r="AH76" i="26"/>
  <c r="AC76" i="26"/>
  <c r="X76" i="26"/>
  <c r="AF76" i="26"/>
  <c r="Z76" i="26"/>
  <c r="AD76" i="26"/>
  <c r="Y76" i="26"/>
  <c r="AB76" i="26"/>
  <c r="AG76" i="26"/>
  <c r="AE80" i="26"/>
  <c r="AA80" i="26"/>
  <c r="AF80" i="26"/>
  <c r="Z80" i="26"/>
  <c r="AH80" i="26"/>
  <c r="AC80" i="26"/>
  <c r="X80" i="26"/>
  <c r="AG80" i="26"/>
  <c r="AB80" i="26"/>
  <c r="Y80" i="26"/>
  <c r="AD80" i="26"/>
  <c r="AE84" i="26"/>
  <c r="AA84" i="26"/>
  <c r="AF84" i="26"/>
  <c r="AC84" i="26"/>
  <c r="X84" i="26"/>
  <c r="AH84" i="26"/>
  <c r="AB84" i="26"/>
  <c r="AG84" i="26"/>
  <c r="Z84" i="26"/>
  <c r="AD84" i="26"/>
  <c r="Y84" i="26"/>
  <c r="AE88" i="26"/>
  <c r="AA88" i="26"/>
  <c r="AF88" i="26"/>
  <c r="AB88" i="26"/>
  <c r="X88" i="26"/>
  <c r="AC88" i="26"/>
  <c r="AH88" i="26"/>
  <c r="Z88" i="26"/>
  <c r="AG88" i="26"/>
  <c r="Y88" i="26"/>
  <c r="AD88" i="26"/>
  <c r="AE58" i="26"/>
  <c r="AA58" i="26"/>
  <c r="AH58" i="26"/>
  <c r="AD58" i="26"/>
  <c r="Z58" i="26"/>
  <c r="AF58" i="26"/>
  <c r="AB58" i="26"/>
  <c r="X58" i="26"/>
  <c r="AE62" i="26"/>
  <c r="AA62" i="26"/>
  <c r="AH62" i="26"/>
  <c r="AD62" i="26"/>
  <c r="Z62" i="26"/>
  <c r="AF62" i="26"/>
  <c r="AB62" i="26"/>
  <c r="X62" i="26"/>
  <c r="AE66" i="26"/>
  <c r="AA66" i="26"/>
  <c r="AH66" i="26"/>
  <c r="AD66" i="26"/>
  <c r="Z66" i="26"/>
  <c r="AF66" i="26"/>
  <c r="AB66" i="26"/>
  <c r="X66" i="26"/>
  <c r="AH70" i="26"/>
  <c r="AD70" i="26"/>
  <c r="Z70" i="26"/>
  <c r="AF70" i="26"/>
  <c r="AB70" i="26"/>
  <c r="X70" i="26"/>
  <c r="AE70" i="26"/>
  <c r="AA70" i="26"/>
  <c r="AC70" i="26"/>
  <c r="Y70" i="26"/>
  <c r="AG70" i="26"/>
  <c r="AH74" i="26"/>
  <c r="AD74" i="26"/>
  <c r="Z74" i="26"/>
  <c r="AF74" i="26"/>
  <c r="AB74" i="26"/>
  <c r="X74" i="26"/>
  <c r="AE74" i="26"/>
  <c r="AA74" i="26"/>
  <c r="AG74" i="26"/>
  <c r="Y74" i="26"/>
  <c r="AE78" i="26"/>
  <c r="AA78" i="26"/>
  <c r="AG78" i="26"/>
  <c r="AB78" i="26"/>
  <c r="AD78" i="26"/>
  <c r="Y78" i="26"/>
  <c r="AH78" i="26"/>
  <c r="AC78" i="26"/>
  <c r="X78" i="26"/>
  <c r="Z78" i="26"/>
  <c r="AF78" i="26"/>
  <c r="AE82" i="26"/>
  <c r="AA82" i="26"/>
  <c r="AD82" i="26"/>
  <c r="Y82" i="26"/>
  <c r="AH82" i="26"/>
  <c r="AC82" i="26"/>
  <c r="X82" i="26"/>
  <c r="AG82" i="26"/>
  <c r="AB82" i="26"/>
  <c r="AF82" i="26"/>
  <c r="Z82" i="26"/>
  <c r="AE86" i="26"/>
  <c r="AA86" i="26"/>
  <c r="AF86" i="26"/>
  <c r="AB86" i="26"/>
  <c r="X86" i="26"/>
  <c r="AG86" i="26"/>
  <c r="Y86" i="26"/>
  <c r="AD86" i="26"/>
  <c r="AC86" i="26"/>
  <c r="AH86" i="26"/>
  <c r="Z86" i="26"/>
  <c r="Y50" i="26"/>
  <c r="AC50" i="26"/>
  <c r="AG50" i="26"/>
  <c r="Y54" i="26"/>
  <c r="AC54" i="26"/>
  <c r="AG54" i="26"/>
  <c r="AC62" i="26"/>
  <c r="Z50" i="26"/>
  <c r="AD50" i="26"/>
  <c r="AH50" i="26"/>
  <c r="U54" i="26"/>
  <c r="Z54" i="26"/>
  <c r="AD54" i="26"/>
  <c r="AH54" i="26"/>
  <c r="Y58" i="26"/>
  <c r="AG62" i="26"/>
  <c r="Y66" i="26"/>
  <c r="AC74" i="26"/>
  <c r="AA50" i="26"/>
  <c r="AE50" i="26"/>
  <c r="AA54" i="26"/>
  <c r="AE54" i="26"/>
  <c r="AC58" i="26"/>
  <c r="AC66" i="26"/>
  <c r="X50" i="26"/>
  <c r="AB50" i="26"/>
  <c r="X54" i="26"/>
  <c r="AB54" i="26"/>
  <c r="AG58" i="26"/>
  <c r="Y62" i="26"/>
  <c r="AG66" i="26"/>
  <c r="B8" i="28"/>
  <c r="D8" i="28"/>
  <c r="F8" i="28"/>
  <c r="H8" i="28"/>
  <c r="J8" i="28"/>
  <c r="L8" i="28"/>
  <c r="G8" i="28"/>
  <c r="I8" i="28"/>
  <c r="K8" i="28"/>
  <c r="AJ8" i="23"/>
  <c r="Z3" i="23"/>
  <c r="AH3" i="23" s="1"/>
  <c r="Z4" i="23"/>
  <c r="AH4" i="23" s="1"/>
  <c r="AJ13" i="23"/>
  <c r="AJ3" i="23"/>
  <c r="Z8" i="23"/>
  <c r="AH8" i="23" s="1"/>
  <c r="Z5" i="23"/>
  <c r="AH5" i="23" s="1"/>
  <c r="AJ4" i="23"/>
  <c r="Z6" i="23"/>
  <c r="AH6" i="23" s="1"/>
  <c r="Z13" i="23"/>
  <c r="AH13" i="23" s="1"/>
  <c r="R9" i="23"/>
  <c r="R10" i="23"/>
  <c r="M439" i="23"/>
  <c r="U10" i="23" s="1"/>
  <c r="AI10" i="23" s="1"/>
  <c r="U9" i="23"/>
  <c r="AI9" i="23" s="1"/>
  <c r="R11" i="23"/>
  <c r="M542" i="23"/>
  <c r="U11" i="23" s="1"/>
  <c r="AI11" i="23" s="1"/>
  <c r="R12" i="23"/>
  <c r="M633" i="23"/>
  <c r="U12" i="23" s="1"/>
  <c r="AI12" i="23" s="1"/>
  <c r="Y4" i="23"/>
  <c r="AG4" i="23" s="1"/>
  <c r="AG6" i="23"/>
  <c r="AJ5" i="23"/>
  <c r="AI5" i="17"/>
  <c r="AT5" i="16"/>
  <c r="AT8" i="16" s="1"/>
  <c r="AC26" i="17"/>
  <c r="AB27" i="17"/>
  <c r="AB28" i="17"/>
  <c r="AB29" i="17"/>
  <c r="AC27" i="17"/>
  <c r="AC28" i="17"/>
  <c r="AB41" i="17"/>
  <c r="AC44" i="17"/>
  <c r="AB49" i="17"/>
  <c r="AC52" i="17"/>
  <c r="AB57" i="17"/>
  <c r="AC60" i="17"/>
  <c r="AC30" i="17"/>
  <c r="AB31" i="17"/>
  <c r="AB33" i="17"/>
  <c r="AB35" i="17"/>
  <c r="AB36" i="17"/>
  <c r="AB37" i="17"/>
  <c r="AB39" i="17"/>
  <c r="AC31" i="17"/>
  <c r="AC32" i="17"/>
  <c r="AC34" i="17"/>
  <c r="AC36" i="17"/>
  <c r="AC38" i="17"/>
  <c r="AC40" i="17"/>
  <c r="AB45" i="17"/>
  <c r="AC48" i="17"/>
  <c r="AB53" i="17"/>
  <c r="AC56" i="17"/>
  <c r="AB61" i="17"/>
  <c r="AO8" i="16"/>
  <c r="AC29" i="17"/>
  <c r="AC33" i="17"/>
  <c r="AC37" i="17"/>
  <c r="AC41" i="17"/>
  <c r="AC45" i="17"/>
  <c r="AC49" i="17"/>
  <c r="AC53" i="17"/>
  <c r="AB54" i="17"/>
  <c r="AC57" i="17"/>
  <c r="AB58" i="17"/>
  <c r="AC61" i="17"/>
  <c r="AC149" i="17"/>
  <c r="AC153" i="17"/>
  <c r="AC157" i="17"/>
  <c r="AC161" i="17"/>
  <c r="AC165" i="17"/>
  <c r="AC169" i="17"/>
  <c r="AC173" i="17"/>
  <c r="AC177" i="17"/>
  <c r="AC181" i="17"/>
  <c r="AC185" i="17"/>
  <c r="AC189" i="17"/>
  <c r="AC193" i="17"/>
  <c r="AC197" i="17"/>
  <c r="AC201" i="17"/>
  <c r="AC210" i="17"/>
  <c r="AI7" i="17" s="1"/>
  <c r="AC215" i="17"/>
  <c r="AC216" i="17"/>
  <c r="AC240" i="17"/>
  <c r="AC256" i="17"/>
  <c r="AC272" i="17"/>
  <c r="AC288" i="17"/>
  <c r="AB32" i="17"/>
  <c r="AC42" i="17"/>
  <c r="AC46" i="17"/>
  <c r="AC50" i="17"/>
  <c r="AC54" i="17"/>
  <c r="AC58" i="17"/>
  <c r="AC190" i="17"/>
  <c r="AC194" i="17"/>
  <c r="AC198" i="17"/>
  <c r="AI6" i="17" s="1"/>
  <c r="AC202" i="17"/>
  <c r="AC206" i="17"/>
  <c r="AC211" i="17"/>
  <c r="AC212" i="17"/>
  <c r="AC223" i="17"/>
  <c r="AC224" i="17"/>
  <c r="AC231" i="17"/>
  <c r="AC232" i="17"/>
  <c r="AC244" i="17"/>
  <c r="AC260" i="17"/>
  <c r="AC276" i="17"/>
  <c r="AC292" i="17"/>
  <c r="AB59" i="17"/>
  <c r="AC35" i="17"/>
  <c r="AC39" i="17"/>
  <c r="AC43" i="17"/>
  <c r="AC47" i="17"/>
  <c r="AC51" i="17"/>
  <c r="AB52" i="17"/>
  <c r="AC55" i="17"/>
  <c r="AB56" i="17"/>
  <c r="AC59" i="17"/>
  <c r="AB60" i="17"/>
  <c r="AC147" i="17"/>
  <c r="AI8" i="17" s="1"/>
  <c r="AC151" i="17"/>
  <c r="AC155" i="17"/>
  <c r="AC159" i="17"/>
  <c r="AC163" i="17"/>
  <c r="AC167" i="17"/>
  <c r="AC171" i="17"/>
  <c r="AC175" i="17"/>
  <c r="AC179" i="17"/>
  <c r="AC183" i="17"/>
  <c r="AC187" i="17"/>
  <c r="AC191" i="17"/>
  <c r="AC195" i="17"/>
  <c r="AC199" i="17"/>
  <c r="AC203" i="17"/>
  <c r="AC207" i="17"/>
  <c r="AC208" i="17"/>
  <c r="AC218" i="17"/>
  <c r="AC248" i="17"/>
  <c r="AC264" i="17"/>
  <c r="AC280" i="17"/>
  <c r="AC296" i="17"/>
  <c r="AJ8" i="16"/>
  <c r="AB26" i="17"/>
  <c r="AB30" i="17"/>
  <c r="AB34" i="17"/>
  <c r="AB38" i="17"/>
  <c r="AB42" i="17"/>
  <c r="AB46" i="17"/>
  <c r="AB50" i="17"/>
  <c r="AB55" i="17"/>
  <c r="AC205" i="17"/>
  <c r="AC209" i="17"/>
  <c r="AC213" i="17"/>
  <c r="AC217" i="17"/>
  <c r="AC221" i="17"/>
  <c r="AC225" i="17"/>
  <c r="AC229" i="17"/>
  <c r="AC233" i="17"/>
  <c r="AC237" i="17"/>
  <c r="AC241" i="17"/>
  <c r="AC245" i="17"/>
  <c r="AC249" i="17"/>
  <c r="AC253" i="17"/>
  <c r="AC257" i="17"/>
  <c r="AC261" i="17"/>
  <c r="AC265" i="17"/>
  <c r="AC269" i="17"/>
  <c r="AC273" i="17"/>
  <c r="AC277" i="17"/>
  <c r="AC281" i="17"/>
  <c r="AC285" i="17"/>
  <c r="AC289" i="17"/>
  <c r="AC293" i="17"/>
  <c r="AC297" i="17"/>
  <c r="AC222" i="17"/>
  <c r="AC226" i="17"/>
  <c r="AC230" i="17"/>
  <c r="AC234" i="17"/>
  <c r="AC238" i="17"/>
  <c r="AC242" i="17"/>
  <c r="AC246" i="17"/>
  <c r="AC250" i="17"/>
  <c r="AC254" i="17"/>
  <c r="AC258" i="17"/>
  <c r="AC262" i="17"/>
  <c r="AC266" i="17"/>
  <c r="AC270" i="17"/>
  <c r="AC274" i="17"/>
  <c r="AC278" i="17"/>
  <c r="AC282" i="17"/>
  <c r="AC286" i="17"/>
  <c r="AC290" i="17"/>
  <c r="AC294" i="17"/>
  <c r="AC298" i="17"/>
  <c r="AC239" i="17"/>
  <c r="AC243" i="17"/>
  <c r="AC247" i="17"/>
  <c r="AC251" i="17"/>
  <c r="AC255" i="17"/>
  <c r="AC259" i="17"/>
  <c r="AC263" i="17"/>
  <c r="AC267" i="17"/>
  <c r="AC271" i="17"/>
  <c r="AC275" i="17"/>
  <c r="AC279" i="17"/>
  <c r="AC283" i="17"/>
  <c r="AC287" i="17"/>
  <c r="AC291" i="17"/>
  <c r="AC295" i="17"/>
  <c r="AC299" i="17"/>
  <c r="AB57" i="8"/>
  <c r="AB57" i="9"/>
  <c r="AB57" i="7"/>
  <c r="AH57" i="8"/>
  <c r="AH57" i="9"/>
  <c r="AH57" i="7"/>
  <c r="W57" i="9"/>
  <c r="W57" i="8"/>
  <c r="W61" i="8" s="1"/>
  <c r="W57" i="7"/>
  <c r="AI57" i="9"/>
  <c r="AI57" i="8"/>
  <c r="AI57" i="7"/>
  <c r="AB59" i="9"/>
  <c r="AB59" i="8"/>
  <c r="AB59" i="7"/>
  <c r="AB61" i="6"/>
  <c r="AG57" i="8"/>
  <c r="AG57" i="9"/>
  <c r="AG57" i="7"/>
  <c r="AA48" i="13"/>
  <c r="AA48" i="10"/>
  <c r="AA48" i="11"/>
  <c r="AA48" i="12"/>
  <c r="U59" i="9"/>
  <c r="U59" i="8"/>
  <c r="U61" i="6"/>
  <c r="F41" i="5"/>
  <c r="U49" i="13"/>
  <c r="U49" i="12"/>
  <c r="U49" i="10"/>
  <c r="U49" i="11"/>
  <c r="AJ57" i="8"/>
  <c r="AJ61" i="8" s="1"/>
  <c r="AJ57" i="9"/>
  <c r="AJ57" i="7"/>
  <c r="Z48" i="13"/>
  <c r="Z48" i="12"/>
  <c r="Z48" i="11"/>
  <c r="Z48" i="10"/>
  <c r="AD57" i="8"/>
  <c r="AD57" i="9"/>
  <c r="AD57" i="7"/>
  <c r="AG59" i="9"/>
  <c r="AG59" i="8"/>
  <c r="W48" i="13"/>
  <c r="W48" i="12"/>
  <c r="W48" i="10"/>
  <c r="W48" i="11"/>
  <c r="AA49" i="13"/>
  <c r="AA49" i="12"/>
  <c r="AA49" i="11"/>
  <c r="AA49" i="10"/>
  <c r="V59" i="9"/>
  <c r="V59" i="8"/>
  <c r="AJ58" i="9"/>
  <c r="AJ58" i="7"/>
  <c r="AJ58" i="8"/>
  <c r="Z49" i="13"/>
  <c r="Z49" i="12"/>
  <c r="Z49" i="11"/>
  <c r="Z49" i="10"/>
  <c r="V61" i="6"/>
  <c r="X57" i="8"/>
  <c r="X61" i="8" s="1"/>
  <c r="X57" i="9"/>
  <c r="X57" i="7"/>
  <c r="AF57" i="8"/>
  <c r="AF57" i="9"/>
  <c r="AF57" i="7"/>
  <c r="AD59" i="7"/>
  <c r="AH59" i="9"/>
  <c r="AH59" i="8"/>
  <c r="AH61" i="6"/>
  <c r="AD58" i="9"/>
  <c r="AD58" i="8"/>
  <c r="D28" i="5"/>
  <c r="AL59" i="6" s="1"/>
  <c r="Y47" i="13"/>
  <c r="Y47" i="12"/>
  <c r="Y47" i="11"/>
  <c r="Y47" i="10"/>
  <c r="R47" i="13"/>
  <c r="R47" i="12"/>
  <c r="R47" i="10"/>
  <c r="R47" i="11"/>
  <c r="Z59" i="9"/>
  <c r="Z59" i="8"/>
  <c r="Z61" i="6"/>
  <c r="AI58" i="9"/>
  <c r="AI58" i="8"/>
  <c r="AI58" i="7"/>
  <c r="F28" i="5"/>
  <c r="AJ59" i="9"/>
  <c r="AJ59" i="8"/>
  <c r="AJ59" i="7"/>
  <c r="P57" i="8"/>
  <c r="P61" i="8" s="1"/>
  <c r="P57" i="9"/>
  <c r="P57" i="7"/>
  <c r="U57" i="8"/>
  <c r="U61" i="8" s="1"/>
  <c r="U57" i="9"/>
  <c r="AC57" i="8"/>
  <c r="AC61" i="8" s="1"/>
  <c r="AC57" i="9"/>
  <c r="AC57" i="7"/>
  <c r="Z57" i="8"/>
  <c r="Z61" i="8" s="1"/>
  <c r="Z57" i="9"/>
  <c r="Z57" i="7"/>
  <c r="U59" i="7"/>
  <c r="AB58" i="9"/>
  <c r="AB58" i="8"/>
  <c r="AB58" i="7"/>
  <c r="AB60" i="6"/>
  <c r="AD59" i="9"/>
  <c r="AD59" i="8"/>
  <c r="AL58" i="9"/>
  <c r="AL58" i="8"/>
  <c r="AL60" i="6"/>
  <c r="Y49" i="13"/>
  <c r="Y49" i="12"/>
  <c r="Y49" i="10"/>
  <c r="Y49" i="11"/>
  <c r="AA59" i="9"/>
  <c r="AA59" i="8"/>
  <c r="AA59" i="7"/>
  <c r="AH58" i="9"/>
  <c r="AH58" i="8"/>
  <c r="AH60" i="6"/>
  <c r="AI59" i="9"/>
  <c r="AI59" i="8"/>
  <c r="AI59" i="7"/>
  <c r="AI61" i="6"/>
  <c r="D45" i="5"/>
  <c r="Z47" i="13"/>
  <c r="Z47" i="12"/>
  <c r="Z51" i="12" s="1"/>
  <c r="Z9" i="13" s="1"/>
  <c r="AA9" i="13" s="1"/>
  <c r="Z47" i="10"/>
  <c r="Z47" i="11"/>
  <c r="O57" i="9"/>
  <c r="O57" i="8"/>
  <c r="O61" i="8" s="1"/>
  <c r="O57" i="7"/>
  <c r="S57" i="9"/>
  <c r="S57" i="8"/>
  <c r="S57" i="7"/>
  <c r="AI60" i="6"/>
  <c r="AA57" i="9"/>
  <c r="AA57" i="8"/>
  <c r="AA61" i="8" s="1"/>
  <c r="AA57" i="7"/>
  <c r="AH58" i="7"/>
  <c r="V59" i="7"/>
  <c r="Z59" i="7"/>
  <c r="U57" i="7"/>
  <c r="W47" i="13"/>
  <c r="W47" i="12"/>
  <c r="W47" i="10"/>
  <c r="W47" i="11"/>
  <c r="AA61" i="6"/>
  <c r="AG61" i="6"/>
  <c r="AJ60" i="6"/>
  <c r="AD58" i="7"/>
  <c r="AG59" i="7"/>
  <c r="M57" i="8"/>
  <c r="M61" i="8" s="1"/>
  <c r="M57" i="9"/>
  <c r="R57" i="8"/>
  <c r="R61" i="8" s="1"/>
  <c r="R57" i="9"/>
  <c r="R57" i="7"/>
  <c r="AE57" i="9"/>
  <c r="AE57" i="8"/>
  <c r="AE57" i="7"/>
  <c r="AK57" i="8"/>
  <c r="AK61" i="8" s="1"/>
  <c r="AK57" i="9"/>
  <c r="L57" i="8"/>
  <c r="L61" i="8" s="1"/>
  <c r="L57" i="9"/>
  <c r="L57" i="7"/>
  <c r="Q57" i="8"/>
  <c r="Q61" i="8" s="1"/>
  <c r="Q57" i="9"/>
  <c r="M57" i="7"/>
  <c r="Q57" i="7"/>
  <c r="S9" i="11"/>
  <c r="S7" i="11"/>
  <c r="R8" i="11"/>
  <c r="M51" i="11"/>
  <c r="M9" i="13"/>
  <c r="X46" i="11"/>
  <c r="Y46" i="11"/>
  <c r="M50" i="10"/>
  <c r="M50" i="12" s="1"/>
  <c r="O50" i="10"/>
  <c r="U50" i="10"/>
  <c r="U50" i="11" s="1"/>
  <c r="X50" i="10"/>
  <c r="L46" i="10"/>
  <c r="N46" i="10"/>
  <c r="P46" i="10"/>
  <c r="S46" i="10"/>
  <c r="T46" i="10"/>
  <c r="T51" i="10" s="1"/>
  <c r="T35" i="11" s="1"/>
  <c r="V46" i="10"/>
  <c r="Y46" i="10"/>
  <c r="Z46" i="10"/>
  <c r="N50" i="10"/>
  <c r="P50" i="10"/>
  <c r="P50" i="11" s="1"/>
  <c r="T50" i="10"/>
  <c r="V50" i="10"/>
  <c r="Z50" i="10"/>
  <c r="M46" i="10"/>
  <c r="O46" i="10"/>
  <c r="Q46" i="10"/>
  <c r="R46" i="10"/>
  <c r="R51" i="10" s="1"/>
  <c r="R26" i="11" s="1"/>
  <c r="U46" i="10"/>
  <c r="U51" i="10" s="1"/>
  <c r="U30" i="11" s="1"/>
  <c r="W46" i="10"/>
  <c r="X46" i="10"/>
  <c r="X51" i="10" s="1"/>
  <c r="AA46" i="10"/>
  <c r="Z53" i="9"/>
  <c r="Z51" i="9"/>
  <c r="Z49" i="9"/>
  <c r="Z47" i="9"/>
  <c r="Z45" i="9"/>
  <c r="Z52" i="9"/>
  <c r="Z50" i="9"/>
  <c r="Z54" i="9"/>
  <c r="Z46" i="9"/>
  <c r="Z44" i="9"/>
  <c r="Z39" i="9"/>
  <c r="Z36" i="9"/>
  <c r="Z48" i="9"/>
  <c r="Z42" i="9"/>
  <c r="Z37" i="9"/>
  <c r="Z34" i="9"/>
  <c r="Z43" i="9"/>
  <c r="Z40" i="9"/>
  <c r="Z35" i="9"/>
  <c r="Z32" i="9"/>
  <c r="Z41" i="9"/>
  <c r="Z38" i="9"/>
  <c r="Z33" i="9"/>
  <c r="Z30" i="9"/>
  <c r="Z28" i="9"/>
  <c r="Z26" i="9"/>
  <c r="Z24" i="9"/>
  <c r="Z22" i="9"/>
  <c r="Z20" i="9"/>
  <c r="Z18" i="9"/>
  <c r="Z16" i="9"/>
  <c r="Z14" i="9"/>
  <c r="Z12" i="9"/>
  <c r="Z11" i="9"/>
  <c r="Z10" i="9"/>
  <c r="Z9" i="9"/>
  <c r="Z29" i="9"/>
  <c r="Z21" i="9"/>
  <c r="Z27" i="9"/>
  <c r="Z19" i="9"/>
  <c r="Z25" i="9"/>
  <c r="Z31" i="9"/>
  <c r="Z23" i="9"/>
  <c r="Z15" i="9"/>
  <c r="Z7" i="9"/>
  <c r="Z5" i="9"/>
  <c r="Z8" i="9"/>
  <c r="Z6" i="9"/>
  <c r="Z17" i="9"/>
  <c r="Z13" i="9"/>
  <c r="AA50" i="9"/>
  <c r="AA47" i="9"/>
  <c r="AA53" i="9"/>
  <c r="AA48" i="9"/>
  <c r="AA45" i="9"/>
  <c r="AA54" i="9"/>
  <c r="AA51" i="9"/>
  <c r="AA52" i="9"/>
  <c r="AA49" i="9"/>
  <c r="AA43" i="9"/>
  <c r="AA41" i="9"/>
  <c r="AA39" i="9"/>
  <c r="AA37" i="9"/>
  <c r="AA35" i="9"/>
  <c r="AA33" i="9"/>
  <c r="AA31" i="9"/>
  <c r="AA46" i="9"/>
  <c r="AA42" i="9"/>
  <c r="AA34" i="9"/>
  <c r="AA40" i="9"/>
  <c r="AA32" i="9"/>
  <c r="AA38" i="9"/>
  <c r="AA44" i="9"/>
  <c r="AA36" i="9"/>
  <c r="AA30" i="9"/>
  <c r="AA27" i="9"/>
  <c r="AA24" i="9"/>
  <c r="AA19" i="9"/>
  <c r="AA16" i="9"/>
  <c r="AA25" i="9"/>
  <c r="AA22" i="9"/>
  <c r="AA28" i="9"/>
  <c r="AA23" i="9"/>
  <c r="AA29" i="9"/>
  <c r="AA26" i="9"/>
  <c r="AA21" i="9"/>
  <c r="AA18" i="9"/>
  <c r="AA13" i="9"/>
  <c r="AA11" i="9"/>
  <c r="AA12" i="9"/>
  <c r="AA6" i="9"/>
  <c r="AA20" i="9"/>
  <c r="AA15" i="9"/>
  <c r="AA17" i="9"/>
  <c r="AA14" i="9"/>
  <c r="AA7" i="9"/>
  <c r="AA10" i="9"/>
  <c r="AA9" i="9"/>
  <c r="AA8" i="9"/>
  <c r="AA5" i="9"/>
  <c r="M66" i="6"/>
  <c r="M71" i="6"/>
  <c r="D37" i="5"/>
  <c r="X11" i="23" l="1"/>
  <c r="AF11" i="23" s="1"/>
  <c r="D30" i="5"/>
  <c r="AB46" i="10"/>
  <c r="M72" i="6"/>
  <c r="M70" i="6"/>
  <c r="I26" i="25"/>
  <c r="I26" i="14"/>
  <c r="I26" i="7"/>
  <c r="I26" i="8"/>
  <c r="I26" i="9"/>
  <c r="I26" i="6"/>
  <c r="I11" i="25"/>
  <c r="I11" i="8"/>
  <c r="I11" i="6"/>
  <c r="I11" i="14"/>
  <c r="I11" i="7"/>
  <c r="I11" i="9"/>
  <c r="I28" i="25"/>
  <c r="I28" i="14"/>
  <c r="I28" i="7"/>
  <c r="AG56" i="7" s="1"/>
  <c r="I28" i="9"/>
  <c r="I28" i="6"/>
  <c r="I28" i="8"/>
  <c r="P13" i="5"/>
  <c r="P16" i="5" s="1"/>
  <c r="AO2" i="16"/>
  <c r="AO7" i="16" s="1"/>
  <c r="I27" i="25"/>
  <c r="I27" i="14"/>
  <c r="I27" i="8"/>
  <c r="I27" i="9"/>
  <c r="I27" i="7"/>
  <c r="I27" i="6"/>
  <c r="D4" i="5"/>
  <c r="F30" i="5" s="1"/>
  <c r="U14" i="11"/>
  <c r="U14" i="12" s="1"/>
  <c r="U28" i="11"/>
  <c r="AT2" i="16"/>
  <c r="AT7" i="16" s="1"/>
  <c r="AT9" i="16" s="1"/>
  <c r="AI4" i="17"/>
  <c r="H10" i="28"/>
  <c r="H6" i="28"/>
  <c r="K10" i="28"/>
  <c r="K6" i="28"/>
  <c r="I10" i="28"/>
  <c r="I6" i="28"/>
  <c r="D10" i="28"/>
  <c r="D6" i="28"/>
  <c r="G10" i="28"/>
  <c r="G6" i="28"/>
  <c r="J6" i="28"/>
  <c r="F10" i="28"/>
  <c r="F6" i="28"/>
  <c r="E8" i="28"/>
  <c r="E10" i="28"/>
  <c r="E6" i="28"/>
  <c r="C8" i="28"/>
  <c r="C10" i="28"/>
  <c r="C6" i="28"/>
  <c r="B10" i="28"/>
  <c r="B6" i="28"/>
  <c r="L10" i="28"/>
  <c r="L6" i="28"/>
  <c r="X12" i="23"/>
  <c r="AF12" i="23" s="1"/>
  <c r="X10" i="23"/>
  <c r="AF10" i="23" s="1"/>
  <c r="X9" i="23"/>
  <c r="AF9" i="23" s="1"/>
  <c r="AJ9" i="16"/>
  <c r="AO9" i="16"/>
  <c r="U37" i="11"/>
  <c r="U27" i="11"/>
  <c r="U27" i="13" s="1"/>
  <c r="U15" i="11"/>
  <c r="U21" i="11"/>
  <c r="U21" i="12" s="1"/>
  <c r="U17" i="11"/>
  <c r="U17" i="13" s="1"/>
  <c r="R34" i="11"/>
  <c r="R33" i="11"/>
  <c r="S33" i="11" s="1"/>
  <c r="S26" i="11"/>
  <c r="T35" i="12"/>
  <c r="T35" i="13"/>
  <c r="F37" i="5"/>
  <c r="R49" i="13"/>
  <c r="R49" i="12"/>
  <c r="R49" i="11"/>
  <c r="R49" i="10"/>
  <c r="U15" i="12"/>
  <c r="E37" i="5"/>
  <c r="R48" i="13"/>
  <c r="R48" i="12"/>
  <c r="R48" i="10"/>
  <c r="R48" i="11"/>
  <c r="U30" i="12"/>
  <c r="U30" i="13"/>
  <c r="T26" i="11"/>
  <c r="T29" i="11"/>
  <c r="U21" i="13"/>
  <c r="R16" i="11"/>
  <c r="U27" i="12"/>
  <c r="S47" i="13"/>
  <c r="S47" i="12"/>
  <c r="S47" i="10"/>
  <c r="S47" i="11"/>
  <c r="Z56" i="9"/>
  <c r="R13" i="11"/>
  <c r="R12" i="11"/>
  <c r="R6" i="11"/>
  <c r="R18" i="11"/>
  <c r="R5" i="11"/>
  <c r="R24" i="11"/>
  <c r="R20" i="11"/>
  <c r="R11" i="11"/>
  <c r="R10" i="11"/>
  <c r="R30" i="11"/>
  <c r="R27" i="11"/>
  <c r="R28" i="11"/>
  <c r="R21" i="11"/>
  <c r="R37" i="11"/>
  <c r="R38" i="11"/>
  <c r="R31" i="11"/>
  <c r="R15" i="11"/>
  <c r="R44" i="11"/>
  <c r="R17" i="11"/>
  <c r="R25" i="11"/>
  <c r="R41" i="11"/>
  <c r="R42" i="11"/>
  <c r="R35" i="11"/>
  <c r="R32" i="11"/>
  <c r="R22" i="11"/>
  <c r="R19" i="11"/>
  <c r="R29" i="11"/>
  <c r="R39" i="11"/>
  <c r="R36" i="11"/>
  <c r="Z7" i="11"/>
  <c r="Z8" i="11"/>
  <c r="N9" i="11"/>
  <c r="N8" i="11"/>
  <c r="N7" i="11"/>
  <c r="N50" i="12"/>
  <c r="O9" i="11"/>
  <c r="O8" i="11"/>
  <c r="O7" i="11"/>
  <c r="O50" i="11"/>
  <c r="R40" i="11"/>
  <c r="R43" i="11"/>
  <c r="T44" i="11"/>
  <c r="N50" i="11"/>
  <c r="R23" i="11"/>
  <c r="V8" i="11"/>
  <c r="V9" i="11"/>
  <c r="V7" i="11"/>
  <c r="V50" i="11"/>
  <c r="V50" i="12"/>
  <c r="T18" i="11"/>
  <c r="T13" i="11"/>
  <c r="T12" i="11"/>
  <c r="T11" i="11"/>
  <c r="T10" i="11"/>
  <c r="T6" i="11"/>
  <c r="T34" i="11"/>
  <c r="T5" i="11"/>
  <c r="T23" i="11"/>
  <c r="T39" i="11"/>
  <c r="T28" i="11"/>
  <c r="T16" i="11"/>
  <c r="T33" i="11"/>
  <c r="T30" i="11"/>
  <c r="T15" i="11"/>
  <c r="T27" i="11"/>
  <c r="T43" i="11"/>
  <c r="T32" i="11"/>
  <c r="T21" i="11"/>
  <c r="T37" i="11"/>
  <c r="T17" i="11"/>
  <c r="T38" i="11"/>
  <c r="T36" i="11"/>
  <c r="T14" i="11"/>
  <c r="T31" i="11"/>
  <c r="T20" i="11"/>
  <c r="T40" i="11"/>
  <c r="T25" i="11"/>
  <c r="T41" i="11"/>
  <c r="T22" i="11"/>
  <c r="T42" i="11"/>
  <c r="M8" i="11"/>
  <c r="M7" i="11"/>
  <c r="O50" i="12"/>
  <c r="Z50" i="12"/>
  <c r="R14" i="11"/>
  <c r="T24" i="11"/>
  <c r="T19" i="11"/>
  <c r="U28" i="12"/>
  <c r="U28" i="13"/>
  <c r="T8" i="11"/>
  <c r="T9" i="11"/>
  <c r="T7" i="11"/>
  <c r="T50" i="12"/>
  <c r="U44" i="11"/>
  <c r="U43" i="11"/>
  <c r="U42" i="11"/>
  <c r="U33" i="11"/>
  <c r="U16" i="11"/>
  <c r="U24" i="11"/>
  <c r="U23" i="11"/>
  <c r="R51" i="11"/>
  <c r="R26" i="12" s="1"/>
  <c r="S26" i="12" s="1"/>
  <c r="AL57" i="8"/>
  <c r="AL57" i="9"/>
  <c r="AL57" i="7"/>
  <c r="U13" i="11"/>
  <c r="U18" i="11"/>
  <c r="U11" i="11"/>
  <c r="U10" i="11"/>
  <c r="U6" i="11"/>
  <c r="U5" i="11"/>
  <c r="U32" i="11"/>
  <c r="U31" i="11"/>
  <c r="U12" i="11"/>
  <c r="P7" i="11"/>
  <c r="P9" i="11"/>
  <c r="P8" i="11"/>
  <c r="U9" i="11"/>
  <c r="U7" i="11"/>
  <c r="U8" i="11"/>
  <c r="U50" i="12"/>
  <c r="P50" i="12"/>
  <c r="M50" i="11"/>
  <c r="M9" i="12"/>
  <c r="M9" i="26" s="1"/>
  <c r="M54" i="26" s="1"/>
  <c r="U40" i="11"/>
  <c r="U39" i="11"/>
  <c r="U38" i="11"/>
  <c r="U29" i="11"/>
  <c r="U20" i="11"/>
  <c r="U19" i="11"/>
  <c r="U26" i="11"/>
  <c r="Z51" i="11"/>
  <c r="AA47" i="13"/>
  <c r="AA47" i="12"/>
  <c r="AA47" i="10"/>
  <c r="AA47" i="11"/>
  <c r="AL59" i="9"/>
  <c r="AL59" i="8"/>
  <c r="AL61" i="6"/>
  <c r="AL59" i="7"/>
  <c r="W49" i="13"/>
  <c r="W49" i="12"/>
  <c r="W49" i="11"/>
  <c r="W49" i="10"/>
  <c r="AI61" i="8"/>
  <c r="U36" i="11"/>
  <c r="T50" i="11"/>
  <c r="U35" i="11"/>
  <c r="S8" i="11"/>
  <c r="U34" i="11"/>
  <c r="U41" i="11"/>
  <c r="U25" i="11"/>
  <c r="U22" i="11"/>
  <c r="R51" i="12"/>
  <c r="AH61" i="8"/>
  <c r="O51" i="10"/>
  <c r="Z51" i="10"/>
  <c r="M51" i="10"/>
  <c r="P51" i="10"/>
  <c r="V51" i="10"/>
  <c r="N51" i="10"/>
  <c r="AA56" i="9"/>
  <c r="AO82" i="25" l="1"/>
  <c r="AY82" i="25"/>
  <c r="R82" i="25"/>
  <c r="AJ82" i="25"/>
  <c r="AR82" i="25"/>
  <c r="AM82" i="25"/>
  <c r="BA82" i="25"/>
  <c r="AK82" i="25"/>
  <c r="AT82" i="25"/>
  <c r="AZ82" i="25"/>
  <c r="AV82" i="25"/>
  <c r="BB82" i="25"/>
  <c r="AW82" i="25"/>
  <c r="P82" i="25"/>
  <c r="AN82" i="25"/>
  <c r="AU82" i="25"/>
  <c r="AL82" i="25"/>
  <c r="AQ82" i="25"/>
  <c r="AS82" i="25"/>
  <c r="BD82" i="25"/>
  <c r="AI82" i="25"/>
  <c r="AP82" i="25"/>
  <c r="BC82" i="25"/>
  <c r="AX82" i="25"/>
  <c r="AW83" i="25"/>
  <c r="BC83" i="25"/>
  <c r="BD83" i="25"/>
  <c r="AI83" i="25"/>
  <c r="AQ83" i="25"/>
  <c r="AL83" i="25"/>
  <c r="AS83" i="25"/>
  <c r="AX83" i="25"/>
  <c r="AY83" i="25"/>
  <c r="AU83" i="25"/>
  <c r="AZ83" i="25"/>
  <c r="AO83" i="25"/>
  <c r="AR83" i="25"/>
  <c r="AT83" i="25"/>
  <c r="AJ83" i="25"/>
  <c r="AP83" i="25"/>
  <c r="BA83" i="25"/>
  <c r="AK83" i="25"/>
  <c r="AM83" i="25"/>
  <c r="AN83" i="25"/>
  <c r="BB83" i="25"/>
  <c r="AV83" i="25"/>
  <c r="M54" i="6"/>
  <c r="M27" i="6"/>
  <c r="M28" i="6"/>
  <c r="M31" i="6"/>
  <c r="M39" i="6"/>
  <c r="M47" i="6"/>
  <c r="M34" i="6"/>
  <c r="M42" i="6"/>
  <c r="M50" i="6"/>
  <c r="M40" i="6"/>
  <c r="M20" i="6"/>
  <c r="M33" i="6"/>
  <c r="M41" i="6"/>
  <c r="M49" i="6"/>
  <c r="M22" i="6"/>
  <c r="M23" i="6"/>
  <c r="M36" i="6"/>
  <c r="M44" i="6"/>
  <c r="M52" i="6"/>
  <c r="M25" i="6"/>
  <c r="M30" i="6"/>
  <c r="M38" i="6"/>
  <c r="M46" i="6"/>
  <c r="M29" i="6"/>
  <c r="M37" i="6"/>
  <c r="M45" i="6"/>
  <c r="M53" i="6"/>
  <c r="M32" i="6"/>
  <c r="M48" i="6"/>
  <c r="M24" i="6"/>
  <c r="M21" i="6"/>
  <c r="M35" i="6"/>
  <c r="M43" i="6"/>
  <c r="M51" i="6"/>
  <c r="M26" i="6"/>
  <c r="M16" i="6"/>
  <c r="M8" i="6"/>
  <c r="O58" i="6"/>
  <c r="O63" i="6" s="1"/>
  <c r="AE58" i="6"/>
  <c r="AE63" i="6" s="1"/>
  <c r="P58" i="6"/>
  <c r="P63" i="6" s="1"/>
  <c r="AH58" i="6"/>
  <c r="AH63" i="6" s="1"/>
  <c r="AA58" i="6"/>
  <c r="X58" i="6"/>
  <c r="X63" i="6" s="1"/>
  <c r="R58" i="6"/>
  <c r="R63" i="6" s="1"/>
  <c r="M17" i="6"/>
  <c r="S58" i="6"/>
  <c r="S63" i="6" s="1"/>
  <c r="V58" i="6"/>
  <c r="Q58" i="6"/>
  <c r="Q63" i="6" s="1"/>
  <c r="AC58" i="6"/>
  <c r="AC63" i="6" s="1"/>
  <c r="M15" i="6"/>
  <c r="Y58" i="6"/>
  <c r="U58" i="6"/>
  <c r="U63" i="6" s="1"/>
  <c r="W58" i="6"/>
  <c r="W63" i="6" s="1"/>
  <c r="M7" i="6"/>
  <c r="L58" i="6"/>
  <c r="L63" i="6" s="1"/>
  <c r="AI58" i="6"/>
  <c r="AI63" i="6" s="1"/>
  <c r="M14" i="6"/>
  <c r="Z58" i="6"/>
  <c r="AF58" i="6"/>
  <c r="AF63" i="6" s="1"/>
  <c r="BA81" i="25"/>
  <c r="AK81" i="25"/>
  <c r="AQ81" i="25"/>
  <c r="AM81" i="25"/>
  <c r="BD81" i="25"/>
  <c r="BC81" i="25"/>
  <c r="AW81" i="25"/>
  <c r="P81" i="25"/>
  <c r="AL81" i="25"/>
  <c r="AY81" i="25"/>
  <c r="AX81" i="25"/>
  <c r="AU81" i="25"/>
  <c r="AS81" i="25"/>
  <c r="BB81" i="25"/>
  <c r="AZ81" i="25"/>
  <c r="AR81" i="25"/>
  <c r="AP81" i="25"/>
  <c r="AN81" i="25"/>
  <c r="AO81" i="25"/>
  <c r="AV81" i="25"/>
  <c r="AT81" i="25"/>
  <c r="AJ81" i="25"/>
  <c r="AI81" i="25"/>
  <c r="R81" i="25"/>
  <c r="U17" i="12"/>
  <c r="AE56" i="7"/>
  <c r="AA56" i="7"/>
  <c r="AA61" i="7" s="1"/>
  <c r="AF56" i="7"/>
  <c r="Z56" i="7"/>
  <c r="Z61" i="7" s="1"/>
  <c r="BA66" i="25"/>
  <c r="AK66" i="25"/>
  <c r="AQ66" i="25"/>
  <c r="AP66" i="25"/>
  <c r="AT66" i="25"/>
  <c r="AX66" i="25"/>
  <c r="AW66" i="25"/>
  <c r="AB66" i="25"/>
  <c r="AL66" i="25"/>
  <c r="AJ66" i="25"/>
  <c r="AN66" i="25"/>
  <c r="AR66" i="25"/>
  <c r="AS66" i="25"/>
  <c r="BB66" i="25"/>
  <c r="AZ66" i="25"/>
  <c r="BD66" i="25"/>
  <c r="AI66" i="25"/>
  <c r="AM66" i="25"/>
  <c r="AO66" i="25"/>
  <c r="AV66" i="25"/>
  <c r="AU66" i="25"/>
  <c r="AY66" i="25"/>
  <c r="BC66" i="25"/>
  <c r="M69" i="6"/>
  <c r="M67" i="6" s="1"/>
  <c r="M73" i="6" s="1"/>
  <c r="F4" i="5"/>
  <c r="E4" i="5"/>
  <c r="E30" i="5"/>
  <c r="U14" i="13"/>
  <c r="R35" i="26"/>
  <c r="R80" i="26" s="1"/>
  <c r="S30" i="26"/>
  <c r="S75" i="26" s="1"/>
  <c r="S21" i="26"/>
  <c r="S66" i="26" s="1"/>
  <c r="S27" i="26"/>
  <c r="S72" i="26" s="1"/>
  <c r="S28" i="26"/>
  <c r="S73" i="26" s="1"/>
  <c r="U15" i="13"/>
  <c r="S15" i="26" s="1"/>
  <c r="S60" i="26" s="1"/>
  <c r="U37" i="12"/>
  <c r="S14" i="26"/>
  <c r="S59" i="26" s="1"/>
  <c r="S34" i="11"/>
  <c r="S17" i="26"/>
  <c r="S62" i="26" s="1"/>
  <c r="M8" i="28"/>
  <c r="M6" i="28"/>
  <c r="M10" i="28"/>
  <c r="U37" i="13"/>
  <c r="L47" i="13"/>
  <c r="L47" i="12"/>
  <c r="L51" i="12" s="1"/>
  <c r="L47" i="11"/>
  <c r="L51" i="11" s="1"/>
  <c r="L47" i="10"/>
  <c r="V13" i="11"/>
  <c r="V12" i="11"/>
  <c r="V6" i="11"/>
  <c r="V5" i="11"/>
  <c r="V17" i="11"/>
  <c r="V37" i="11"/>
  <c r="V30" i="11"/>
  <c r="V26" i="11"/>
  <c r="V22" i="11"/>
  <c r="V18" i="11"/>
  <c r="W18" i="11" s="1"/>
  <c r="V11" i="11"/>
  <c r="V10" i="11"/>
  <c r="V24" i="11"/>
  <c r="V16" i="11"/>
  <c r="W16" i="11" s="1"/>
  <c r="V27" i="11"/>
  <c r="W27" i="11" s="1"/>
  <c r="V32" i="11"/>
  <c r="V41" i="11"/>
  <c r="W41" i="11" s="1"/>
  <c r="V38" i="11"/>
  <c r="W38" i="11" s="1"/>
  <c r="V28" i="11"/>
  <c r="V21" i="11"/>
  <c r="V14" i="11"/>
  <c r="V31" i="11"/>
  <c r="V36" i="11"/>
  <c r="V42" i="11"/>
  <c r="W42" i="11" s="1"/>
  <c r="V25" i="11"/>
  <c r="V19" i="11"/>
  <c r="V35" i="11"/>
  <c r="V43" i="11"/>
  <c r="V40" i="11"/>
  <c r="V20" i="11"/>
  <c r="V23" i="11"/>
  <c r="V33" i="11"/>
  <c r="V34" i="11"/>
  <c r="V39" i="11"/>
  <c r="V15" i="11"/>
  <c r="V29" i="11"/>
  <c r="W29" i="11" s="1"/>
  <c r="V44" i="11"/>
  <c r="W44" i="11" s="1"/>
  <c r="O18" i="11"/>
  <c r="O11" i="11"/>
  <c r="O10" i="11"/>
  <c r="O12" i="11"/>
  <c r="O6" i="11"/>
  <c r="O13" i="11"/>
  <c r="O5" i="11"/>
  <c r="O22" i="11"/>
  <c r="O38" i="11"/>
  <c r="O35" i="11"/>
  <c r="O16" i="11"/>
  <c r="O33" i="11"/>
  <c r="O23" i="11"/>
  <c r="O43" i="11"/>
  <c r="O24" i="11"/>
  <c r="O44" i="11"/>
  <c r="O26" i="11"/>
  <c r="O21" i="11"/>
  <c r="O37" i="11"/>
  <c r="O27" i="11"/>
  <c r="O28" i="11"/>
  <c r="O30" i="11"/>
  <c r="O15" i="11"/>
  <c r="O25" i="11"/>
  <c r="O41" i="11"/>
  <c r="O42" i="11"/>
  <c r="O31" i="11"/>
  <c r="O32" i="11"/>
  <c r="O34" i="11"/>
  <c r="O36" i="11"/>
  <c r="O19" i="11"/>
  <c r="O20" i="11"/>
  <c r="O17" i="11"/>
  <c r="O14" i="11"/>
  <c r="O29" i="11"/>
  <c r="O39" i="11"/>
  <c r="O40" i="11"/>
  <c r="U41" i="12"/>
  <c r="U41" i="13"/>
  <c r="U35" i="12"/>
  <c r="U35" i="13"/>
  <c r="Z50" i="11"/>
  <c r="Z9" i="12"/>
  <c r="U26" i="12"/>
  <c r="U26" i="13"/>
  <c r="U38" i="12"/>
  <c r="U38" i="13"/>
  <c r="U7" i="12"/>
  <c r="U7" i="13"/>
  <c r="P7" i="12"/>
  <c r="P7" i="13"/>
  <c r="U5" i="12"/>
  <c r="U5" i="13"/>
  <c r="U46" i="11"/>
  <c r="U18" i="12"/>
  <c r="U18" i="13"/>
  <c r="U16" i="12"/>
  <c r="U16" i="13"/>
  <c r="U44" i="12"/>
  <c r="U44" i="13"/>
  <c r="T8" i="12"/>
  <c r="W8" i="11"/>
  <c r="T8" i="13"/>
  <c r="T19" i="12"/>
  <c r="T19" i="13"/>
  <c r="T22" i="12"/>
  <c r="T22" i="13"/>
  <c r="T20" i="12"/>
  <c r="T20" i="13"/>
  <c r="T38" i="12"/>
  <c r="T38" i="13"/>
  <c r="T32" i="12"/>
  <c r="T32" i="13"/>
  <c r="T30" i="12"/>
  <c r="T30" i="13"/>
  <c r="T39" i="12"/>
  <c r="T39" i="13"/>
  <c r="T6" i="12"/>
  <c r="T6" i="13"/>
  <c r="T13" i="12"/>
  <c r="T13" i="13"/>
  <c r="V7" i="12"/>
  <c r="V7" i="13"/>
  <c r="R43" i="12"/>
  <c r="S43" i="12" s="1"/>
  <c r="S43" i="11"/>
  <c r="R43" i="13"/>
  <c r="S43" i="13" s="1"/>
  <c r="O8" i="12"/>
  <c r="O8" i="13"/>
  <c r="N8" i="12"/>
  <c r="N8" i="13"/>
  <c r="R36" i="12"/>
  <c r="S36" i="12" s="1"/>
  <c r="S36" i="11"/>
  <c r="R36" i="13"/>
  <c r="S36" i="13" s="1"/>
  <c r="R22" i="12"/>
  <c r="S22" i="12" s="1"/>
  <c r="S22" i="11"/>
  <c r="R22" i="13"/>
  <c r="S22" i="13" s="1"/>
  <c r="R41" i="12"/>
  <c r="S41" i="12" s="1"/>
  <c r="S41" i="11"/>
  <c r="R41" i="13"/>
  <c r="S41" i="13" s="1"/>
  <c r="R15" i="12"/>
  <c r="S15" i="12" s="1"/>
  <c r="S15" i="11"/>
  <c r="R15" i="13"/>
  <c r="S15" i="13" s="1"/>
  <c r="R21" i="12"/>
  <c r="S21" i="12" s="1"/>
  <c r="S21" i="11"/>
  <c r="R21" i="13"/>
  <c r="S21" i="13" s="1"/>
  <c r="R10" i="12"/>
  <c r="S10" i="12" s="1"/>
  <c r="S10" i="11"/>
  <c r="R10" i="13"/>
  <c r="S10" i="13" s="1"/>
  <c r="R5" i="12"/>
  <c r="S5" i="11"/>
  <c r="R5" i="13"/>
  <c r="R46" i="11"/>
  <c r="R13" i="12"/>
  <c r="S13" i="12" s="1"/>
  <c r="S13" i="11"/>
  <c r="R13" i="13"/>
  <c r="S13" i="13" s="1"/>
  <c r="T26" i="12"/>
  <c r="T26" i="13"/>
  <c r="W30" i="11"/>
  <c r="P11" i="11"/>
  <c r="P10" i="11"/>
  <c r="P12" i="11"/>
  <c r="P6" i="11"/>
  <c r="P18" i="11"/>
  <c r="P13" i="11"/>
  <c r="P5" i="11"/>
  <c r="P32" i="11"/>
  <c r="P33" i="11"/>
  <c r="P22" i="11"/>
  <c r="P19" i="11"/>
  <c r="P35" i="11"/>
  <c r="P36" i="11"/>
  <c r="P20" i="11"/>
  <c r="P21" i="11"/>
  <c r="P37" i="11"/>
  <c r="P26" i="11"/>
  <c r="P23" i="11"/>
  <c r="P39" i="11"/>
  <c r="P40" i="11"/>
  <c r="P16" i="11"/>
  <c r="P17" i="11"/>
  <c r="P24" i="11"/>
  <c r="P25" i="11"/>
  <c r="P30" i="11"/>
  <c r="P27" i="11"/>
  <c r="P43" i="11"/>
  <c r="P44" i="11"/>
  <c r="P41" i="11"/>
  <c r="P38" i="11"/>
  <c r="P29" i="11"/>
  <c r="P14" i="11"/>
  <c r="P42" i="11"/>
  <c r="P28" i="11"/>
  <c r="P31" i="11"/>
  <c r="P15" i="11"/>
  <c r="P34" i="11"/>
  <c r="R7" i="13"/>
  <c r="S7" i="13" s="1"/>
  <c r="R50" i="12"/>
  <c r="R9" i="13"/>
  <c r="S9" i="13" s="1"/>
  <c r="R8" i="13"/>
  <c r="S8" i="13" s="1"/>
  <c r="W34" i="11"/>
  <c r="U34" i="12"/>
  <c r="U34" i="13"/>
  <c r="W19" i="11"/>
  <c r="U19" i="12"/>
  <c r="U19" i="13"/>
  <c r="W39" i="11"/>
  <c r="U39" i="12"/>
  <c r="U39" i="13"/>
  <c r="U9" i="12"/>
  <c r="U9" i="13"/>
  <c r="W12" i="11"/>
  <c r="U12" i="12"/>
  <c r="U12" i="13"/>
  <c r="U6" i="12"/>
  <c r="U6" i="13"/>
  <c r="W13" i="11"/>
  <c r="U13" i="12"/>
  <c r="U13" i="13"/>
  <c r="W33" i="11"/>
  <c r="U33" i="12"/>
  <c r="U33" i="13"/>
  <c r="T24" i="12"/>
  <c r="T24" i="13"/>
  <c r="M7" i="12"/>
  <c r="M7" i="13"/>
  <c r="T41" i="12"/>
  <c r="T41" i="13"/>
  <c r="T31" i="12"/>
  <c r="T31" i="13"/>
  <c r="T17" i="12"/>
  <c r="T17" i="13"/>
  <c r="T43" i="12"/>
  <c r="T43" i="13"/>
  <c r="T33" i="12"/>
  <c r="T33" i="13"/>
  <c r="T23" i="12"/>
  <c r="T23" i="13"/>
  <c r="T10" i="12"/>
  <c r="T10" i="13"/>
  <c r="T18" i="12"/>
  <c r="T18" i="13"/>
  <c r="V9" i="12"/>
  <c r="V9" i="13"/>
  <c r="R23" i="12"/>
  <c r="S23" i="11"/>
  <c r="R23" i="13"/>
  <c r="S23" i="13" s="1"/>
  <c r="R40" i="12"/>
  <c r="S40" i="11"/>
  <c r="R40" i="13"/>
  <c r="S40" i="13" s="1"/>
  <c r="O9" i="12"/>
  <c r="O9" i="13"/>
  <c r="N9" i="12"/>
  <c r="N9" i="13"/>
  <c r="R39" i="12"/>
  <c r="S39" i="12" s="1"/>
  <c r="S39" i="11"/>
  <c r="R39" i="13"/>
  <c r="S39" i="13" s="1"/>
  <c r="R32" i="12"/>
  <c r="S32" i="11"/>
  <c r="R32" i="13"/>
  <c r="S32" i="13" s="1"/>
  <c r="R25" i="12"/>
  <c r="S25" i="11"/>
  <c r="R25" i="13"/>
  <c r="S25" i="13" s="1"/>
  <c r="R31" i="12"/>
  <c r="S31" i="11"/>
  <c r="R31" i="13"/>
  <c r="S31" i="13" s="1"/>
  <c r="R28" i="12"/>
  <c r="S28" i="12" s="1"/>
  <c r="S28" i="11"/>
  <c r="R28" i="13"/>
  <c r="S28" i="13" s="1"/>
  <c r="R11" i="12"/>
  <c r="S11" i="11"/>
  <c r="R11" i="13"/>
  <c r="S11" i="13" s="1"/>
  <c r="S18" i="11"/>
  <c r="R18" i="12"/>
  <c r="R18" i="13"/>
  <c r="S18" i="13" s="1"/>
  <c r="R34" i="13"/>
  <c r="S34" i="13" s="1"/>
  <c r="R33" i="12"/>
  <c r="M13" i="11"/>
  <c r="M6" i="11"/>
  <c r="M5" i="11"/>
  <c r="M18" i="11"/>
  <c r="M12" i="11"/>
  <c r="M11" i="11"/>
  <c r="M10" i="11"/>
  <c r="M17" i="11"/>
  <c r="M34" i="11"/>
  <c r="M23" i="11"/>
  <c r="M28" i="11"/>
  <c r="M29" i="11"/>
  <c r="M14" i="11"/>
  <c r="M43" i="11"/>
  <c r="M15" i="11"/>
  <c r="M44" i="11"/>
  <c r="M22" i="11"/>
  <c r="M38" i="11"/>
  <c r="M27" i="11"/>
  <c r="M16" i="11"/>
  <c r="M33" i="11"/>
  <c r="M31" i="11"/>
  <c r="M32" i="11"/>
  <c r="M26" i="11"/>
  <c r="M42" i="11"/>
  <c r="M20" i="11"/>
  <c r="M21" i="11"/>
  <c r="M37" i="11"/>
  <c r="M35" i="11"/>
  <c r="M36" i="11"/>
  <c r="M30" i="11"/>
  <c r="M41" i="11"/>
  <c r="M39" i="11"/>
  <c r="M40" i="11"/>
  <c r="M24" i="11"/>
  <c r="M19" i="11"/>
  <c r="M25" i="11"/>
  <c r="W22" i="11"/>
  <c r="U22" i="12"/>
  <c r="U22" i="13"/>
  <c r="U36" i="12"/>
  <c r="U36" i="13"/>
  <c r="W20" i="11"/>
  <c r="U20" i="12"/>
  <c r="U20" i="13"/>
  <c r="W40" i="11"/>
  <c r="U40" i="12"/>
  <c r="U40" i="13"/>
  <c r="P8" i="12"/>
  <c r="P8" i="13"/>
  <c r="W31" i="11"/>
  <c r="U31" i="12"/>
  <c r="U31" i="13"/>
  <c r="W10" i="11"/>
  <c r="U10" i="12"/>
  <c r="U10" i="13"/>
  <c r="R50" i="11"/>
  <c r="R9" i="12"/>
  <c r="R7" i="12"/>
  <c r="U23" i="12"/>
  <c r="U23" i="13"/>
  <c r="U42" i="12"/>
  <c r="U42" i="13"/>
  <c r="T7" i="12"/>
  <c r="W7" i="11"/>
  <c r="T7" i="13"/>
  <c r="R14" i="12"/>
  <c r="S14" i="11"/>
  <c r="R14" i="13"/>
  <c r="S14" i="13" s="1"/>
  <c r="M8" i="12"/>
  <c r="M8" i="13"/>
  <c r="T25" i="12"/>
  <c r="T25" i="13"/>
  <c r="T14" i="12"/>
  <c r="T14" i="13"/>
  <c r="T37" i="12"/>
  <c r="T37" i="13"/>
  <c r="T27" i="12"/>
  <c r="T27" i="13"/>
  <c r="T16" i="12"/>
  <c r="T16" i="13"/>
  <c r="T5" i="12"/>
  <c r="W5" i="11"/>
  <c r="T5" i="13"/>
  <c r="T46" i="11"/>
  <c r="T11" i="12"/>
  <c r="T11" i="13"/>
  <c r="V8" i="12"/>
  <c r="V8" i="13"/>
  <c r="AA8" i="11"/>
  <c r="Z8" i="12"/>
  <c r="Z8" i="13"/>
  <c r="AA8" i="13" s="1"/>
  <c r="R29" i="12"/>
  <c r="S29" i="11"/>
  <c r="R29" i="13"/>
  <c r="S29" i="13" s="1"/>
  <c r="R35" i="12"/>
  <c r="S35" i="11"/>
  <c r="R35" i="13"/>
  <c r="S35" i="13" s="1"/>
  <c r="R17" i="12"/>
  <c r="S17" i="11"/>
  <c r="R17" i="13"/>
  <c r="S17" i="13" s="1"/>
  <c r="S38" i="11"/>
  <c r="R38" i="12"/>
  <c r="R38" i="13"/>
  <c r="S38" i="13" s="1"/>
  <c r="R27" i="12"/>
  <c r="S27" i="11"/>
  <c r="R27" i="13"/>
  <c r="S27" i="13" s="1"/>
  <c r="S20" i="11"/>
  <c r="R20" i="12"/>
  <c r="R20" i="13"/>
  <c r="S20" i="13" s="1"/>
  <c r="R6" i="12"/>
  <c r="S6" i="11"/>
  <c r="R6" i="13"/>
  <c r="S6" i="13" s="1"/>
  <c r="W17" i="11"/>
  <c r="R34" i="12"/>
  <c r="N13" i="11"/>
  <c r="N12" i="11"/>
  <c r="N18" i="11"/>
  <c r="N5" i="11"/>
  <c r="N11" i="11"/>
  <c r="N10" i="11"/>
  <c r="N6" i="11"/>
  <c r="N20" i="11"/>
  <c r="N36" i="11"/>
  <c r="N14" i="11"/>
  <c r="N31" i="11"/>
  <c r="N33" i="11"/>
  <c r="N34" i="11"/>
  <c r="N24" i="11"/>
  <c r="N40" i="11"/>
  <c r="N17" i="11"/>
  <c r="N19" i="11"/>
  <c r="N35" i="11"/>
  <c r="N21" i="11"/>
  <c r="N37" i="11"/>
  <c r="N22" i="11"/>
  <c r="N38" i="11"/>
  <c r="N28" i="11"/>
  <c r="N44" i="11"/>
  <c r="N16" i="11"/>
  <c r="N23" i="11"/>
  <c r="N39" i="11"/>
  <c r="N25" i="11"/>
  <c r="N41" i="11"/>
  <c r="N26" i="11"/>
  <c r="N42" i="11"/>
  <c r="N15" i="11"/>
  <c r="N27" i="11"/>
  <c r="N29" i="11"/>
  <c r="N30" i="11"/>
  <c r="N32" i="11"/>
  <c r="N43" i="11"/>
  <c r="Z18" i="11"/>
  <c r="Z12" i="11"/>
  <c r="Z11" i="11"/>
  <c r="Z10" i="11"/>
  <c r="Z6" i="11"/>
  <c r="Z15" i="11"/>
  <c r="Z13" i="11"/>
  <c r="Z5" i="11"/>
  <c r="Z14" i="11"/>
  <c r="Z36" i="11"/>
  <c r="Z21" i="11"/>
  <c r="Z37" i="11"/>
  <c r="Z17" i="11"/>
  <c r="Z38" i="11"/>
  <c r="Z31" i="11"/>
  <c r="Z28" i="11"/>
  <c r="Z35" i="11"/>
  <c r="Z25" i="11"/>
  <c r="Z41" i="11"/>
  <c r="Z22" i="11"/>
  <c r="Z42" i="11"/>
  <c r="Z19" i="11"/>
  <c r="Z39" i="11"/>
  <c r="Z32" i="11"/>
  <c r="Z34" i="11"/>
  <c r="Z29" i="11"/>
  <c r="Z26" i="11"/>
  <c r="Z23" i="11"/>
  <c r="Z43" i="11"/>
  <c r="Z20" i="11"/>
  <c r="Z40" i="11"/>
  <c r="Z33" i="11"/>
  <c r="Z30" i="11"/>
  <c r="Z27" i="11"/>
  <c r="Z24" i="11"/>
  <c r="Z44" i="11"/>
  <c r="Z16" i="11"/>
  <c r="W25" i="11"/>
  <c r="U25" i="12"/>
  <c r="U25" i="13"/>
  <c r="R8" i="12"/>
  <c r="U29" i="12"/>
  <c r="U29" i="13"/>
  <c r="U8" i="12"/>
  <c r="U8" i="13"/>
  <c r="P9" i="12"/>
  <c r="P9" i="13"/>
  <c r="W32" i="11"/>
  <c r="U32" i="12"/>
  <c r="U32" i="13"/>
  <c r="U11" i="12"/>
  <c r="U11" i="13"/>
  <c r="W24" i="11"/>
  <c r="U24" i="12"/>
  <c r="U24" i="13"/>
  <c r="W43" i="11"/>
  <c r="U43" i="12"/>
  <c r="U43" i="13"/>
  <c r="W9" i="11"/>
  <c r="T9" i="12"/>
  <c r="T9" i="13"/>
  <c r="W9" i="13" s="1"/>
  <c r="T42" i="12"/>
  <c r="T42" i="13"/>
  <c r="T40" i="12"/>
  <c r="T40" i="13"/>
  <c r="T36" i="12"/>
  <c r="T36" i="13"/>
  <c r="T21" i="12"/>
  <c r="T21" i="13"/>
  <c r="T15" i="12"/>
  <c r="T15" i="13"/>
  <c r="T28" i="12"/>
  <c r="T28" i="13"/>
  <c r="T34" i="12"/>
  <c r="T34" i="13"/>
  <c r="T12" i="12"/>
  <c r="T12" i="13"/>
  <c r="T44" i="12"/>
  <c r="T44" i="13"/>
  <c r="O7" i="12"/>
  <c r="O7" i="13"/>
  <c r="N7" i="12"/>
  <c r="N7" i="13"/>
  <c r="AA7" i="11"/>
  <c r="Z7" i="12"/>
  <c r="Z7" i="13"/>
  <c r="AA7" i="13" s="1"/>
  <c r="S19" i="11"/>
  <c r="R19" i="12"/>
  <c r="R19" i="13"/>
  <c r="S19" i="13" s="1"/>
  <c r="R42" i="12"/>
  <c r="S42" i="11"/>
  <c r="R42" i="13"/>
  <c r="S42" i="13" s="1"/>
  <c r="R44" i="12"/>
  <c r="S44" i="11"/>
  <c r="R44" i="13"/>
  <c r="S44" i="13" s="1"/>
  <c r="R37" i="12"/>
  <c r="S37" i="11"/>
  <c r="R37" i="13"/>
  <c r="S37" i="13" s="1"/>
  <c r="R30" i="12"/>
  <c r="S30" i="11"/>
  <c r="R30" i="13"/>
  <c r="S30" i="13" s="1"/>
  <c r="R24" i="12"/>
  <c r="S24" i="11"/>
  <c r="R24" i="13"/>
  <c r="S24" i="13" s="1"/>
  <c r="R12" i="12"/>
  <c r="S12" i="11"/>
  <c r="R12" i="13"/>
  <c r="S12" i="13" s="1"/>
  <c r="R16" i="12"/>
  <c r="S16" i="11"/>
  <c r="R16" i="13"/>
  <c r="S16" i="13" s="1"/>
  <c r="T29" i="12"/>
  <c r="T29" i="13"/>
  <c r="S48" i="13"/>
  <c r="S48" i="12"/>
  <c r="S48" i="10"/>
  <c r="S48" i="11"/>
  <c r="R33" i="13"/>
  <c r="S33" i="13" s="1"/>
  <c r="S49" i="13"/>
  <c r="S49" i="12"/>
  <c r="S49" i="11"/>
  <c r="S49" i="10"/>
  <c r="R26" i="13"/>
  <c r="N59" i="6"/>
  <c r="D35" i="5"/>
  <c r="N8" i="27" l="1"/>
  <c r="N10" i="27"/>
  <c r="N6" i="27"/>
  <c r="B8" i="27"/>
  <c r="B10" i="27"/>
  <c r="B6" i="27"/>
  <c r="L8" i="27"/>
  <c r="L10" i="27"/>
  <c r="L6" i="27"/>
  <c r="E8" i="27"/>
  <c r="E10" i="27"/>
  <c r="E6" i="27"/>
  <c r="M8" i="27"/>
  <c r="M10" i="27"/>
  <c r="M6" i="27"/>
  <c r="T8" i="27"/>
  <c r="T10" i="27"/>
  <c r="T6" i="27"/>
  <c r="W40" i="7"/>
  <c r="W40" i="9" s="1"/>
  <c r="W19" i="7"/>
  <c r="W19" i="9" s="1"/>
  <c r="W44" i="7"/>
  <c r="W44" i="9" s="1"/>
  <c r="W28" i="7"/>
  <c r="W28" i="9" s="1"/>
  <c r="W11" i="7"/>
  <c r="W11" i="9" s="1"/>
  <c r="W39" i="7"/>
  <c r="W39" i="9" s="1"/>
  <c r="W26" i="7"/>
  <c r="W26" i="9" s="1"/>
  <c r="W12" i="7"/>
  <c r="W12" i="9" s="1"/>
  <c r="W16" i="7"/>
  <c r="W16" i="9" s="1"/>
  <c r="W36" i="7"/>
  <c r="W36" i="9" s="1"/>
  <c r="W24" i="7"/>
  <c r="W24" i="9" s="1"/>
  <c r="W42" i="7"/>
  <c r="W42" i="9" s="1"/>
  <c r="W14" i="7"/>
  <c r="W14" i="9" s="1"/>
  <c r="W35" i="7"/>
  <c r="W35" i="9" s="1"/>
  <c r="W9" i="7"/>
  <c r="W9" i="9" s="1"/>
  <c r="W21" i="7"/>
  <c r="W21" i="9" s="1"/>
  <c r="W54" i="7"/>
  <c r="W54" i="9" s="1"/>
  <c r="W25" i="7"/>
  <c r="W25" i="9" s="1"/>
  <c r="W33" i="7"/>
  <c r="W33" i="9" s="1"/>
  <c r="W47" i="7"/>
  <c r="W47" i="9" s="1"/>
  <c r="W31" i="7"/>
  <c r="W31" i="9" s="1"/>
  <c r="W52" i="7"/>
  <c r="W52" i="9" s="1"/>
  <c r="W38" i="7"/>
  <c r="W38" i="9" s="1"/>
  <c r="W20" i="7"/>
  <c r="W20" i="9" s="1"/>
  <c r="W48" i="7"/>
  <c r="W48" i="9" s="1"/>
  <c r="W32" i="7"/>
  <c r="W32" i="9" s="1"/>
  <c r="W18" i="7"/>
  <c r="W18" i="9" s="1"/>
  <c r="W6" i="7"/>
  <c r="W6" i="9" s="1"/>
  <c r="W5" i="7"/>
  <c r="W30" i="7"/>
  <c r="W30" i="9" s="1"/>
  <c r="W49" i="7"/>
  <c r="W49" i="9" s="1"/>
  <c r="W7" i="7"/>
  <c r="W7" i="9" s="1"/>
  <c r="W43" i="7"/>
  <c r="W43" i="9" s="1"/>
  <c r="W22" i="7"/>
  <c r="W22" i="9" s="1"/>
  <c r="W50" i="7"/>
  <c r="W50" i="9" s="1"/>
  <c r="W34" i="7"/>
  <c r="W34" i="9" s="1"/>
  <c r="W17" i="7"/>
  <c r="W17" i="9" s="1"/>
  <c r="W45" i="7"/>
  <c r="W45" i="9" s="1"/>
  <c r="W29" i="7"/>
  <c r="W29" i="9" s="1"/>
  <c r="W15" i="7"/>
  <c r="W15" i="9" s="1"/>
  <c r="W53" i="7"/>
  <c r="W53" i="9" s="1"/>
  <c r="W51" i="7"/>
  <c r="W51" i="9" s="1"/>
  <c r="W27" i="7"/>
  <c r="W27" i="9" s="1"/>
  <c r="W46" i="7"/>
  <c r="W46" i="9" s="1"/>
  <c r="W37" i="7"/>
  <c r="W37" i="9" s="1"/>
  <c r="W41" i="7"/>
  <c r="W41" i="9" s="1"/>
  <c r="W8" i="7"/>
  <c r="W8" i="9" s="1"/>
  <c r="W23" i="7"/>
  <c r="W23" i="9" s="1"/>
  <c r="W13" i="7"/>
  <c r="W13" i="9" s="1"/>
  <c r="W10" i="7"/>
  <c r="W10" i="9" s="1"/>
  <c r="AC37" i="7"/>
  <c r="AC32" i="7"/>
  <c r="AC34" i="7"/>
  <c r="AC15" i="7"/>
  <c r="AC5" i="7"/>
  <c r="AC42" i="7"/>
  <c r="AC16" i="7"/>
  <c r="AC40" i="7"/>
  <c r="AC44" i="7"/>
  <c r="AC45" i="7"/>
  <c r="AC12" i="7"/>
  <c r="AC33" i="7"/>
  <c r="AC23" i="7"/>
  <c r="AC9" i="7"/>
  <c r="AC13" i="7"/>
  <c r="AC19" i="7"/>
  <c r="AC14" i="7"/>
  <c r="AC22" i="7"/>
  <c r="AC38" i="7"/>
  <c r="AC41" i="7"/>
  <c r="AC27" i="7"/>
  <c r="AC30" i="7"/>
  <c r="AC50" i="7"/>
  <c r="AC49" i="7"/>
  <c r="AC28" i="7"/>
  <c r="AC18" i="7"/>
  <c r="AC6" i="7"/>
  <c r="AC7" i="7"/>
  <c r="AC8" i="7"/>
  <c r="AC11" i="7"/>
  <c r="AC53" i="7"/>
  <c r="AC54" i="7"/>
  <c r="AC25" i="7"/>
  <c r="AC48" i="7"/>
  <c r="AC46" i="7"/>
  <c r="AC52" i="7"/>
  <c r="AC20" i="7"/>
  <c r="AC21" i="7"/>
  <c r="AC47" i="7"/>
  <c r="AC10" i="7"/>
  <c r="AC36" i="7"/>
  <c r="AC35" i="7"/>
  <c r="AC24" i="7"/>
  <c r="AC51" i="7"/>
  <c r="AC26" i="7"/>
  <c r="AC29" i="7"/>
  <c r="AC17" i="7"/>
  <c r="AC43" i="7"/>
  <c r="AC31" i="7"/>
  <c r="AC39" i="7"/>
  <c r="AH50" i="7"/>
  <c r="AH50" i="9" s="1"/>
  <c r="AH40" i="7"/>
  <c r="AH40" i="9" s="1"/>
  <c r="AH41" i="7"/>
  <c r="AH20" i="7"/>
  <c r="AH20" i="9" s="1"/>
  <c r="AH46" i="7"/>
  <c r="AH46" i="9" s="1"/>
  <c r="AH45" i="7"/>
  <c r="AH45" i="9" s="1"/>
  <c r="AH32" i="7"/>
  <c r="AH32" i="9" s="1"/>
  <c r="AH24" i="7"/>
  <c r="AH24" i="9" s="1"/>
  <c r="AH15" i="7"/>
  <c r="AH42" i="7"/>
  <c r="AH39" i="7"/>
  <c r="AH39" i="9" s="1"/>
  <c r="AH53" i="7"/>
  <c r="AH53" i="9" s="1"/>
  <c r="AH8" i="7"/>
  <c r="AH8" i="9" s="1"/>
  <c r="AH9" i="7"/>
  <c r="AH9" i="9" s="1"/>
  <c r="AH52" i="7"/>
  <c r="AH43" i="7"/>
  <c r="AH43" i="9" s="1"/>
  <c r="AH19" i="7"/>
  <c r="AH19" i="9" s="1"/>
  <c r="AH17" i="7"/>
  <c r="AH17" i="9" s="1"/>
  <c r="AH5" i="7"/>
  <c r="AH12" i="7"/>
  <c r="AH12" i="9" s="1"/>
  <c r="AH30" i="7"/>
  <c r="AH30" i="9" s="1"/>
  <c r="AH18" i="7"/>
  <c r="AH18" i="9" s="1"/>
  <c r="AH36" i="7"/>
  <c r="AH36" i="9" s="1"/>
  <c r="AH44" i="7"/>
  <c r="AH44" i="9" s="1"/>
  <c r="AH34" i="7"/>
  <c r="AH34" i="9" s="1"/>
  <c r="AH48" i="7"/>
  <c r="AH48" i="9" s="1"/>
  <c r="AH38" i="7"/>
  <c r="AH38" i="9" s="1"/>
  <c r="AH37" i="7"/>
  <c r="AH37" i="9" s="1"/>
  <c r="AH16" i="7"/>
  <c r="AH16" i="9" s="1"/>
  <c r="AH14" i="7"/>
  <c r="AH14" i="9" s="1"/>
  <c r="AH23" i="7"/>
  <c r="AH23" i="9" s="1"/>
  <c r="AH6" i="7"/>
  <c r="AH6" i="9" s="1"/>
  <c r="AH21" i="7"/>
  <c r="AH21" i="9" s="1"/>
  <c r="AH7" i="7"/>
  <c r="AH7" i="9" s="1"/>
  <c r="AH25" i="7"/>
  <c r="AH25" i="9" s="1"/>
  <c r="AH29" i="7"/>
  <c r="AH29" i="9" s="1"/>
  <c r="AH31" i="7"/>
  <c r="AH31" i="9" s="1"/>
  <c r="AH33" i="7"/>
  <c r="AH33" i="9" s="1"/>
  <c r="AH35" i="7"/>
  <c r="AH35" i="9" s="1"/>
  <c r="AH28" i="7"/>
  <c r="AH28" i="9" s="1"/>
  <c r="AH11" i="7"/>
  <c r="AH11" i="9" s="1"/>
  <c r="AH13" i="7"/>
  <c r="AH13" i="9" s="1"/>
  <c r="AH54" i="7"/>
  <c r="AH54" i="9" s="1"/>
  <c r="AH26" i="7"/>
  <c r="AH26" i="9" s="1"/>
  <c r="AH51" i="7"/>
  <c r="AH51" i="9" s="1"/>
  <c r="AH49" i="7"/>
  <c r="AH49" i="9" s="1"/>
  <c r="AH22" i="7"/>
  <c r="AH10" i="7"/>
  <c r="AH10" i="9" s="1"/>
  <c r="AH47" i="7"/>
  <c r="AH27" i="7"/>
  <c r="O8" i="27"/>
  <c r="O10" i="27"/>
  <c r="O6" i="27"/>
  <c r="W8" i="27"/>
  <c r="W6" i="27"/>
  <c r="W10" i="27"/>
  <c r="K8" i="27"/>
  <c r="K10" i="27"/>
  <c r="K6" i="27"/>
  <c r="I8" i="27"/>
  <c r="I10" i="27"/>
  <c r="I6" i="27"/>
  <c r="Z45" i="8"/>
  <c r="Y45" i="25" s="1"/>
  <c r="Y100" i="25" s="1"/>
  <c r="Z29" i="8"/>
  <c r="Y29" i="25" s="1"/>
  <c r="Y84" i="25" s="1"/>
  <c r="Z44" i="8"/>
  <c r="Y44" i="25" s="1"/>
  <c r="Y99" i="25" s="1"/>
  <c r="Z28" i="8"/>
  <c r="Y28" i="25" s="1"/>
  <c r="Y83" i="25" s="1"/>
  <c r="Z26" i="8"/>
  <c r="Y26" i="25" s="1"/>
  <c r="Y81" i="25" s="1"/>
  <c r="Z12" i="8"/>
  <c r="Y12" i="25" s="1"/>
  <c r="Y67" i="25" s="1"/>
  <c r="Z39" i="8"/>
  <c r="Y39" i="25" s="1"/>
  <c r="Y94" i="25" s="1"/>
  <c r="Z7" i="8"/>
  <c r="Y7" i="25" s="1"/>
  <c r="Y62" i="25" s="1"/>
  <c r="Z23" i="8"/>
  <c r="Y23" i="25" s="1"/>
  <c r="Y78" i="25" s="1"/>
  <c r="Z11" i="8"/>
  <c r="Y11" i="25" s="1"/>
  <c r="Y66" i="25" s="1"/>
  <c r="Z43" i="8"/>
  <c r="Y43" i="25" s="1"/>
  <c r="Y98" i="25" s="1"/>
  <c r="Z18" i="8"/>
  <c r="Y18" i="25" s="1"/>
  <c r="Y73" i="25" s="1"/>
  <c r="Z41" i="8"/>
  <c r="Y41" i="25" s="1"/>
  <c r="Y96" i="25" s="1"/>
  <c r="Z50" i="8"/>
  <c r="Y50" i="25" s="1"/>
  <c r="Y105" i="25" s="1"/>
  <c r="Z10" i="8"/>
  <c r="Y10" i="25" s="1"/>
  <c r="Y65" i="25" s="1"/>
  <c r="Z19" i="8"/>
  <c r="Y19" i="25" s="1"/>
  <c r="Y74" i="25" s="1"/>
  <c r="Z35" i="8"/>
  <c r="Y35" i="25" s="1"/>
  <c r="Y90" i="25" s="1"/>
  <c r="Z25" i="8"/>
  <c r="Y25" i="25" s="1"/>
  <c r="Y80" i="25" s="1"/>
  <c r="Z31" i="8"/>
  <c r="Y31" i="25" s="1"/>
  <c r="Y86" i="25" s="1"/>
  <c r="Z15" i="8"/>
  <c r="Y15" i="25" s="1"/>
  <c r="Y70" i="25" s="1"/>
  <c r="Z53" i="8"/>
  <c r="Y53" i="25" s="1"/>
  <c r="Y108" i="25" s="1"/>
  <c r="Z37" i="8"/>
  <c r="Y37" i="25" s="1"/>
  <c r="Y92" i="25" s="1"/>
  <c r="Z52" i="8"/>
  <c r="Y52" i="25" s="1"/>
  <c r="Y107" i="25" s="1"/>
  <c r="Z36" i="8"/>
  <c r="Y36" i="25" s="1"/>
  <c r="Y91" i="25" s="1"/>
  <c r="Z42" i="8"/>
  <c r="Y42" i="25" s="1"/>
  <c r="Y97" i="25" s="1"/>
  <c r="Z21" i="8"/>
  <c r="Y21" i="25" s="1"/>
  <c r="Y76" i="25" s="1"/>
  <c r="Z5" i="8"/>
  <c r="Z20" i="8"/>
  <c r="Y20" i="25" s="1"/>
  <c r="Y75" i="25" s="1"/>
  <c r="Z38" i="8"/>
  <c r="Y38" i="25" s="1"/>
  <c r="Y93" i="25" s="1"/>
  <c r="Z16" i="8"/>
  <c r="Y16" i="25" s="1"/>
  <c r="Y71" i="25" s="1"/>
  <c r="Z6" i="8"/>
  <c r="Y6" i="25" s="1"/>
  <c r="Y61" i="25" s="1"/>
  <c r="Z27" i="8"/>
  <c r="Y27" i="25" s="1"/>
  <c r="Y82" i="25" s="1"/>
  <c r="Z8" i="8"/>
  <c r="Y8" i="25" s="1"/>
  <c r="Y63" i="25" s="1"/>
  <c r="Z49" i="8"/>
  <c r="Y49" i="25" s="1"/>
  <c r="Y104" i="25" s="1"/>
  <c r="Z33" i="8"/>
  <c r="Y33" i="25" s="1"/>
  <c r="Y88" i="25" s="1"/>
  <c r="Z48" i="8"/>
  <c r="Y48" i="25" s="1"/>
  <c r="Y103" i="25" s="1"/>
  <c r="Z32" i="8"/>
  <c r="Y32" i="25" s="1"/>
  <c r="Y87" i="25" s="1"/>
  <c r="Z34" i="8"/>
  <c r="Y34" i="25" s="1"/>
  <c r="Y89" i="25" s="1"/>
  <c r="Z17" i="8"/>
  <c r="Y17" i="25" s="1"/>
  <c r="Y72" i="25" s="1"/>
  <c r="Z47" i="8"/>
  <c r="Y47" i="25" s="1"/>
  <c r="Y102" i="25" s="1"/>
  <c r="Z14" i="8"/>
  <c r="Y14" i="25" s="1"/>
  <c r="Y69" i="25" s="1"/>
  <c r="Z30" i="8"/>
  <c r="Y30" i="25" s="1"/>
  <c r="Y85" i="25" s="1"/>
  <c r="Z13" i="8"/>
  <c r="Y13" i="25" s="1"/>
  <c r="Y68" i="25" s="1"/>
  <c r="Z51" i="8"/>
  <c r="Y51" i="25" s="1"/>
  <c r="Y106" i="25" s="1"/>
  <c r="Z22" i="8"/>
  <c r="Y22" i="25" s="1"/>
  <c r="Y77" i="25" s="1"/>
  <c r="Z54" i="8"/>
  <c r="Y54" i="25" s="1"/>
  <c r="Y109" i="25" s="1"/>
  <c r="Z40" i="8"/>
  <c r="Y40" i="25" s="1"/>
  <c r="Y95" i="25" s="1"/>
  <c r="Z24" i="8"/>
  <c r="Y24" i="25" s="1"/>
  <c r="Y79" i="25" s="1"/>
  <c r="Z46" i="8"/>
  <c r="Y46" i="25" s="1"/>
  <c r="Y101" i="25" s="1"/>
  <c r="Z9" i="8"/>
  <c r="Y9" i="25" s="1"/>
  <c r="Y64" i="25" s="1"/>
  <c r="AI33" i="7"/>
  <c r="AI33" i="9" s="1"/>
  <c r="AI35" i="7"/>
  <c r="AI35" i="9" s="1"/>
  <c r="AI42" i="7"/>
  <c r="AI42" i="9" s="1"/>
  <c r="AI41" i="7"/>
  <c r="AI41" i="9" s="1"/>
  <c r="AI14" i="7"/>
  <c r="AI14" i="9" s="1"/>
  <c r="AI18" i="7"/>
  <c r="AI18" i="9" s="1"/>
  <c r="AI43" i="7"/>
  <c r="AI43" i="9" s="1"/>
  <c r="AI12" i="7"/>
  <c r="AI12" i="9" s="1"/>
  <c r="AI27" i="7"/>
  <c r="AI50" i="7"/>
  <c r="AI37" i="7"/>
  <c r="AI37" i="9" s="1"/>
  <c r="AI23" i="7"/>
  <c r="AI23" i="9" s="1"/>
  <c r="AI9" i="7"/>
  <c r="AI9" i="9" s="1"/>
  <c r="AI52" i="7"/>
  <c r="AI52" i="9" s="1"/>
  <c r="AI30" i="7"/>
  <c r="AI30" i="9" s="1"/>
  <c r="AI46" i="7"/>
  <c r="AI46" i="9" s="1"/>
  <c r="AI5" i="7"/>
  <c r="AI45" i="7"/>
  <c r="AI45" i="9" s="1"/>
  <c r="AI39" i="7"/>
  <c r="AI39" i="9" s="1"/>
  <c r="AI47" i="7"/>
  <c r="AI47" i="9" s="1"/>
  <c r="AI31" i="7"/>
  <c r="AI31" i="9" s="1"/>
  <c r="AI44" i="7"/>
  <c r="AI44" i="9" s="1"/>
  <c r="AI22" i="7"/>
  <c r="AI22" i="9" s="1"/>
  <c r="AI6" i="7"/>
  <c r="AI6" i="9" s="1"/>
  <c r="AI8" i="7"/>
  <c r="AI8" i="9" s="1"/>
  <c r="AI24" i="7"/>
  <c r="AI24" i="9" s="1"/>
  <c r="AI25" i="7"/>
  <c r="AI25" i="9" s="1"/>
  <c r="AI32" i="7"/>
  <c r="AI32" i="9" s="1"/>
  <c r="AI48" i="7"/>
  <c r="AI48" i="9" s="1"/>
  <c r="AI54" i="7"/>
  <c r="AI54" i="9" s="1"/>
  <c r="AI17" i="7"/>
  <c r="AI17" i="9" s="1"/>
  <c r="AI20" i="7"/>
  <c r="AI20" i="9" s="1"/>
  <c r="AI21" i="7"/>
  <c r="AI21" i="9" s="1"/>
  <c r="AI16" i="7"/>
  <c r="AI16" i="9" s="1"/>
  <c r="AI7" i="7"/>
  <c r="AI7" i="9" s="1"/>
  <c r="AI40" i="7"/>
  <c r="AI40" i="9" s="1"/>
  <c r="AI49" i="7"/>
  <c r="AI49" i="9" s="1"/>
  <c r="AI38" i="7"/>
  <c r="AI38" i="9" s="1"/>
  <c r="AI15" i="7"/>
  <c r="AI15" i="9" s="1"/>
  <c r="AI51" i="7"/>
  <c r="AI10" i="7"/>
  <c r="AI53" i="7"/>
  <c r="AI53" i="9" s="1"/>
  <c r="AI26" i="7"/>
  <c r="AI26" i="9" s="1"/>
  <c r="AI29" i="7"/>
  <c r="AI29" i="9" s="1"/>
  <c r="AI28" i="7"/>
  <c r="AI28" i="9" s="1"/>
  <c r="AI11" i="7"/>
  <c r="AI11" i="9" s="1"/>
  <c r="AI13" i="7"/>
  <c r="AI13" i="9" s="1"/>
  <c r="AI19" i="7"/>
  <c r="AI19" i="9" s="1"/>
  <c r="AI36" i="7"/>
  <c r="AI36" i="9" s="1"/>
  <c r="AI34" i="7"/>
  <c r="AI34" i="9" s="1"/>
  <c r="U48" i="7"/>
  <c r="U48" i="9" s="1"/>
  <c r="U32" i="7"/>
  <c r="U32" i="9" s="1"/>
  <c r="U18" i="7"/>
  <c r="U18" i="9" s="1"/>
  <c r="U51" i="7"/>
  <c r="U51" i="9" s="1"/>
  <c r="U36" i="7"/>
  <c r="U36" i="9" s="1"/>
  <c r="U24" i="7"/>
  <c r="U24" i="9" s="1"/>
  <c r="U7" i="7"/>
  <c r="U7" i="9" s="1"/>
  <c r="U37" i="7"/>
  <c r="U37" i="9" s="1"/>
  <c r="U14" i="7"/>
  <c r="U14" i="9" s="1"/>
  <c r="U44" i="7"/>
  <c r="U44" i="9" s="1"/>
  <c r="U8" i="7"/>
  <c r="U8" i="9" s="1"/>
  <c r="U38" i="7"/>
  <c r="U38" i="9" s="1"/>
  <c r="U11" i="7"/>
  <c r="U11" i="9" s="1"/>
  <c r="U45" i="7"/>
  <c r="U45" i="9" s="1"/>
  <c r="U49" i="7"/>
  <c r="U21" i="7"/>
  <c r="U10" i="7"/>
  <c r="U10" i="9" s="1"/>
  <c r="U34" i="7"/>
  <c r="U34" i="9" s="1"/>
  <c r="U15" i="7"/>
  <c r="U15" i="9" s="1"/>
  <c r="U47" i="7"/>
  <c r="U47" i="9" s="1"/>
  <c r="U17" i="7"/>
  <c r="U39" i="7"/>
  <c r="U39" i="9" s="1"/>
  <c r="U26" i="7"/>
  <c r="U26" i="9" s="1"/>
  <c r="U12" i="7"/>
  <c r="U12" i="9" s="1"/>
  <c r="U46" i="7"/>
  <c r="U46" i="9" s="1"/>
  <c r="U30" i="7"/>
  <c r="U30" i="9" s="1"/>
  <c r="U16" i="7"/>
  <c r="U16" i="9" s="1"/>
  <c r="U43" i="7"/>
  <c r="U43" i="9" s="1"/>
  <c r="U22" i="7"/>
  <c r="U22" i="9" s="1"/>
  <c r="U5" i="7"/>
  <c r="U41" i="7"/>
  <c r="U41" i="9" s="1"/>
  <c r="U6" i="7"/>
  <c r="U6" i="9" s="1"/>
  <c r="U28" i="7"/>
  <c r="U28" i="9" s="1"/>
  <c r="U54" i="7"/>
  <c r="U54" i="9" s="1"/>
  <c r="U35" i="7"/>
  <c r="U35" i="9" s="1"/>
  <c r="U23" i="7"/>
  <c r="U23" i="9" s="1"/>
  <c r="U53" i="7"/>
  <c r="U53" i="9" s="1"/>
  <c r="U42" i="7"/>
  <c r="U42" i="9" s="1"/>
  <c r="U27" i="7"/>
  <c r="U27" i="9" s="1"/>
  <c r="U13" i="7"/>
  <c r="U13" i="9" s="1"/>
  <c r="U40" i="7"/>
  <c r="U40" i="9" s="1"/>
  <c r="U19" i="7"/>
  <c r="U19" i="9" s="1"/>
  <c r="U50" i="7"/>
  <c r="U50" i="9" s="1"/>
  <c r="U9" i="7"/>
  <c r="U9" i="9" s="1"/>
  <c r="U52" i="7"/>
  <c r="U52" i="9" s="1"/>
  <c r="U25" i="7"/>
  <c r="U25" i="9" s="1"/>
  <c r="U29" i="7"/>
  <c r="U33" i="7"/>
  <c r="U33" i="9" s="1"/>
  <c r="U31" i="7"/>
  <c r="U20" i="7"/>
  <c r="U20" i="9" s="1"/>
  <c r="Q23" i="7"/>
  <c r="Q23" i="9" s="1"/>
  <c r="Q16" i="7"/>
  <c r="Q11" i="7"/>
  <c r="Q12" i="7"/>
  <c r="Q47" i="7"/>
  <c r="Q34" i="7"/>
  <c r="Q38" i="7"/>
  <c r="Q38" i="9" s="1"/>
  <c r="Q28" i="7"/>
  <c r="Q28" i="9" s="1"/>
  <c r="Q5" i="7"/>
  <c r="Q6" i="7"/>
  <c r="Q6" i="9" s="1"/>
  <c r="Q46" i="7"/>
  <c r="Q46" i="9" s="1"/>
  <c r="Q50" i="7"/>
  <c r="Q50" i="9" s="1"/>
  <c r="Q13" i="7"/>
  <c r="Q13" i="9" s="1"/>
  <c r="Q7" i="7"/>
  <c r="Q7" i="9" s="1"/>
  <c r="Q39" i="7"/>
  <c r="Q39" i="9" s="1"/>
  <c r="Q54" i="7"/>
  <c r="Q54" i="9" s="1"/>
  <c r="Q27" i="7"/>
  <c r="Q27" i="9" s="1"/>
  <c r="Q31" i="7"/>
  <c r="Q31" i="9" s="1"/>
  <c r="Q25" i="7"/>
  <c r="Q25" i="9" s="1"/>
  <c r="Q32" i="7"/>
  <c r="Q32" i="9" s="1"/>
  <c r="Q9" i="7"/>
  <c r="Q9" i="9" s="1"/>
  <c r="Q45" i="7"/>
  <c r="Q45" i="9" s="1"/>
  <c r="Q14" i="7"/>
  <c r="Q14" i="9" s="1"/>
  <c r="Q40" i="7"/>
  <c r="Q40" i="9" s="1"/>
  <c r="Q51" i="7"/>
  <c r="Q51" i="9" s="1"/>
  <c r="Q21" i="7"/>
  <c r="Q21" i="9" s="1"/>
  <c r="Q53" i="7"/>
  <c r="Q53" i="9" s="1"/>
  <c r="Q33" i="7"/>
  <c r="Q48" i="7"/>
  <c r="Q24" i="7"/>
  <c r="Q24" i="9" s="1"/>
  <c r="Q19" i="7"/>
  <c r="Q19" i="9" s="1"/>
  <c r="Q17" i="7"/>
  <c r="Q17" i="9" s="1"/>
  <c r="Q29" i="7"/>
  <c r="Q29" i="9" s="1"/>
  <c r="Q18" i="7"/>
  <c r="Q18" i="9" s="1"/>
  <c r="Q35" i="7"/>
  <c r="Q35" i="9" s="1"/>
  <c r="Q42" i="7"/>
  <c r="Q42" i="9" s="1"/>
  <c r="Q41" i="7"/>
  <c r="Q41" i="9" s="1"/>
  <c r="Q15" i="7"/>
  <c r="Q15" i="9" s="1"/>
  <c r="Q49" i="7"/>
  <c r="Q49" i="9" s="1"/>
  <c r="Q10" i="7"/>
  <c r="Q26" i="7"/>
  <c r="Q36" i="7"/>
  <c r="Q22" i="7"/>
  <c r="Q20" i="7"/>
  <c r="Q52" i="7"/>
  <c r="Q30" i="7"/>
  <c r="Q30" i="9" s="1"/>
  <c r="Q8" i="7"/>
  <c r="Q8" i="9" s="1"/>
  <c r="Q37" i="7"/>
  <c r="Q37" i="9" s="1"/>
  <c r="Q44" i="7"/>
  <c r="Q44" i="9" s="1"/>
  <c r="Q43" i="7"/>
  <c r="Q43" i="9" s="1"/>
  <c r="R36" i="7"/>
  <c r="R36" i="9" s="1"/>
  <c r="R19" i="7"/>
  <c r="R19" i="9" s="1"/>
  <c r="R20" i="7"/>
  <c r="R20" i="9" s="1"/>
  <c r="R32" i="7"/>
  <c r="R32" i="9" s="1"/>
  <c r="R18" i="7"/>
  <c r="R18" i="9" s="1"/>
  <c r="R6" i="7"/>
  <c r="R6" i="9" s="1"/>
  <c r="R16" i="7"/>
  <c r="R16" i="9" s="1"/>
  <c r="R27" i="7"/>
  <c r="R27" i="9" s="1"/>
  <c r="R49" i="7"/>
  <c r="R49" i="9" s="1"/>
  <c r="R40" i="7"/>
  <c r="R40" i="9" s="1"/>
  <c r="R38" i="7"/>
  <c r="R38" i="9" s="1"/>
  <c r="R43" i="7"/>
  <c r="R43" i="9" s="1"/>
  <c r="R54" i="7"/>
  <c r="R54" i="9" s="1"/>
  <c r="R29" i="7"/>
  <c r="R29" i="9" s="1"/>
  <c r="R13" i="7"/>
  <c r="R13" i="9" s="1"/>
  <c r="R45" i="7"/>
  <c r="R45" i="9" s="1"/>
  <c r="R48" i="7"/>
  <c r="R48" i="9" s="1"/>
  <c r="R47" i="7"/>
  <c r="R47" i="9" s="1"/>
  <c r="R14" i="7"/>
  <c r="R14" i="9" s="1"/>
  <c r="R10" i="7"/>
  <c r="R10" i="9" s="1"/>
  <c r="R42" i="7"/>
  <c r="R42" i="9" s="1"/>
  <c r="R31" i="7"/>
  <c r="R31" i="9" s="1"/>
  <c r="R28" i="7"/>
  <c r="R28" i="9" s="1"/>
  <c r="R11" i="7"/>
  <c r="R11" i="9" s="1"/>
  <c r="R26" i="7"/>
  <c r="R26" i="9" s="1"/>
  <c r="R12" i="7"/>
  <c r="R12" i="9" s="1"/>
  <c r="R7" i="7"/>
  <c r="R7" i="9" s="1"/>
  <c r="R33" i="7"/>
  <c r="R33" i="9" s="1"/>
  <c r="R21" i="7"/>
  <c r="R21" i="9" s="1"/>
  <c r="R34" i="7"/>
  <c r="R34" i="9" s="1"/>
  <c r="R51" i="7"/>
  <c r="R51" i="9" s="1"/>
  <c r="R44" i="7"/>
  <c r="R44" i="9" s="1"/>
  <c r="R37" i="7"/>
  <c r="R37" i="9" s="1"/>
  <c r="R41" i="7"/>
  <c r="R41" i="9" s="1"/>
  <c r="R22" i="7"/>
  <c r="R22" i="9" s="1"/>
  <c r="R25" i="7"/>
  <c r="R25" i="9" s="1"/>
  <c r="R8" i="7"/>
  <c r="R8" i="9" s="1"/>
  <c r="R23" i="7"/>
  <c r="R23" i="9" s="1"/>
  <c r="R9" i="7"/>
  <c r="R9" i="9" s="1"/>
  <c r="R53" i="7"/>
  <c r="R53" i="9" s="1"/>
  <c r="R30" i="7"/>
  <c r="R30" i="9" s="1"/>
  <c r="R5" i="7"/>
  <c r="R35" i="7"/>
  <c r="R35" i="9" s="1"/>
  <c r="R46" i="7"/>
  <c r="R46" i="9" s="1"/>
  <c r="R50" i="7"/>
  <c r="R50" i="9" s="1"/>
  <c r="R17" i="7"/>
  <c r="R17" i="9" s="1"/>
  <c r="R15" i="7"/>
  <c r="R15" i="9" s="1"/>
  <c r="R24" i="7"/>
  <c r="R24" i="9" s="1"/>
  <c r="R39" i="7"/>
  <c r="R39" i="9" s="1"/>
  <c r="R52" i="7"/>
  <c r="R52" i="9" s="1"/>
  <c r="P42" i="7"/>
  <c r="P42" i="9" s="1"/>
  <c r="P48" i="7"/>
  <c r="P44" i="7"/>
  <c r="P44" i="9" s="1"/>
  <c r="P24" i="7"/>
  <c r="P24" i="9" s="1"/>
  <c r="P14" i="7"/>
  <c r="P14" i="9" s="1"/>
  <c r="P17" i="7"/>
  <c r="P17" i="9" s="1"/>
  <c r="P38" i="7"/>
  <c r="P38" i="9" s="1"/>
  <c r="P43" i="7"/>
  <c r="P43" i="9" s="1"/>
  <c r="P12" i="7"/>
  <c r="P12" i="9" s="1"/>
  <c r="P31" i="7"/>
  <c r="P31" i="9" s="1"/>
  <c r="P9" i="7"/>
  <c r="P9" i="9" s="1"/>
  <c r="P49" i="7"/>
  <c r="P49" i="9" s="1"/>
  <c r="P10" i="7"/>
  <c r="P10" i="9" s="1"/>
  <c r="P54" i="7"/>
  <c r="P54" i="9" s="1"/>
  <c r="P37" i="7"/>
  <c r="P37" i="9" s="1"/>
  <c r="P23" i="7"/>
  <c r="P23" i="9" s="1"/>
  <c r="P30" i="7"/>
  <c r="P30" i="9" s="1"/>
  <c r="P16" i="7"/>
  <c r="P16" i="9" s="1"/>
  <c r="P22" i="7"/>
  <c r="P22" i="9" s="1"/>
  <c r="P5" i="7"/>
  <c r="P20" i="7"/>
  <c r="P20" i="9" s="1"/>
  <c r="P8" i="7"/>
  <c r="P8" i="9" s="1"/>
  <c r="P45" i="7"/>
  <c r="P45" i="9" s="1"/>
  <c r="P35" i="7"/>
  <c r="P35" i="9" s="1"/>
  <c r="P52" i="7"/>
  <c r="P52" i="9" s="1"/>
  <c r="P33" i="7"/>
  <c r="P33" i="9" s="1"/>
  <c r="P32" i="7"/>
  <c r="P32" i="9" s="1"/>
  <c r="P18" i="7"/>
  <c r="P18" i="9" s="1"/>
  <c r="P27" i="7"/>
  <c r="P27" i="9" s="1"/>
  <c r="P13" i="7"/>
  <c r="P13" i="9" s="1"/>
  <c r="P19" i="7"/>
  <c r="P19" i="9" s="1"/>
  <c r="P28" i="7"/>
  <c r="P28" i="9" s="1"/>
  <c r="P11" i="7"/>
  <c r="P11" i="9" s="1"/>
  <c r="P34" i="7"/>
  <c r="P34" i="9" s="1"/>
  <c r="P41" i="7"/>
  <c r="P41" i="9" s="1"/>
  <c r="P51" i="7"/>
  <c r="P51" i="9" s="1"/>
  <c r="P50" i="7"/>
  <c r="P50" i="9" s="1"/>
  <c r="P53" i="7"/>
  <c r="P53" i="9" s="1"/>
  <c r="P29" i="7"/>
  <c r="P29" i="9" s="1"/>
  <c r="P15" i="7"/>
  <c r="P15" i="9" s="1"/>
  <c r="P7" i="7"/>
  <c r="P7" i="9" s="1"/>
  <c r="P25" i="7"/>
  <c r="P25" i="9" s="1"/>
  <c r="P46" i="7"/>
  <c r="P46" i="9" s="1"/>
  <c r="P36" i="7"/>
  <c r="P36" i="9" s="1"/>
  <c r="P39" i="7"/>
  <c r="P39" i="9" s="1"/>
  <c r="P26" i="7"/>
  <c r="P26" i="9" s="1"/>
  <c r="P21" i="7"/>
  <c r="P21" i="9" s="1"/>
  <c r="P6" i="7"/>
  <c r="P6" i="9" s="1"/>
  <c r="P47" i="7"/>
  <c r="P47" i="9" s="1"/>
  <c r="P40" i="7"/>
  <c r="P40" i="9" s="1"/>
  <c r="V8" i="27"/>
  <c r="V6" i="27"/>
  <c r="V10" i="27"/>
  <c r="H8" i="27"/>
  <c r="H10" i="27"/>
  <c r="H6" i="27"/>
  <c r="S8" i="27"/>
  <c r="S10" i="27"/>
  <c r="S6" i="27"/>
  <c r="G8" i="27"/>
  <c r="G6" i="27"/>
  <c r="G10" i="27"/>
  <c r="P8" i="27"/>
  <c r="P10" i="27"/>
  <c r="P6" i="27"/>
  <c r="J8" i="27"/>
  <c r="J6" i="27"/>
  <c r="J10" i="27"/>
  <c r="L30" i="7"/>
  <c r="L30" i="9" s="1"/>
  <c r="L13" i="7"/>
  <c r="L13" i="9" s="1"/>
  <c r="L5" i="7"/>
  <c r="L8" i="7"/>
  <c r="L8" i="9" s="1"/>
  <c r="L32" i="7"/>
  <c r="L32" i="9" s="1"/>
  <c r="L7" i="7"/>
  <c r="L7" i="9" s="1"/>
  <c r="L47" i="7"/>
  <c r="L47" i="9" s="1"/>
  <c r="L49" i="7"/>
  <c r="L49" i="9" s="1"/>
  <c r="L42" i="7"/>
  <c r="L42" i="9" s="1"/>
  <c r="L53" i="7"/>
  <c r="L53" i="9" s="1"/>
  <c r="L46" i="7"/>
  <c r="L46" i="9" s="1"/>
  <c r="L43" i="7"/>
  <c r="L31" i="7"/>
  <c r="L31" i="9" s="1"/>
  <c r="L23" i="7"/>
  <c r="L23" i="9" s="1"/>
  <c r="L51" i="7"/>
  <c r="L51" i="9" s="1"/>
  <c r="L27" i="7"/>
  <c r="L27" i="9" s="1"/>
  <c r="L18" i="7"/>
  <c r="L18" i="9" s="1"/>
  <c r="L29" i="7"/>
  <c r="L29" i="9" s="1"/>
  <c r="L35" i="7"/>
  <c r="L35" i="9" s="1"/>
  <c r="L40" i="7"/>
  <c r="L40" i="9" s="1"/>
  <c r="L20" i="7"/>
  <c r="L20" i="9" s="1"/>
  <c r="L24" i="7"/>
  <c r="L24" i="9" s="1"/>
  <c r="L19" i="7"/>
  <c r="L19" i="9" s="1"/>
  <c r="L17" i="7"/>
  <c r="L17" i="9" s="1"/>
  <c r="L12" i="7"/>
  <c r="L12" i="9" s="1"/>
  <c r="L26" i="7"/>
  <c r="L26" i="9" s="1"/>
  <c r="L38" i="7"/>
  <c r="L38" i="9" s="1"/>
  <c r="L52" i="7"/>
  <c r="L52" i="9" s="1"/>
  <c r="L45" i="7"/>
  <c r="L45" i="9" s="1"/>
  <c r="L36" i="7"/>
  <c r="L36" i="9" s="1"/>
  <c r="L48" i="7"/>
  <c r="L48" i="9" s="1"/>
  <c r="L37" i="7"/>
  <c r="L37" i="9" s="1"/>
  <c r="L44" i="7"/>
  <c r="L44" i="9" s="1"/>
  <c r="L50" i="7"/>
  <c r="L50" i="9" s="1"/>
  <c r="L34" i="7"/>
  <c r="L34" i="9" s="1"/>
  <c r="L16" i="7"/>
  <c r="L10" i="7"/>
  <c r="L10" i="9" s="1"/>
  <c r="L11" i="7"/>
  <c r="L11" i="9" s="1"/>
  <c r="L9" i="7"/>
  <c r="L9" i="9" s="1"/>
  <c r="L6" i="7"/>
  <c r="L6" i="9" s="1"/>
  <c r="L54" i="7"/>
  <c r="L54" i="9" s="1"/>
  <c r="L21" i="7"/>
  <c r="L21" i="9" s="1"/>
  <c r="L14" i="7"/>
  <c r="L14" i="9" s="1"/>
  <c r="L33" i="7"/>
  <c r="L22" i="7"/>
  <c r="L22" i="9" s="1"/>
  <c r="L15" i="7"/>
  <c r="L15" i="9" s="1"/>
  <c r="L41" i="7"/>
  <c r="L41" i="9" s="1"/>
  <c r="L25" i="7"/>
  <c r="L25" i="9" s="1"/>
  <c r="L28" i="7"/>
  <c r="L28" i="9" s="1"/>
  <c r="L39" i="7"/>
  <c r="L39" i="9" s="1"/>
  <c r="V59" i="6"/>
  <c r="Y59" i="6"/>
  <c r="V63" i="6"/>
  <c r="X50" i="7"/>
  <c r="X50" i="9" s="1"/>
  <c r="X34" i="7"/>
  <c r="X34" i="9" s="1"/>
  <c r="X17" i="7"/>
  <c r="X17" i="9" s="1"/>
  <c r="X35" i="7"/>
  <c r="X35" i="9" s="1"/>
  <c r="X23" i="7"/>
  <c r="X23" i="9" s="1"/>
  <c r="X9" i="7"/>
  <c r="X9" i="9" s="1"/>
  <c r="X49" i="7"/>
  <c r="X49" i="9" s="1"/>
  <c r="X33" i="7"/>
  <c r="X33" i="9" s="1"/>
  <c r="X21" i="7"/>
  <c r="X21" i="9" s="1"/>
  <c r="X40" i="7"/>
  <c r="X40" i="9" s="1"/>
  <c r="X37" i="7"/>
  <c r="X37" i="9" s="1"/>
  <c r="X47" i="7"/>
  <c r="X47" i="9" s="1"/>
  <c r="X44" i="7"/>
  <c r="X44" i="9" s="1"/>
  <c r="X28" i="7"/>
  <c r="X48" i="7"/>
  <c r="X48" i="9" s="1"/>
  <c r="X32" i="7"/>
  <c r="X32" i="9" s="1"/>
  <c r="X18" i="7"/>
  <c r="X18" i="9" s="1"/>
  <c r="X6" i="7"/>
  <c r="X6" i="9" s="1"/>
  <c r="X46" i="7"/>
  <c r="X46" i="9" s="1"/>
  <c r="X30" i="7"/>
  <c r="X30" i="9" s="1"/>
  <c r="X16" i="7"/>
  <c r="X16" i="9" s="1"/>
  <c r="X8" i="7"/>
  <c r="X8" i="9" s="1"/>
  <c r="X31" i="7"/>
  <c r="X31" i="9" s="1"/>
  <c r="X43" i="7"/>
  <c r="X43" i="9" s="1"/>
  <c r="X54" i="7"/>
  <c r="X54" i="9" s="1"/>
  <c r="X41" i="7"/>
  <c r="X41" i="9" s="1"/>
  <c r="X25" i="7"/>
  <c r="X25" i="9" s="1"/>
  <c r="X45" i="7"/>
  <c r="X45" i="9" s="1"/>
  <c r="X29" i="7"/>
  <c r="X29" i="9" s="1"/>
  <c r="X15" i="7"/>
  <c r="X15" i="9" s="1"/>
  <c r="X53" i="7"/>
  <c r="X53" i="9" s="1"/>
  <c r="X42" i="7"/>
  <c r="X42" i="9" s="1"/>
  <c r="X27" i="7"/>
  <c r="X27" i="9" s="1"/>
  <c r="X13" i="7"/>
  <c r="X13" i="9" s="1"/>
  <c r="X14" i="7"/>
  <c r="X14" i="9" s="1"/>
  <c r="X22" i="7"/>
  <c r="X22" i="9" s="1"/>
  <c r="X19" i="7"/>
  <c r="X19" i="9" s="1"/>
  <c r="X52" i="7"/>
  <c r="X52" i="9" s="1"/>
  <c r="X38" i="7"/>
  <c r="X38" i="9" s="1"/>
  <c r="X20" i="7"/>
  <c r="X20" i="9" s="1"/>
  <c r="X39" i="7"/>
  <c r="X39" i="9" s="1"/>
  <c r="X26" i="7"/>
  <c r="X26" i="9" s="1"/>
  <c r="X12" i="7"/>
  <c r="X12" i="9" s="1"/>
  <c r="X51" i="7"/>
  <c r="X51" i="9" s="1"/>
  <c r="X36" i="7"/>
  <c r="X36" i="9" s="1"/>
  <c r="X24" i="7"/>
  <c r="X24" i="9" s="1"/>
  <c r="X7" i="7"/>
  <c r="X7" i="9" s="1"/>
  <c r="X10" i="7"/>
  <c r="X10" i="9" s="1"/>
  <c r="X11" i="7"/>
  <c r="X11" i="9" s="1"/>
  <c r="X5" i="7"/>
  <c r="R8" i="27"/>
  <c r="R10" i="27"/>
  <c r="R6" i="27"/>
  <c r="F8" i="27"/>
  <c r="F6" i="27"/>
  <c r="F10" i="27"/>
  <c r="U8" i="27"/>
  <c r="U10" i="27"/>
  <c r="U6" i="27"/>
  <c r="C8" i="27"/>
  <c r="C10" i="27"/>
  <c r="C6" i="27"/>
  <c r="Q8" i="27"/>
  <c r="Q10" i="27"/>
  <c r="Q6" i="27"/>
  <c r="D8" i="27"/>
  <c r="D10" i="27"/>
  <c r="D6" i="27"/>
  <c r="AA24" i="8"/>
  <c r="Z24" i="25" s="1"/>
  <c r="Z79" i="25" s="1"/>
  <c r="AA54" i="8"/>
  <c r="Z54" i="25" s="1"/>
  <c r="Z109" i="25" s="1"/>
  <c r="AA16" i="8"/>
  <c r="Z16" i="25" s="1"/>
  <c r="Z71" i="25" s="1"/>
  <c r="AA8" i="8"/>
  <c r="Z8" i="25" s="1"/>
  <c r="Z63" i="25" s="1"/>
  <c r="AA12" i="8"/>
  <c r="Z12" i="25" s="1"/>
  <c r="Z67" i="25" s="1"/>
  <c r="AA52" i="8"/>
  <c r="Z52" i="25" s="1"/>
  <c r="Z107" i="25" s="1"/>
  <c r="AA35" i="8"/>
  <c r="Z35" i="25" s="1"/>
  <c r="Z90" i="25" s="1"/>
  <c r="AA30" i="8"/>
  <c r="Z30" i="25" s="1"/>
  <c r="Z85" i="25" s="1"/>
  <c r="AA22" i="8"/>
  <c r="Z22" i="25" s="1"/>
  <c r="Z77" i="25" s="1"/>
  <c r="AA25" i="8"/>
  <c r="Z25" i="25" s="1"/>
  <c r="Z80" i="25" s="1"/>
  <c r="AA47" i="8"/>
  <c r="Z47" i="25" s="1"/>
  <c r="Z102" i="25" s="1"/>
  <c r="AA18" i="8"/>
  <c r="Z18" i="25" s="1"/>
  <c r="Z73" i="25" s="1"/>
  <c r="AA5" i="8"/>
  <c r="AA36" i="8"/>
  <c r="Z36" i="25" s="1"/>
  <c r="Z91" i="25" s="1"/>
  <c r="AA49" i="8"/>
  <c r="Z49" i="25" s="1"/>
  <c r="Z104" i="25" s="1"/>
  <c r="AA53" i="8"/>
  <c r="Z53" i="25" s="1"/>
  <c r="Z108" i="25" s="1"/>
  <c r="AA10" i="8"/>
  <c r="Z10" i="25" s="1"/>
  <c r="Z65" i="25" s="1"/>
  <c r="AA21" i="8"/>
  <c r="Z21" i="25" s="1"/>
  <c r="Z76" i="25" s="1"/>
  <c r="AA48" i="8"/>
  <c r="Z48" i="25" s="1"/>
  <c r="Z103" i="25" s="1"/>
  <c r="AA32" i="8"/>
  <c r="Z32" i="25" s="1"/>
  <c r="Z87" i="25" s="1"/>
  <c r="AA31" i="8"/>
  <c r="Z31" i="25" s="1"/>
  <c r="Z86" i="25" s="1"/>
  <c r="AA41" i="8"/>
  <c r="Z41" i="25" s="1"/>
  <c r="Z96" i="25" s="1"/>
  <c r="AA7" i="8"/>
  <c r="Z7" i="25" s="1"/>
  <c r="Z62" i="25" s="1"/>
  <c r="AA23" i="8"/>
  <c r="Z23" i="25" s="1"/>
  <c r="Z78" i="25" s="1"/>
  <c r="AA11" i="8"/>
  <c r="Z11" i="25" s="1"/>
  <c r="Z66" i="25" s="1"/>
  <c r="AA45" i="8"/>
  <c r="Z45" i="25" s="1"/>
  <c r="Z100" i="25" s="1"/>
  <c r="AA42" i="8"/>
  <c r="Z42" i="25" s="1"/>
  <c r="Z97" i="25" s="1"/>
  <c r="AA44" i="8"/>
  <c r="Z44" i="25" s="1"/>
  <c r="Z99" i="25" s="1"/>
  <c r="AA28" i="8"/>
  <c r="Z28" i="25" s="1"/>
  <c r="Z83" i="25" s="1"/>
  <c r="AA43" i="8"/>
  <c r="Z43" i="25" s="1"/>
  <c r="Z98" i="25" s="1"/>
  <c r="AA27" i="8"/>
  <c r="Z27" i="25" s="1"/>
  <c r="Z82" i="25" s="1"/>
  <c r="AA33" i="8"/>
  <c r="Z33" i="25" s="1"/>
  <c r="Z88" i="25" s="1"/>
  <c r="AA46" i="8"/>
  <c r="Z46" i="25" s="1"/>
  <c r="Z101" i="25" s="1"/>
  <c r="AA19" i="8"/>
  <c r="Z19" i="25" s="1"/>
  <c r="Z74" i="25" s="1"/>
  <c r="AA9" i="8"/>
  <c r="Z9" i="25" s="1"/>
  <c r="Z64" i="25" s="1"/>
  <c r="AA37" i="8"/>
  <c r="Z37" i="25" s="1"/>
  <c r="Z92" i="25" s="1"/>
  <c r="AA15" i="8"/>
  <c r="Z15" i="25" s="1"/>
  <c r="Z70" i="25" s="1"/>
  <c r="AA34" i="8"/>
  <c r="Z34" i="25" s="1"/>
  <c r="Z89" i="25" s="1"/>
  <c r="AA17" i="8"/>
  <c r="Z17" i="25" s="1"/>
  <c r="Z72" i="25" s="1"/>
  <c r="AA40" i="8"/>
  <c r="Z40" i="25" s="1"/>
  <c r="Z95" i="25" s="1"/>
  <c r="AA39" i="8"/>
  <c r="Z39" i="25" s="1"/>
  <c r="Z94" i="25" s="1"/>
  <c r="AA20" i="8"/>
  <c r="Z20" i="25" s="1"/>
  <c r="Z75" i="25" s="1"/>
  <c r="AA38" i="8"/>
  <c r="Z38" i="25" s="1"/>
  <c r="Z93" i="25" s="1"/>
  <c r="AA6" i="8"/>
  <c r="Z6" i="25" s="1"/>
  <c r="Z61" i="25" s="1"/>
  <c r="AA29" i="8"/>
  <c r="Z29" i="25" s="1"/>
  <c r="Z84" i="25" s="1"/>
  <c r="AA26" i="8"/>
  <c r="Z26" i="25" s="1"/>
  <c r="Z81" i="25" s="1"/>
  <c r="AA51" i="8"/>
  <c r="Z51" i="25" s="1"/>
  <c r="Z106" i="25" s="1"/>
  <c r="AA14" i="8"/>
  <c r="Z14" i="25" s="1"/>
  <c r="Z69" i="25" s="1"/>
  <c r="AA13" i="8"/>
  <c r="Z13" i="25" s="1"/>
  <c r="Z68" i="25" s="1"/>
  <c r="AA50" i="8"/>
  <c r="Z50" i="25" s="1"/>
  <c r="Z105" i="25" s="1"/>
  <c r="S38" i="7"/>
  <c r="S23" i="7"/>
  <c r="S9" i="7"/>
  <c r="S13" i="7"/>
  <c r="S19" i="7"/>
  <c r="S8" i="7"/>
  <c r="S27" i="7"/>
  <c r="S25" i="7"/>
  <c r="S52" i="7"/>
  <c r="S46" i="7"/>
  <c r="S36" i="7"/>
  <c r="S50" i="7"/>
  <c r="S6" i="7"/>
  <c r="S31" i="7"/>
  <c r="S29" i="7"/>
  <c r="S35" i="7"/>
  <c r="S54" i="7"/>
  <c r="S28" i="7"/>
  <c r="S7" i="7"/>
  <c r="S48" i="7"/>
  <c r="S26" i="7"/>
  <c r="S20" i="7"/>
  <c r="S15" i="7"/>
  <c r="S21" i="7"/>
  <c r="S47" i="7"/>
  <c r="S5" i="7"/>
  <c r="S22" i="7"/>
  <c r="S24" i="7"/>
  <c r="S51" i="7"/>
  <c r="S49" i="7"/>
  <c r="S37" i="7"/>
  <c r="S53" i="7"/>
  <c r="S44" i="7"/>
  <c r="S17" i="7"/>
  <c r="S12" i="7"/>
  <c r="S16" i="7"/>
  <c r="S43" i="7"/>
  <c r="S14" i="7"/>
  <c r="S10" i="7"/>
  <c r="S45" i="7"/>
  <c r="S32" i="7"/>
  <c r="S30" i="7"/>
  <c r="S40" i="7"/>
  <c r="S34" i="7"/>
  <c r="S41" i="7"/>
  <c r="S39" i="7"/>
  <c r="S18" i="7"/>
  <c r="S11" i="7"/>
  <c r="S42" i="7"/>
  <c r="S33" i="7"/>
  <c r="O40" i="7"/>
  <c r="O40" i="9" s="1"/>
  <c r="O28" i="7"/>
  <c r="O28" i="9" s="1"/>
  <c r="O6" i="7"/>
  <c r="O6" i="9" s="1"/>
  <c r="O10" i="7"/>
  <c r="O10" i="9" s="1"/>
  <c r="O38" i="7"/>
  <c r="O38" i="9" s="1"/>
  <c r="O51" i="7"/>
  <c r="O51" i="9" s="1"/>
  <c r="O26" i="7"/>
  <c r="O26" i="9" s="1"/>
  <c r="O20" i="7"/>
  <c r="O22" i="7"/>
  <c r="O44" i="7"/>
  <c r="O31" i="7"/>
  <c r="O43" i="7"/>
  <c r="O15" i="7"/>
  <c r="O54" i="7"/>
  <c r="O49" i="7"/>
  <c r="O49" i="9" s="1"/>
  <c r="O29" i="7"/>
  <c r="O29" i="9" s="1"/>
  <c r="O35" i="7"/>
  <c r="O35" i="9" s="1"/>
  <c r="O50" i="7"/>
  <c r="O17" i="7"/>
  <c r="O12" i="7"/>
  <c r="O12" i="9" s="1"/>
  <c r="O16" i="7"/>
  <c r="O16" i="9" s="1"/>
  <c r="O8" i="7"/>
  <c r="O8" i="9" s="1"/>
  <c r="O14" i="7"/>
  <c r="O33" i="7"/>
  <c r="O33" i="9" s="1"/>
  <c r="O39" i="7"/>
  <c r="O25" i="7"/>
  <c r="O25" i="9" s="1"/>
  <c r="O32" i="7"/>
  <c r="O30" i="7"/>
  <c r="O30" i="9" s="1"/>
  <c r="O23" i="7"/>
  <c r="O9" i="7"/>
  <c r="O9" i="9" s="1"/>
  <c r="O13" i="7"/>
  <c r="O13" i="9" s="1"/>
  <c r="O19" i="7"/>
  <c r="O19" i="9" s="1"/>
  <c r="O5" i="7"/>
  <c r="O53" i="7"/>
  <c r="O53" i="9" s="1"/>
  <c r="O27" i="7"/>
  <c r="O27" i="9" s="1"/>
  <c r="O42" i="7"/>
  <c r="O42" i="9" s="1"/>
  <c r="O52" i="7"/>
  <c r="O52" i="9" s="1"/>
  <c r="O46" i="7"/>
  <c r="O46" i="9" s="1"/>
  <c r="O34" i="7"/>
  <c r="O34" i="9" s="1"/>
  <c r="O37" i="7"/>
  <c r="O37" i="9" s="1"/>
  <c r="O18" i="7"/>
  <c r="O18" i="9" s="1"/>
  <c r="O7" i="7"/>
  <c r="O7" i="9" s="1"/>
  <c r="O47" i="7"/>
  <c r="O47" i="9" s="1"/>
  <c r="O48" i="7"/>
  <c r="O48" i="9" s="1"/>
  <c r="O24" i="7"/>
  <c r="O24" i="9" s="1"/>
  <c r="O21" i="7"/>
  <c r="O11" i="7"/>
  <c r="O41" i="7"/>
  <c r="O45" i="7"/>
  <c r="O36" i="7"/>
  <c r="M58" i="6"/>
  <c r="M63" i="6" s="1"/>
  <c r="S36" i="26"/>
  <c r="S81" i="26" s="1"/>
  <c r="T7" i="26"/>
  <c r="T52" i="26" s="1"/>
  <c r="R6" i="26"/>
  <c r="R51" i="26" s="1"/>
  <c r="R30" i="26"/>
  <c r="R75" i="26" s="1"/>
  <c r="R38" i="26"/>
  <c r="R83" i="26" s="1"/>
  <c r="R22" i="26"/>
  <c r="R67" i="26" s="1"/>
  <c r="N7" i="26"/>
  <c r="N52" i="26" s="1"/>
  <c r="R44" i="26"/>
  <c r="R89" i="26" s="1"/>
  <c r="R34" i="26"/>
  <c r="R79" i="26" s="1"/>
  <c r="R15" i="26"/>
  <c r="R60" i="26" s="1"/>
  <c r="R36" i="26"/>
  <c r="R81" i="26" s="1"/>
  <c r="R42" i="26"/>
  <c r="R87" i="26" s="1"/>
  <c r="S24" i="26"/>
  <c r="S69" i="26" s="1"/>
  <c r="S8" i="26"/>
  <c r="S53" i="26" s="1"/>
  <c r="S25" i="26"/>
  <c r="S70" i="26" s="1"/>
  <c r="T9" i="26"/>
  <c r="T54" i="26" s="1"/>
  <c r="R10" i="26"/>
  <c r="R55" i="26" s="1"/>
  <c r="R33" i="26"/>
  <c r="R78" i="26" s="1"/>
  <c r="R17" i="26"/>
  <c r="R62" i="26" s="1"/>
  <c r="R41" i="26"/>
  <c r="R86" i="26" s="1"/>
  <c r="R24" i="26"/>
  <c r="R69" i="26" s="1"/>
  <c r="S12" i="26"/>
  <c r="S57" i="26" s="1"/>
  <c r="S19" i="26"/>
  <c r="S64" i="26" s="1"/>
  <c r="S32" i="26"/>
  <c r="S77" i="26" s="1"/>
  <c r="S31" i="26"/>
  <c r="S76" i="26" s="1"/>
  <c r="S20" i="26"/>
  <c r="S65" i="26" s="1"/>
  <c r="O9" i="26"/>
  <c r="O54" i="26" s="1"/>
  <c r="S9" i="26"/>
  <c r="S54" i="26" s="1"/>
  <c r="R26" i="26"/>
  <c r="R71" i="26" s="1"/>
  <c r="Q5" i="26"/>
  <c r="Q50" i="26" s="1"/>
  <c r="N8" i="26"/>
  <c r="N53" i="26" s="1"/>
  <c r="R13" i="26"/>
  <c r="R58" i="26" s="1"/>
  <c r="R39" i="26"/>
  <c r="R84" i="26" s="1"/>
  <c r="R32" i="26"/>
  <c r="R77" i="26" s="1"/>
  <c r="R20" i="26"/>
  <c r="R65" i="26" s="1"/>
  <c r="R19" i="26"/>
  <c r="R64" i="26" s="1"/>
  <c r="S16" i="26"/>
  <c r="S61" i="26" s="1"/>
  <c r="S18" i="26"/>
  <c r="S63" i="26" s="1"/>
  <c r="S5" i="26"/>
  <c r="S50" i="26" s="1"/>
  <c r="S7" i="26"/>
  <c r="S52" i="26" s="1"/>
  <c r="S44" i="26"/>
  <c r="S89" i="26" s="1"/>
  <c r="S26" i="26"/>
  <c r="S71" i="26" s="1"/>
  <c r="S41" i="26"/>
  <c r="S86" i="26" s="1"/>
  <c r="S23" i="26"/>
  <c r="S68" i="26" s="1"/>
  <c r="N9" i="26"/>
  <c r="N54" i="26" s="1"/>
  <c r="S39" i="26"/>
  <c r="S84" i="26" s="1"/>
  <c r="O8" i="26"/>
  <c r="O53" i="26" s="1"/>
  <c r="P7" i="26"/>
  <c r="P52" i="26" s="1"/>
  <c r="S38" i="26"/>
  <c r="S83" i="26" s="1"/>
  <c r="R11" i="26"/>
  <c r="R56" i="26" s="1"/>
  <c r="R5" i="26"/>
  <c r="R50" i="26" s="1"/>
  <c r="R27" i="26"/>
  <c r="R72" i="26" s="1"/>
  <c r="R14" i="26"/>
  <c r="R59" i="26" s="1"/>
  <c r="M8" i="26"/>
  <c r="M53" i="26" s="1"/>
  <c r="S42" i="26"/>
  <c r="S87" i="26" s="1"/>
  <c r="P8" i="26"/>
  <c r="P53" i="26" s="1"/>
  <c r="S22" i="26"/>
  <c r="S67" i="26" s="1"/>
  <c r="R18" i="26"/>
  <c r="R63" i="26" s="1"/>
  <c r="R23" i="26"/>
  <c r="R68" i="26" s="1"/>
  <c r="R43" i="26"/>
  <c r="R88" i="26" s="1"/>
  <c r="R31" i="26"/>
  <c r="R76" i="26" s="1"/>
  <c r="M7" i="26"/>
  <c r="M52" i="26" s="1"/>
  <c r="S6" i="26"/>
  <c r="S51" i="26" s="1"/>
  <c r="R8" i="26"/>
  <c r="R53" i="26" s="1"/>
  <c r="S35" i="26"/>
  <c r="S80" i="26" s="1"/>
  <c r="S37" i="26"/>
  <c r="S82" i="26" s="1"/>
  <c r="S16" i="12"/>
  <c r="Q16" i="26"/>
  <c r="Q61" i="26" s="1"/>
  <c r="S11" i="26"/>
  <c r="S56" i="26" s="1"/>
  <c r="S26" i="13"/>
  <c r="Q26" i="26"/>
  <c r="Q71" i="26" s="1"/>
  <c r="R29" i="26"/>
  <c r="R74" i="26" s="1"/>
  <c r="S37" i="12"/>
  <c r="Q37" i="26"/>
  <c r="Q82" i="26" s="1"/>
  <c r="S19" i="12"/>
  <c r="Q19" i="26"/>
  <c r="Q64" i="26" s="1"/>
  <c r="O7" i="26"/>
  <c r="O52" i="26" s="1"/>
  <c r="R12" i="26"/>
  <c r="R57" i="26" s="1"/>
  <c r="R28" i="26"/>
  <c r="R73" i="26" s="1"/>
  <c r="R21" i="26"/>
  <c r="R66" i="26" s="1"/>
  <c r="R40" i="26"/>
  <c r="R85" i="26" s="1"/>
  <c r="R9" i="26"/>
  <c r="R54" i="26" s="1"/>
  <c r="P9" i="26"/>
  <c r="P54" i="26" s="1"/>
  <c r="S29" i="26"/>
  <c r="S74" i="26" s="1"/>
  <c r="S8" i="12"/>
  <c r="Q8" i="26"/>
  <c r="Q53" i="26" s="1"/>
  <c r="T8" i="26"/>
  <c r="T53" i="26" s="1"/>
  <c r="R16" i="26"/>
  <c r="R61" i="26" s="1"/>
  <c r="R37" i="26"/>
  <c r="R82" i="26" s="1"/>
  <c r="R25" i="26"/>
  <c r="R70" i="26" s="1"/>
  <c r="W7" i="12"/>
  <c r="R7" i="26"/>
  <c r="R52" i="26" s="1"/>
  <c r="S9" i="12"/>
  <c r="Q9" i="26"/>
  <c r="Q54" i="26" s="1"/>
  <c r="S10" i="26"/>
  <c r="S55" i="26" s="1"/>
  <c r="S40" i="26"/>
  <c r="S85" i="26" s="1"/>
  <c r="S31" i="12"/>
  <c r="Q31" i="26"/>
  <c r="Q76" i="26" s="1"/>
  <c r="S40" i="12"/>
  <c r="Q40" i="26"/>
  <c r="Q85" i="26" s="1"/>
  <c r="S24" i="12"/>
  <c r="Q24" i="26"/>
  <c r="Q69" i="26" s="1"/>
  <c r="S42" i="12"/>
  <c r="Q42" i="26"/>
  <c r="Q87" i="26" s="1"/>
  <c r="S12" i="12"/>
  <c r="Q12" i="26"/>
  <c r="Q57" i="26" s="1"/>
  <c r="S44" i="12"/>
  <c r="Q44" i="26"/>
  <c r="Q89" i="26" s="1"/>
  <c r="S30" i="12"/>
  <c r="Q30" i="26"/>
  <c r="Q75" i="26" s="1"/>
  <c r="S20" i="12"/>
  <c r="Q20" i="26"/>
  <c r="Q65" i="26" s="1"/>
  <c r="S27" i="12"/>
  <c r="Q27" i="26"/>
  <c r="Q72" i="26" s="1"/>
  <c r="S29" i="12"/>
  <c r="Q29" i="26"/>
  <c r="Q74" i="26" s="1"/>
  <c r="S14" i="12"/>
  <c r="Q14" i="26"/>
  <c r="Q59" i="26" s="1"/>
  <c r="S35" i="12"/>
  <c r="Q35" i="26"/>
  <c r="Q80" i="26" s="1"/>
  <c r="S33" i="12"/>
  <c r="Q33" i="26"/>
  <c r="Q78" i="26" s="1"/>
  <c r="S18" i="12"/>
  <c r="Q18" i="26"/>
  <c r="Q63" i="26" s="1"/>
  <c r="S11" i="12"/>
  <c r="Q11" i="26"/>
  <c r="Q56" i="26" s="1"/>
  <c r="S32" i="12"/>
  <c r="Q32" i="26"/>
  <c r="Q77" i="26" s="1"/>
  <c r="S33" i="26"/>
  <c r="S78" i="26" s="1"/>
  <c r="S13" i="26"/>
  <c r="S58" i="26" s="1"/>
  <c r="AA7" i="12"/>
  <c r="V7" i="26"/>
  <c r="V52" i="26" s="1"/>
  <c r="S43" i="26"/>
  <c r="S88" i="26" s="1"/>
  <c r="S34" i="12"/>
  <c r="Q34" i="26"/>
  <c r="Q79" i="26" s="1"/>
  <c r="S6" i="12"/>
  <c r="Q6" i="26"/>
  <c r="Q51" i="26" s="1"/>
  <c r="S38" i="12"/>
  <c r="Q38" i="26"/>
  <c r="Q83" i="26" s="1"/>
  <c r="S17" i="12"/>
  <c r="Q17" i="26"/>
  <c r="Q62" i="26" s="1"/>
  <c r="AA8" i="12"/>
  <c r="V8" i="26"/>
  <c r="V53" i="26" s="1"/>
  <c r="S7" i="12"/>
  <c r="Q7" i="26"/>
  <c r="Q52" i="26" s="1"/>
  <c r="S25" i="12"/>
  <c r="Q25" i="26"/>
  <c r="Q70" i="26" s="1"/>
  <c r="S23" i="12"/>
  <c r="Q23" i="26"/>
  <c r="Q68" i="26" s="1"/>
  <c r="S34" i="26"/>
  <c r="S79" i="26" s="1"/>
  <c r="AA9" i="12"/>
  <c r="V9" i="26"/>
  <c r="V54" i="26" s="1"/>
  <c r="Q10" i="26"/>
  <c r="Q55" i="26" s="1"/>
  <c r="Q22" i="26"/>
  <c r="Q67" i="26" s="1"/>
  <c r="Q43" i="26"/>
  <c r="Q88" i="26" s="1"/>
  <c r="W26" i="11"/>
  <c r="Q21" i="26"/>
  <c r="Q66" i="26" s="1"/>
  <c r="Q36" i="26"/>
  <c r="Q81" i="26" s="1"/>
  <c r="W23" i="11"/>
  <c r="W35" i="11"/>
  <c r="W36" i="11"/>
  <c r="W11" i="11"/>
  <c r="W6" i="11"/>
  <c r="Q13" i="26"/>
  <c r="Q58" i="26" s="1"/>
  <c r="Q15" i="26"/>
  <c r="Q60" i="26" s="1"/>
  <c r="Q28" i="26"/>
  <c r="Q73" i="26" s="1"/>
  <c r="Q39" i="26"/>
  <c r="Q84" i="26" s="1"/>
  <c r="Q41" i="26"/>
  <c r="Q86" i="26" s="1"/>
  <c r="W9" i="12"/>
  <c r="W7" i="13"/>
  <c r="D46" i="5"/>
  <c r="Q47" i="13"/>
  <c r="Q47" i="12"/>
  <c r="Q47" i="11"/>
  <c r="Q47" i="10"/>
  <c r="AA24" i="11"/>
  <c r="Z24" i="12"/>
  <c r="AA24" i="12" s="1"/>
  <c r="Z24" i="13"/>
  <c r="AA24" i="13" s="1"/>
  <c r="AA40" i="11"/>
  <c r="Z40" i="12"/>
  <c r="AA40" i="12" s="1"/>
  <c r="Z40" i="13"/>
  <c r="AA40" i="13" s="1"/>
  <c r="AA26" i="11"/>
  <c r="Z26" i="12"/>
  <c r="AA26" i="12" s="1"/>
  <c r="Z26" i="13"/>
  <c r="AA26" i="13" s="1"/>
  <c r="AA39" i="11"/>
  <c r="Z39" i="12"/>
  <c r="AA39" i="12" s="1"/>
  <c r="Z39" i="13"/>
  <c r="AA39" i="13" s="1"/>
  <c r="AA41" i="11"/>
  <c r="Z41" i="12"/>
  <c r="AA41" i="12" s="1"/>
  <c r="Z41" i="13"/>
  <c r="AA41" i="13" s="1"/>
  <c r="AA31" i="11"/>
  <c r="Z31" i="12"/>
  <c r="AA31" i="12" s="1"/>
  <c r="Z31" i="13"/>
  <c r="AA31" i="13" s="1"/>
  <c r="AA21" i="11"/>
  <c r="Z21" i="12"/>
  <c r="AA21" i="12" s="1"/>
  <c r="Z21" i="13"/>
  <c r="AA21" i="13" s="1"/>
  <c r="AA13" i="11"/>
  <c r="Z13" i="12"/>
  <c r="AA13" i="12" s="1"/>
  <c r="Z13" i="13"/>
  <c r="AA13" i="13" s="1"/>
  <c r="AA11" i="11"/>
  <c r="Z11" i="12"/>
  <c r="AA11" i="12" s="1"/>
  <c r="Z11" i="13"/>
  <c r="AA11" i="13" s="1"/>
  <c r="N32" i="12"/>
  <c r="N32" i="13"/>
  <c r="N15" i="12"/>
  <c r="N15" i="13"/>
  <c r="N25" i="12"/>
  <c r="N25" i="13"/>
  <c r="N44" i="12"/>
  <c r="N44" i="13"/>
  <c r="N37" i="12"/>
  <c r="N37" i="13"/>
  <c r="N17" i="12"/>
  <c r="N17" i="13"/>
  <c r="N33" i="12"/>
  <c r="N33" i="13"/>
  <c r="N20" i="12"/>
  <c r="N20" i="13"/>
  <c r="N5" i="12"/>
  <c r="N5" i="13"/>
  <c r="N46" i="11"/>
  <c r="T46" i="12"/>
  <c r="M24" i="12"/>
  <c r="M24" i="13"/>
  <c r="M30" i="12"/>
  <c r="M30" i="13"/>
  <c r="M21" i="12"/>
  <c r="M21" i="13"/>
  <c r="M32" i="12"/>
  <c r="M32" i="13"/>
  <c r="M27" i="12"/>
  <c r="M27" i="13"/>
  <c r="M15" i="12"/>
  <c r="M15" i="13"/>
  <c r="M28" i="12"/>
  <c r="M28" i="13"/>
  <c r="M10" i="12"/>
  <c r="M10" i="13"/>
  <c r="M5" i="12"/>
  <c r="M5" i="13"/>
  <c r="M46" i="11"/>
  <c r="P34" i="12"/>
  <c r="P34" i="13"/>
  <c r="P42" i="12"/>
  <c r="P42" i="13"/>
  <c r="P41" i="12"/>
  <c r="P41" i="13"/>
  <c r="P30" i="12"/>
  <c r="P30" i="13"/>
  <c r="P16" i="12"/>
  <c r="P16" i="13"/>
  <c r="P26" i="12"/>
  <c r="P26" i="13"/>
  <c r="P36" i="12"/>
  <c r="P36" i="13"/>
  <c r="P33" i="12"/>
  <c r="P33" i="13"/>
  <c r="P18" i="12"/>
  <c r="P18" i="13"/>
  <c r="P11" i="12"/>
  <c r="P11" i="13"/>
  <c r="S46" i="11"/>
  <c r="W8" i="12"/>
  <c r="O14" i="12"/>
  <c r="O14" i="13"/>
  <c r="O36" i="12"/>
  <c r="O36" i="13"/>
  <c r="O42" i="12"/>
  <c r="O42" i="13"/>
  <c r="O30" i="12"/>
  <c r="O30" i="13"/>
  <c r="O21" i="12"/>
  <c r="O21" i="13"/>
  <c r="O43" i="12"/>
  <c r="O43" i="13"/>
  <c r="O35" i="12"/>
  <c r="O35" i="13"/>
  <c r="O13" i="12"/>
  <c r="O13" i="13"/>
  <c r="O11" i="12"/>
  <c r="O11" i="13"/>
  <c r="V15" i="12"/>
  <c r="W15" i="12" s="1"/>
  <c r="V15" i="13"/>
  <c r="W15" i="13" s="1"/>
  <c r="V23" i="12"/>
  <c r="W23" i="12" s="1"/>
  <c r="V23" i="13"/>
  <c r="V35" i="12"/>
  <c r="W35" i="12" s="1"/>
  <c r="V35" i="13"/>
  <c r="V36" i="12"/>
  <c r="W36" i="12" s="1"/>
  <c r="V36" i="13"/>
  <c r="V28" i="12"/>
  <c r="W28" i="12" s="1"/>
  <c r="V28" i="13"/>
  <c r="W28" i="13" s="1"/>
  <c r="W28" i="11"/>
  <c r="V27" i="12"/>
  <c r="W27" i="12" s="1"/>
  <c r="V27" i="13"/>
  <c r="W27" i="13" s="1"/>
  <c r="V11" i="12"/>
  <c r="W11" i="12" s="1"/>
  <c r="V11" i="13"/>
  <c r="W11" i="13" s="1"/>
  <c r="V30" i="12"/>
  <c r="V30" i="13"/>
  <c r="V6" i="12"/>
  <c r="V6" i="13"/>
  <c r="W6" i="13" s="1"/>
  <c r="W15" i="11"/>
  <c r="AA27" i="11"/>
  <c r="Z27" i="12"/>
  <c r="AA27" i="12" s="1"/>
  <c r="Z27" i="13"/>
  <c r="AA27" i="13" s="1"/>
  <c r="AA20" i="11"/>
  <c r="Z20" i="12"/>
  <c r="AA20" i="12" s="1"/>
  <c r="Z20" i="13"/>
  <c r="AA20" i="13" s="1"/>
  <c r="AA29" i="11"/>
  <c r="Z29" i="12"/>
  <c r="AA29" i="12" s="1"/>
  <c r="Z29" i="13"/>
  <c r="AA29" i="13" s="1"/>
  <c r="AA19" i="11"/>
  <c r="Z19" i="12"/>
  <c r="AA19" i="12" s="1"/>
  <c r="Z19" i="13"/>
  <c r="AA19" i="13" s="1"/>
  <c r="AA25" i="11"/>
  <c r="Z25" i="12"/>
  <c r="AA25" i="12" s="1"/>
  <c r="Z25" i="13"/>
  <c r="AA25" i="13" s="1"/>
  <c r="AA38" i="11"/>
  <c r="Z38" i="12"/>
  <c r="AA38" i="12" s="1"/>
  <c r="Z38" i="13"/>
  <c r="AA38" i="13" s="1"/>
  <c r="AA36" i="11"/>
  <c r="Z36" i="12"/>
  <c r="AA36" i="12" s="1"/>
  <c r="Z36" i="13"/>
  <c r="AA36" i="13" s="1"/>
  <c r="AA15" i="11"/>
  <c r="Z15" i="12"/>
  <c r="AA15" i="12" s="1"/>
  <c r="Z15" i="13"/>
  <c r="AA15" i="13" s="1"/>
  <c r="AA12" i="11"/>
  <c r="Z12" i="12"/>
  <c r="AA12" i="12" s="1"/>
  <c r="Z12" i="13"/>
  <c r="AA12" i="13" s="1"/>
  <c r="N30" i="12"/>
  <c r="N30" i="13"/>
  <c r="N42" i="12"/>
  <c r="N42" i="13"/>
  <c r="N39" i="12"/>
  <c r="N39" i="13"/>
  <c r="N28" i="12"/>
  <c r="N28" i="13"/>
  <c r="N21" i="12"/>
  <c r="N21" i="13"/>
  <c r="N40" i="12"/>
  <c r="N40" i="13"/>
  <c r="N31" i="12"/>
  <c r="N31" i="13"/>
  <c r="N6" i="12"/>
  <c r="N6" i="13"/>
  <c r="N18" i="12"/>
  <c r="N18" i="13"/>
  <c r="M40" i="12"/>
  <c r="M40" i="13"/>
  <c r="M36" i="12"/>
  <c r="M36" i="13"/>
  <c r="M20" i="12"/>
  <c r="M20" i="13"/>
  <c r="M31" i="12"/>
  <c r="M31" i="13"/>
  <c r="M38" i="12"/>
  <c r="M38" i="13"/>
  <c r="M43" i="12"/>
  <c r="M43" i="13"/>
  <c r="M23" i="12"/>
  <c r="M23" i="13"/>
  <c r="M11" i="12"/>
  <c r="M11" i="13"/>
  <c r="M6" i="12"/>
  <c r="M6" i="13"/>
  <c r="P15" i="12"/>
  <c r="P15" i="13"/>
  <c r="P14" i="12"/>
  <c r="P14" i="13"/>
  <c r="P44" i="12"/>
  <c r="P44" i="13"/>
  <c r="P25" i="12"/>
  <c r="P25" i="13"/>
  <c r="P40" i="12"/>
  <c r="P40" i="13"/>
  <c r="P37" i="12"/>
  <c r="P37" i="13"/>
  <c r="P35" i="12"/>
  <c r="P35" i="13"/>
  <c r="P32" i="12"/>
  <c r="P32" i="13"/>
  <c r="P6" i="12"/>
  <c r="P6" i="13"/>
  <c r="S5" i="12"/>
  <c r="R46" i="12"/>
  <c r="U46" i="13"/>
  <c r="O40" i="12"/>
  <c r="O40" i="13"/>
  <c r="O17" i="12"/>
  <c r="O17" i="13"/>
  <c r="O34" i="12"/>
  <c r="O34" i="13"/>
  <c r="O41" i="12"/>
  <c r="O41" i="13"/>
  <c r="O28" i="12"/>
  <c r="O28" i="13"/>
  <c r="O26" i="12"/>
  <c r="O26" i="13"/>
  <c r="O23" i="12"/>
  <c r="O23" i="13"/>
  <c r="O38" i="12"/>
  <c r="O38" i="13"/>
  <c r="O6" i="12"/>
  <c r="O6" i="13"/>
  <c r="O18" i="12"/>
  <c r="O18" i="13"/>
  <c r="V39" i="12"/>
  <c r="W39" i="12" s="1"/>
  <c r="V39" i="13"/>
  <c r="W39" i="13" s="1"/>
  <c r="V20" i="12"/>
  <c r="V20" i="13"/>
  <c r="W20" i="13" s="1"/>
  <c r="V19" i="12"/>
  <c r="W19" i="12" s="1"/>
  <c r="V19" i="13"/>
  <c r="W19" i="13" s="1"/>
  <c r="V31" i="12"/>
  <c r="W31" i="12" s="1"/>
  <c r="V31" i="13"/>
  <c r="W31" i="13" s="1"/>
  <c r="V38" i="12"/>
  <c r="V38" i="13"/>
  <c r="W38" i="13" s="1"/>
  <c r="V16" i="12"/>
  <c r="W16" i="12" s="1"/>
  <c r="V16" i="13"/>
  <c r="W16" i="13" s="1"/>
  <c r="V18" i="12"/>
  <c r="W18" i="12" s="1"/>
  <c r="V18" i="13"/>
  <c r="W18" i="13" s="1"/>
  <c r="V37" i="12"/>
  <c r="V37" i="13"/>
  <c r="W37" i="13" s="1"/>
  <c r="V12" i="12"/>
  <c r="V12" i="13"/>
  <c r="W12" i="13" s="1"/>
  <c r="N57" i="8"/>
  <c r="N61" i="8" s="1"/>
  <c r="N57" i="9"/>
  <c r="N57" i="7"/>
  <c r="AA16" i="11"/>
  <c r="Z16" i="12"/>
  <c r="AA16" i="12" s="1"/>
  <c r="Z16" i="13"/>
  <c r="AA16" i="13" s="1"/>
  <c r="AA30" i="11"/>
  <c r="Z30" i="12"/>
  <c r="AA30" i="12" s="1"/>
  <c r="Z30" i="13"/>
  <c r="AA30" i="13" s="1"/>
  <c r="AA43" i="11"/>
  <c r="Z43" i="12"/>
  <c r="AA43" i="12" s="1"/>
  <c r="Z43" i="13"/>
  <c r="AA43" i="13" s="1"/>
  <c r="AA34" i="11"/>
  <c r="Z34" i="12"/>
  <c r="AA34" i="12" s="1"/>
  <c r="Z34" i="13"/>
  <c r="AA34" i="13" s="1"/>
  <c r="AA42" i="11"/>
  <c r="Z42" i="12"/>
  <c r="AA42" i="12" s="1"/>
  <c r="Z42" i="13"/>
  <c r="AA42" i="13" s="1"/>
  <c r="AA35" i="11"/>
  <c r="Z35" i="12"/>
  <c r="AA35" i="12" s="1"/>
  <c r="Z35" i="13"/>
  <c r="AA35" i="13" s="1"/>
  <c r="AA17" i="11"/>
  <c r="Z17" i="12"/>
  <c r="AA17" i="12" s="1"/>
  <c r="Z17" i="13"/>
  <c r="AA17" i="13" s="1"/>
  <c r="AA14" i="11"/>
  <c r="Z14" i="12"/>
  <c r="AA14" i="12" s="1"/>
  <c r="Z14" i="13"/>
  <c r="AA14" i="13" s="1"/>
  <c r="AA6" i="11"/>
  <c r="Z6" i="12"/>
  <c r="AA6" i="12" s="1"/>
  <c r="Z6" i="13"/>
  <c r="AA6" i="13" s="1"/>
  <c r="AA18" i="11"/>
  <c r="Z18" i="12"/>
  <c r="AA18" i="12" s="1"/>
  <c r="Z18" i="13"/>
  <c r="AA18" i="13" s="1"/>
  <c r="N29" i="12"/>
  <c r="N29" i="13"/>
  <c r="N26" i="12"/>
  <c r="N26" i="13"/>
  <c r="N23" i="12"/>
  <c r="N23" i="13"/>
  <c r="N38" i="12"/>
  <c r="N38" i="13"/>
  <c r="N35" i="12"/>
  <c r="N35" i="13"/>
  <c r="N24" i="12"/>
  <c r="N24" i="13"/>
  <c r="N14" i="12"/>
  <c r="N14" i="13"/>
  <c r="N10" i="12"/>
  <c r="N10" i="13"/>
  <c r="N12" i="12"/>
  <c r="N12" i="13"/>
  <c r="T46" i="13"/>
  <c r="M25" i="12"/>
  <c r="M25" i="13"/>
  <c r="M39" i="12"/>
  <c r="M39" i="13"/>
  <c r="M35" i="12"/>
  <c r="M35" i="13"/>
  <c r="M42" i="12"/>
  <c r="M42" i="13"/>
  <c r="M33" i="12"/>
  <c r="M33" i="13"/>
  <c r="M22" i="12"/>
  <c r="M22" i="13"/>
  <c r="M14" i="12"/>
  <c r="M14" i="13"/>
  <c r="M34" i="12"/>
  <c r="M34" i="13"/>
  <c r="M12" i="12"/>
  <c r="M12" i="13"/>
  <c r="M13" i="12"/>
  <c r="M13" i="13"/>
  <c r="P31" i="12"/>
  <c r="P31" i="13"/>
  <c r="P29" i="12"/>
  <c r="P29" i="13"/>
  <c r="P43" i="12"/>
  <c r="P43" i="13"/>
  <c r="P24" i="12"/>
  <c r="P24" i="13"/>
  <c r="P39" i="12"/>
  <c r="P39" i="13"/>
  <c r="P21" i="12"/>
  <c r="P21" i="13"/>
  <c r="P19" i="12"/>
  <c r="P19" i="13"/>
  <c r="P5" i="12"/>
  <c r="P5" i="13"/>
  <c r="P46" i="11"/>
  <c r="P12" i="12"/>
  <c r="P12" i="13"/>
  <c r="W30" i="13"/>
  <c r="W8" i="13"/>
  <c r="U46" i="12"/>
  <c r="O39" i="12"/>
  <c r="O39" i="13"/>
  <c r="O20" i="12"/>
  <c r="O20" i="13"/>
  <c r="O32" i="12"/>
  <c r="O32" i="13"/>
  <c r="O25" i="12"/>
  <c r="O25" i="13"/>
  <c r="O27" i="12"/>
  <c r="O27" i="13"/>
  <c r="O44" i="12"/>
  <c r="O44" i="13"/>
  <c r="O33" i="12"/>
  <c r="O33" i="13"/>
  <c r="O22" i="12"/>
  <c r="O22" i="13"/>
  <c r="O12" i="12"/>
  <c r="O12" i="13"/>
  <c r="V44" i="12"/>
  <c r="W44" i="12" s="1"/>
  <c r="V44" i="13"/>
  <c r="W44" i="13" s="1"/>
  <c r="V34" i="12"/>
  <c r="W34" i="12" s="1"/>
  <c r="V34" i="13"/>
  <c r="W34" i="13" s="1"/>
  <c r="V40" i="12"/>
  <c r="W40" i="12" s="1"/>
  <c r="V40" i="13"/>
  <c r="W40" i="13" s="1"/>
  <c r="V25" i="12"/>
  <c r="W25" i="12" s="1"/>
  <c r="V25" i="13"/>
  <c r="W25" i="13" s="1"/>
  <c r="V14" i="12"/>
  <c r="W14" i="12" s="1"/>
  <c r="V14" i="13"/>
  <c r="W14" i="13" s="1"/>
  <c r="V41" i="12"/>
  <c r="W41" i="12" s="1"/>
  <c r="V41" i="13"/>
  <c r="W41" i="13" s="1"/>
  <c r="V24" i="12"/>
  <c r="W24" i="12" s="1"/>
  <c r="V24" i="13"/>
  <c r="W24" i="13" s="1"/>
  <c r="V22" i="12"/>
  <c r="V22" i="13"/>
  <c r="W22" i="13" s="1"/>
  <c r="V17" i="12"/>
  <c r="W17" i="12" s="1"/>
  <c r="V17" i="13"/>
  <c r="W17" i="13" s="1"/>
  <c r="V13" i="12"/>
  <c r="W13" i="12" s="1"/>
  <c r="V13" i="13"/>
  <c r="W13" i="13" s="1"/>
  <c r="L50" i="10"/>
  <c r="L51" i="10" s="1"/>
  <c r="W37" i="11"/>
  <c r="W36" i="13"/>
  <c r="AA44" i="11"/>
  <c r="Z44" i="12"/>
  <c r="AA44" i="12" s="1"/>
  <c r="Z44" i="13"/>
  <c r="AA44" i="13" s="1"/>
  <c r="AA33" i="11"/>
  <c r="Z33" i="12"/>
  <c r="AA33" i="12" s="1"/>
  <c r="Z33" i="13"/>
  <c r="AA33" i="13" s="1"/>
  <c r="AA23" i="11"/>
  <c r="Z23" i="12"/>
  <c r="AA23" i="12" s="1"/>
  <c r="Z23" i="13"/>
  <c r="AA23" i="13" s="1"/>
  <c r="AA32" i="11"/>
  <c r="Z32" i="12"/>
  <c r="AA32" i="12" s="1"/>
  <c r="Z32" i="13"/>
  <c r="AA32" i="13" s="1"/>
  <c r="AA22" i="11"/>
  <c r="Z22" i="12"/>
  <c r="AA22" i="12" s="1"/>
  <c r="Z22" i="13"/>
  <c r="AA22" i="13" s="1"/>
  <c r="AA28" i="11"/>
  <c r="Z28" i="12"/>
  <c r="AA28" i="12" s="1"/>
  <c r="Z28" i="13"/>
  <c r="AA28" i="13" s="1"/>
  <c r="AA37" i="11"/>
  <c r="Z37" i="12"/>
  <c r="AA37" i="12" s="1"/>
  <c r="Z37" i="13"/>
  <c r="AA37" i="13" s="1"/>
  <c r="AA5" i="11"/>
  <c r="Z5" i="12"/>
  <c r="Z46" i="11"/>
  <c r="Z5" i="13"/>
  <c r="AA10" i="11"/>
  <c r="Z10" i="12"/>
  <c r="AA10" i="12" s="1"/>
  <c r="Z10" i="13"/>
  <c r="AA10" i="13" s="1"/>
  <c r="N43" i="12"/>
  <c r="N43" i="13"/>
  <c r="N27" i="12"/>
  <c r="N27" i="13"/>
  <c r="N41" i="12"/>
  <c r="N41" i="13"/>
  <c r="N16" i="12"/>
  <c r="N16" i="13"/>
  <c r="N22" i="12"/>
  <c r="N22" i="13"/>
  <c r="N19" i="12"/>
  <c r="N19" i="13"/>
  <c r="N34" i="12"/>
  <c r="N34" i="13"/>
  <c r="N36" i="12"/>
  <c r="N36" i="13"/>
  <c r="N11" i="12"/>
  <c r="N11" i="13"/>
  <c r="N13" i="12"/>
  <c r="N13" i="13"/>
  <c r="M19" i="12"/>
  <c r="M19" i="13"/>
  <c r="M41" i="12"/>
  <c r="M41" i="13"/>
  <c r="M37" i="12"/>
  <c r="M37" i="13"/>
  <c r="M26" i="12"/>
  <c r="M26" i="13"/>
  <c r="M16" i="12"/>
  <c r="M16" i="13"/>
  <c r="M44" i="12"/>
  <c r="M44" i="13"/>
  <c r="M29" i="12"/>
  <c r="M29" i="13"/>
  <c r="M17" i="12"/>
  <c r="M17" i="13"/>
  <c r="M18" i="12"/>
  <c r="M18" i="13"/>
  <c r="W23" i="13"/>
  <c r="P28" i="12"/>
  <c r="P28" i="13"/>
  <c r="P38" i="12"/>
  <c r="P38" i="13"/>
  <c r="P27" i="12"/>
  <c r="P27" i="13"/>
  <c r="P17" i="12"/>
  <c r="P17" i="13"/>
  <c r="P23" i="12"/>
  <c r="P23" i="13"/>
  <c r="P20" i="12"/>
  <c r="P20" i="13"/>
  <c r="P22" i="12"/>
  <c r="P22" i="13"/>
  <c r="P13" i="12"/>
  <c r="P13" i="13"/>
  <c r="P10" i="12"/>
  <c r="P10" i="13"/>
  <c r="S5" i="13"/>
  <c r="S46" i="13" s="1"/>
  <c r="R46" i="13"/>
  <c r="W6" i="12"/>
  <c r="W30" i="12"/>
  <c r="W22" i="12"/>
  <c r="W35" i="13"/>
  <c r="O29" i="12"/>
  <c r="O29" i="13"/>
  <c r="O19" i="12"/>
  <c r="O19" i="13"/>
  <c r="O31" i="12"/>
  <c r="O31" i="13"/>
  <c r="O15" i="12"/>
  <c r="O15" i="13"/>
  <c r="O37" i="12"/>
  <c r="O37" i="13"/>
  <c r="O24" i="12"/>
  <c r="O24" i="13"/>
  <c r="O16" i="12"/>
  <c r="O16" i="13"/>
  <c r="O5" i="12"/>
  <c r="O46" i="11"/>
  <c r="O5" i="13"/>
  <c r="O10" i="12"/>
  <c r="O10" i="13"/>
  <c r="V29" i="12"/>
  <c r="W29" i="12" s="1"/>
  <c r="V29" i="13"/>
  <c r="W29" i="13" s="1"/>
  <c r="V33" i="12"/>
  <c r="W33" i="12" s="1"/>
  <c r="V33" i="13"/>
  <c r="W33" i="13" s="1"/>
  <c r="V43" i="12"/>
  <c r="W43" i="12" s="1"/>
  <c r="V43" i="13"/>
  <c r="W43" i="13" s="1"/>
  <c r="V42" i="12"/>
  <c r="W42" i="12" s="1"/>
  <c r="V42" i="13"/>
  <c r="W42" i="13" s="1"/>
  <c r="V21" i="12"/>
  <c r="W21" i="12" s="1"/>
  <c r="V21" i="13"/>
  <c r="W21" i="13" s="1"/>
  <c r="V32" i="12"/>
  <c r="W32" i="12" s="1"/>
  <c r="V32" i="13"/>
  <c r="W32" i="13" s="1"/>
  <c r="V10" i="12"/>
  <c r="W10" i="12" s="1"/>
  <c r="V10" i="13"/>
  <c r="W10" i="13" s="1"/>
  <c r="V26" i="12"/>
  <c r="W26" i="12" s="1"/>
  <c r="V26" i="13"/>
  <c r="W26" i="13" s="1"/>
  <c r="V5" i="12"/>
  <c r="V5" i="13"/>
  <c r="V46" i="11"/>
  <c r="W14" i="11"/>
  <c r="W21" i="11"/>
  <c r="D10" i="5"/>
  <c r="T59" i="6" s="1"/>
  <c r="O45" i="8" l="1"/>
  <c r="O45" i="25" s="1"/>
  <c r="O100" i="25" s="1"/>
  <c r="O45" i="9"/>
  <c r="O5" i="9"/>
  <c r="O56" i="7"/>
  <c r="O61" i="7" s="1"/>
  <c r="O23" i="8" s="1"/>
  <c r="O23" i="25" s="1"/>
  <c r="O78" i="25" s="1"/>
  <c r="O23" i="9"/>
  <c r="O39" i="9"/>
  <c r="O15" i="8"/>
  <c r="O15" i="25" s="1"/>
  <c r="O70" i="25" s="1"/>
  <c r="O15" i="9"/>
  <c r="O22" i="9"/>
  <c r="O22" i="8"/>
  <c r="O22" i="25" s="1"/>
  <c r="O77" i="25" s="1"/>
  <c r="Z5" i="25"/>
  <c r="Z60" i="25" s="1"/>
  <c r="AA56" i="8"/>
  <c r="P48" i="9"/>
  <c r="Q36" i="9"/>
  <c r="Q34" i="9"/>
  <c r="Q16" i="9"/>
  <c r="U21" i="9"/>
  <c r="AI50" i="9"/>
  <c r="AH27" i="9"/>
  <c r="AH42" i="9"/>
  <c r="AC43" i="9"/>
  <c r="AD43" i="9" s="1"/>
  <c r="AD43" i="7"/>
  <c r="AD51" i="7"/>
  <c r="AC51" i="9"/>
  <c r="AD51" i="9" s="1"/>
  <c r="AD10" i="7"/>
  <c r="AC10" i="9"/>
  <c r="AD10" i="9" s="1"/>
  <c r="AD52" i="7"/>
  <c r="AC52" i="9"/>
  <c r="AD52" i="9" s="1"/>
  <c r="AD54" i="7"/>
  <c r="AC54" i="9"/>
  <c r="AD54" i="9" s="1"/>
  <c r="AD7" i="7"/>
  <c r="AC7" i="9"/>
  <c r="AD7" i="9" s="1"/>
  <c r="AD49" i="7"/>
  <c r="AC49" i="9"/>
  <c r="AD49" i="9" s="1"/>
  <c r="AD41" i="7"/>
  <c r="AC41" i="9"/>
  <c r="AD41" i="9" s="1"/>
  <c r="AD19" i="7"/>
  <c r="AC19" i="9"/>
  <c r="AD19" i="9" s="1"/>
  <c r="AD33" i="7"/>
  <c r="AC33" i="9"/>
  <c r="AD33" i="9" s="1"/>
  <c r="AC40" i="9"/>
  <c r="AD40" i="9" s="1"/>
  <c r="AD40" i="7"/>
  <c r="AC15" i="9"/>
  <c r="AD15" i="9" s="1"/>
  <c r="AD15" i="7"/>
  <c r="X8" i="27"/>
  <c r="O41" i="8"/>
  <c r="O41" i="25" s="1"/>
  <c r="O96" i="25" s="1"/>
  <c r="O41" i="9"/>
  <c r="O43" i="9"/>
  <c r="O43" i="8"/>
  <c r="O43" i="25" s="1"/>
  <c r="O98" i="25" s="1"/>
  <c r="O20" i="8"/>
  <c r="O20" i="25" s="1"/>
  <c r="O75" i="25" s="1"/>
  <c r="O20" i="9"/>
  <c r="S56" i="7"/>
  <c r="V46" i="7"/>
  <c r="V30" i="7"/>
  <c r="V16" i="7"/>
  <c r="V40" i="7"/>
  <c r="V19" i="7"/>
  <c r="V52" i="7"/>
  <c r="V38" i="7"/>
  <c r="V20" i="7"/>
  <c r="V48" i="7"/>
  <c r="V18" i="7"/>
  <c r="V39" i="7"/>
  <c r="V26" i="7"/>
  <c r="V53" i="7"/>
  <c r="V42" i="7"/>
  <c r="V27" i="7"/>
  <c r="V13" i="7"/>
  <c r="V37" i="7"/>
  <c r="V14" i="7"/>
  <c r="V50" i="7"/>
  <c r="V34" i="7"/>
  <c r="V17" i="7"/>
  <c r="V45" i="7"/>
  <c r="V15" i="7"/>
  <c r="V35" i="7"/>
  <c r="V23" i="7"/>
  <c r="V51" i="7"/>
  <c r="V36" i="7"/>
  <c r="V24" i="7"/>
  <c r="V47" i="7"/>
  <c r="V31" i="7"/>
  <c r="V10" i="7"/>
  <c r="V44" i="7"/>
  <c r="V28" i="7"/>
  <c r="V11" i="7"/>
  <c r="V9" i="7"/>
  <c r="V12" i="7"/>
  <c r="V32" i="7"/>
  <c r="V7" i="7"/>
  <c r="V49" i="7"/>
  <c r="V33" i="7"/>
  <c r="V21" i="7"/>
  <c r="V43" i="7"/>
  <c r="V22" i="7"/>
  <c r="V5" i="7"/>
  <c r="V41" i="7"/>
  <c r="V25" i="7"/>
  <c r="V8" i="7"/>
  <c r="V6" i="7"/>
  <c r="V54" i="7"/>
  <c r="V29" i="7"/>
  <c r="Q52" i="9"/>
  <c r="Q26" i="9"/>
  <c r="Q48" i="9"/>
  <c r="Q56" i="7"/>
  <c r="Q61" i="7" s="1"/>
  <c r="Q16" i="8" s="1"/>
  <c r="Q16" i="25" s="1"/>
  <c r="Q71" i="25" s="1"/>
  <c r="Q5" i="9"/>
  <c r="Q47" i="9"/>
  <c r="U29" i="9"/>
  <c r="U49" i="9"/>
  <c r="AI10" i="9"/>
  <c r="AI10" i="8"/>
  <c r="AE10" i="25" s="1"/>
  <c r="AE65" i="25" s="1"/>
  <c r="AI56" i="7"/>
  <c r="AI61" i="7" s="1"/>
  <c r="AI5" i="9"/>
  <c r="AI27" i="9"/>
  <c r="AI27" i="8"/>
  <c r="AE27" i="25" s="1"/>
  <c r="AE82" i="25" s="1"/>
  <c r="Y5" i="25"/>
  <c r="Y60" i="25" s="1"/>
  <c r="Z56" i="8"/>
  <c r="AH47" i="9"/>
  <c r="AH15" i="9"/>
  <c r="AD17" i="7"/>
  <c r="AC17" i="9"/>
  <c r="AD17" i="9" s="1"/>
  <c r="AD24" i="7"/>
  <c r="AC24" i="9"/>
  <c r="AD24" i="9" s="1"/>
  <c r="AC47" i="9"/>
  <c r="AD47" i="9" s="1"/>
  <c r="AD47" i="7"/>
  <c r="AC46" i="9"/>
  <c r="AD46" i="9" s="1"/>
  <c r="AD46" i="7"/>
  <c r="AC53" i="9"/>
  <c r="AD53" i="9" s="1"/>
  <c r="AD53" i="7"/>
  <c r="AC6" i="9"/>
  <c r="AD6" i="9" s="1"/>
  <c r="AD6" i="7"/>
  <c r="AD50" i="7"/>
  <c r="AC50" i="9"/>
  <c r="AD50" i="9" s="1"/>
  <c r="AC38" i="9"/>
  <c r="AD38" i="9" s="1"/>
  <c r="AD38" i="7"/>
  <c r="AC13" i="9"/>
  <c r="AD13" i="9" s="1"/>
  <c r="AD13" i="7"/>
  <c r="AD12" i="7"/>
  <c r="AC12" i="9"/>
  <c r="AD12" i="9" s="1"/>
  <c r="AD16" i="7"/>
  <c r="AC16" i="9"/>
  <c r="AD16" i="9" s="1"/>
  <c r="AD34" i="7"/>
  <c r="AC34" i="9"/>
  <c r="AD34" i="9" s="1"/>
  <c r="W5" i="9"/>
  <c r="W56" i="9" s="1"/>
  <c r="W56" i="7"/>
  <c r="W61" i="7" s="1"/>
  <c r="M40" i="7"/>
  <c r="M40" i="9" s="1"/>
  <c r="M8" i="7"/>
  <c r="M8" i="9" s="1"/>
  <c r="M52" i="7"/>
  <c r="M52" i="9" s="1"/>
  <c r="M31" i="7"/>
  <c r="M31" i="9" s="1"/>
  <c r="M50" i="7"/>
  <c r="M50" i="9" s="1"/>
  <c r="M23" i="7"/>
  <c r="M23" i="9" s="1"/>
  <c r="M53" i="7"/>
  <c r="M53" i="9" s="1"/>
  <c r="M16" i="7"/>
  <c r="M16" i="9" s="1"/>
  <c r="M25" i="7"/>
  <c r="M25" i="9" s="1"/>
  <c r="M18" i="7"/>
  <c r="M18" i="9" s="1"/>
  <c r="M5" i="7"/>
  <c r="M28" i="7"/>
  <c r="M28" i="9" s="1"/>
  <c r="M51" i="7"/>
  <c r="M51" i="9" s="1"/>
  <c r="M32" i="7"/>
  <c r="M32" i="9" s="1"/>
  <c r="M37" i="7"/>
  <c r="M37" i="9" s="1"/>
  <c r="M46" i="7"/>
  <c r="M46" i="9" s="1"/>
  <c r="M35" i="7"/>
  <c r="M35" i="9" s="1"/>
  <c r="M26" i="7"/>
  <c r="M26" i="9" s="1"/>
  <c r="M54" i="7"/>
  <c r="M54" i="9" s="1"/>
  <c r="M39" i="7"/>
  <c r="M39" i="9" s="1"/>
  <c r="M36" i="7"/>
  <c r="M36" i="9" s="1"/>
  <c r="M38" i="7"/>
  <c r="M38" i="9" s="1"/>
  <c r="M12" i="7"/>
  <c r="M12" i="9" s="1"/>
  <c r="M13" i="7"/>
  <c r="M13" i="9" s="1"/>
  <c r="M47" i="7"/>
  <c r="M47" i="9" s="1"/>
  <c r="M24" i="7"/>
  <c r="M24" i="9" s="1"/>
  <c r="M27" i="7"/>
  <c r="M27" i="9" s="1"/>
  <c r="M42" i="7"/>
  <c r="M42" i="9" s="1"/>
  <c r="M33" i="7"/>
  <c r="M33" i="9" s="1"/>
  <c r="M21" i="7"/>
  <c r="M21" i="9" s="1"/>
  <c r="M20" i="7"/>
  <c r="M20" i="9" s="1"/>
  <c r="M7" i="7"/>
  <c r="M7" i="9" s="1"/>
  <c r="M43" i="7"/>
  <c r="M43" i="9" s="1"/>
  <c r="M19" i="7"/>
  <c r="M19" i="9" s="1"/>
  <c r="M9" i="7"/>
  <c r="M9" i="9" s="1"/>
  <c r="M10" i="7"/>
  <c r="M10" i="9" s="1"/>
  <c r="M34" i="7"/>
  <c r="M34" i="9" s="1"/>
  <c r="M22" i="7"/>
  <c r="M22" i="9" s="1"/>
  <c r="M41" i="7"/>
  <c r="M41" i="9" s="1"/>
  <c r="M30" i="7"/>
  <c r="M30" i="9" s="1"/>
  <c r="M14" i="7"/>
  <c r="M14" i="9" s="1"/>
  <c r="M48" i="7"/>
  <c r="M48" i="9" s="1"/>
  <c r="M49" i="7"/>
  <c r="M49" i="9" s="1"/>
  <c r="M11" i="7"/>
  <c r="M11" i="9" s="1"/>
  <c r="M6" i="7"/>
  <c r="M6" i="9" s="1"/>
  <c r="M15" i="7"/>
  <c r="M15" i="9" s="1"/>
  <c r="M29" i="7"/>
  <c r="M29" i="9" s="1"/>
  <c r="M44" i="7"/>
  <c r="M44" i="9" s="1"/>
  <c r="M45" i="7"/>
  <c r="M45" i="9" s="1"/>
  <c r="M17" i="7"/>
  <c r="M17" i="9" s="1"/>
  <c r="O11" i="8"/>
  <c r="O11" i="25" s="1"/>
  <c r="O66" i="25" s="1"/>
  <c r="O11" i="9"/>
  <c r="O32" i="9"/>
  <c r="O32" i="8"/>
  <c r="O32" i="25" s="1"/>
  <c r="O87" i="25" s="1"/>
  <c r="O14" i="8"/>
  <c r="O14" i="25" s="1"/>
  <c r="O69" i="25" s="1"/>
  <c r="O14" i="9"/>
  <c r="O17" i="8"/>
  <c r="O17" i="9"/>
  <c r="O31" i="9"/>
  <c r="O31" i="8"/>
  <c r="O31" i="25" s="1"/>
  <c r="O86" i="25" s="1"/>
  <c r="Y57" i="7"/>
  <c r="Y63" i="6"/>
  <c r="Y57" i="8"/>
  <c r="Y61" i="8" s="1"/>
  <c r="Y57" i="9"/>
  <c r="L33" i="9"/>
  <c r="L16" i="9"/>
  <c r="L43" i="9"/>
  <c r="P56" i="7"/>
  <c r="P61" i="7" s="1"/>
  <c r="P48" i="8" s="1"/>
  <c r="P48" i="25" s="1"/>
  <c r="P103" i="25" s="1"/>
  <c r="P5" i="9"/>
  <c r="P56" i="9" s="1"/>
  <c r="R5" i="9"/>
  <c r="R56" i="9" s="1"/>
  <c r="R56" i="7"/>
  <c r="Q20" i="8"/>
  <c r="Q20" i="25" s="1"/>
  <c r="Q75" i="25" s="1"/>
  <c r="Q20" i="9"/>
  <c r="Q10" i="8"/>
  <c r="Q10" i="9"/>
  <c r="Q33" i="9"/>
  <c r="Q33" i="8"/>
  <c r="Q12" i="8"/>
  <c r="Q12" i="9"/>
  <c r="U5" i="9"/>
  <c r="U56" i="7"/>
  <c r="U61" i="7" s="1"/>
  <c r="AI51" i="8"/>
  <c r="AI51" i="9"/>
  <c r="AD39" i="7"/>
  <c r="AC39" i="9"/>
  <c r="AD39" i="9" s="1"/>
  <c r="AD29" i="7"/>
  <c r="AC29" i="9"/>
  <c r="AD29" i="9" s="1"/>
  <c r="AD35" i="7"/>
  <c r="AC35" i="9"/>
  <c r="AD35" i="9" s="1"/>
  <c r="AD21" i="7"/>
  <c r="AC21" i="9"/>
  <c r="AD21" i="9" s="1"/>
  <c r="AD48" i="7"/>
  <c r="AC48" i="9"/>
  <c r="AD48" i="9" s="1"/>
  <c r="AD11" i="7"/>
  <c r="AC11" i="9"/>
  <c r="AD11" i="9" s="1"/>
  <c r="AD18" i="7"/>
  <c r="AC18" i="9"/>
  <c r="AD18" i="9" s="1"/>
  <c r="AD30" i="7"/>
  <c r="AC30" i="9"/>
  <c r="AD30" i="9" s="1"/>
  <c r="AD22" i="7"/>
  <c r="AC22" i="9"/>
  <c r="AD22" i="9" s="1"/>
  <c r="AC9" i="9"/>
  <c r="AD9" i="9" s="1"/>
  <c r="AD9" i="7"/>
  <c r="AD45" i="7"/>
  <c r="AC45" i="9"/>
  <c r="AD45" i="9" s="1"/>
  <c r="AD42" i="7"/>
  <c r="AC42" i="9"/>
  <c r="AD42" i="9" s="1"/>
  <c r="AD32" i="7"/>
  <c r="AC32" i="9"/>
  <c r="AD32" i="9" s="1"/>
  <c r="X6" i="27"/>
  <c r="I9" i="28"/>
  <c r="I15" i="28" s="1"/>
  <c r="O49" i="8"/>
  <c r="O49" i="25" s="1"/>
  <c r="O104" i="25" s="1"/>
  <c r="O36" i="8"/>
  <c r="O36" i="9"/>
  <c r="O21" i="9"/>
  <c r="O21" i="8"/>
  <c r="O50" i="9"/>
  <c r="O50" i="8"/>
  <c r="O50" i="25" s="1"/>
  <c r="O105" i="25" s="1"/>
  <c r="O54" i="8"/>
  <c r="O54" i="25" s="1"/>
  <c r="O109" i="25" s="1"/>
  <c r="O54" i="9"/>
  <c r="O44" i="8"/>
  <c r="O44" i="9"/>
  <c r="X5" i="9"/>
  <c r="X56" i="9" s="1"/>
  <c r="X56" i="7"/>
  <c r="X61" i="7" s="1"/>
  <c r="X28" i="9"/>
  <c r="V57" i="8"/>
  <c r="V61" i="8" s="1"/>
  <c r="V57" i="9"/>
  <c r="V57" i="7"/>
  <c r="L56" i="7"/>
  <c r="L61" i="7" s="1"/>
  <c r="L16" i="8" s="1"/>
  <c r="L16" i="25" s="1"/>
  <c r="L71" i="25" s="1"/>
  <c r="L5" i="9"/>
  <c r="L56" i="9" s="1"/>
  <c r="Q22" i="8"/>
  <c r="Q22" i="25" s="1"/>
  <c r="Q77" i="25" s="1"/>
  <c r="Q22" i="9"/>
  <c r="Q11" i="9"/>
  <c r="Q11" i="8"/>
  <c r="Q11" i="25" s="1"/>
  <c r="Q66" i="25" s="1"/>
  <c r="U31" i="9"/>
  <c r="U17" i="9"/>
  <c r="U17" i="8"/>
  <c r="T17" i="25" s="1"/>
  <c r="T72" i="25" s="1"/>
  <c r="AH22" i="9"/>
  <c r="AH56" i="7"/>
  <c r="AH61" i="7" s="1"/>
  <c r="AH15" i="8" s="1"/>
  <c r="AD15" i="25" s="1"/>
  <c r="AD70" i="25" s="1"/>
  <c r="AH5" i="9"/>
  <c r="AH52" i="9"/>
  <c r="AH41" i="8"/>
  <c r="AH41" i="9"/>
  <c r="AD31" i="7"/>
  <c r="AC31" i="9"/>
  <c r="AD31" i="9" s="1"/>
  <c r="AC26" i="9"/>
  <c r="AD26" i="9" s="1"/>
  <c r="AD26" i="7"/>
  <c r="AD36" i="7"/>
  <c r="AC36" i="9"/>
  <c r="AD36" i="9" s="1"/>
  <c r="AD20" i="7"/>
  <c r="AC20" i="9"/>
  <c r="AD20" i="9" s="1"/>
  <c r="AC25" i="9"/>
  <c r="AD25" i="9" s="1"/>
  <c r="AD25" i="7"/>
  <c r="AC8" i="9"/>
  <c r="AD8" i="9" s="1"/>
  <c r="AD8" i="7"/>
  <c r="AC28" i="9"/>
  <c r="AD28" i="9" s="1"/>
  <c r="AD28" i="7"/>
  <c r="AC27" i="9"/>
  <c r="AD27" i="9" s="1"/>
  <c r="AD27" i="7"/>
  <c r="AC14" i="9"/>
  <c r="AD14" i="9" s="1"/>
  <c r="AD14" i="7"/>
  <c r="AD23" i="7"/>
  <c r="AC23" i="9"/>
  <c r="AD23" i="9" s="1"/>
  <c r="AC44" i="9"/>
  <c r="AD44" i="9" s="1"/>
  <c r="AD44" i="7"/>
  <c r="AD5" i="7"/>
  <c r="AC5" i="9"/>
  <c r="AC56" i="7"/>
  <c r="AC61" i="7" s="1"/>
  <c r="AC9" i="8" s="1"/>
  <c r="AC37" i="9"/>
  <c r="AD37" i="9" s="1"/>
  <c r="AD37" i="7"/>
  <c r="X10" i="27"/>
  <c r="O16" i="26"/>
  <c r="O61" i="26" s="1"/>
  <c r="O37" i="26"/>
  <c r="O82" i="26" s="1"/>
  <c r="O31" i="26"/>
  <c r="O76" i="26" s="1"/>
  <c r="O29" i="26"/>
  <c r="O74" i="26" s="1"/>
  <c r="P11" i="26"/>
  <c r="P56" i="26" s="1"/>
  <c r="P33" i="26"/>
  <c r="P78" i="26" s="1"/>
  <c r="P26" i="26"/>
  <c r="P71" i="26" s="1"/>
  <c r="P30" i="26"/>
  <c r="P75" i="26" s="1"/>
  <c r="P42" i="26"/>
  <c r="P87" i="26" s="1"/>
  <c r="T5" i="26"/>
  <c r="T50" i="26" s="1"/>
  <c r="N13" i="26"/>
  <c r="N58" i="26" s="1"/>
  <c r="N36" i="26"/>
  <c r="N81" i="26" s="1"/>
  <c r="N19" i="26"/>
  <c r="N64" i="26" s="1"/>
  <c r="N16" i="26"/>
  <c r="N61" i="26" s="1"/>
  <c r="N27" i="26"/>
  <c r="N72" i="26" s="1"/>
  <c r="P19" i="26"/>
  <c r="P64" i="26" s="1"/>
  <c r="P39" i="26"/>
  <c r="P84" i="26" s="1"/>
  <c r="P43" i="26"/>
  <c r="P88" i="26" s="1"/>
  <c r="P31" i="26"/>
  <c r="P76" i="26" s="1"/>
  <c r="M12" i="26"/>
  <c r="M57" i="26" s="1"/>
  <c r="M14" i="26"/>
  <c r="M59" i="26" s="1"/>
  <c r="M33" i="26"/>
  <c r="M78" i="26" s="1"/>
  <c r="M35" i="26"/>
  <c r="M80" i="26" s="1"/>
  <c r="M25" i="26"/>
  <c r="M70" i="26" s="1"/>
  <c r="T12" i="26"/>
  <c r="T57" i="26" s="1"/>
  <c r="T38" i="26"/>
  <c r="T83" i="26" s="1"/>
  <c r="O6" i="26"/>
  <c r="O51" i="26" s="1"/>
  <c r="O23" i="26"/>
  <c r="O68" i="26" s="1"/>
  <c r="O28" i="26"/>
  <c r="O73" i="26" s="1"/>
  <c r="O34" i="26"/>
  <c r="O79" i="26" s="1"/>
  <c r="O40" i="26"/>
  <c r="O85" i="26" s="1"/>
  <c r="H11" i="28"/>
  <c r="L50" i="11"/>
  <c r="O11" i="26"/>
  <c r="O56" i="26" s="1"/>
  <c r="O35" i="26"/>
  <c r="O80" i="26" s="1"/>
  <c r="O21" i="26"/>
  <c r="O66" i="26" s="1"/>
  <c r="O42" i="26"/>
  <c r="O87" i="26" s="1"/>
  <c r="O14" i="26"/>
  <c r="O59" i="26" s="1"/>
  <c r="N5" i="26"/>
  <c r="N50" i="26" s="1"/>
  <c r="N33" i="26"/>
  <c r="N78" i="26" s="1"/>
  <c r="N37" i="26"/>
  <c r="N82" i="26" s="1"/>
  <c r="N25" i="26"/>
  <c r="N70" i="26" s="1"/>
  <c r="N32" i="26"/>
  <c r="N77" i="26" s="1"/>
  <c r="I11" i="28"/>
  <c r="P10" i="26"/>
  <c r="P55" i="26" s="1"/>
  <c r="P22" i="26"/>
  <c r="P67" i="26" s="1"/>
  <c r="P23" i="26"/>
  <c r="P68" i="26" s="1"/>
  <c r="P27" i="26"/>
  <c r="P72" i="26" s="1"/>
  <c r="P28" i="26"/>
  <c r="P73" i="26" s="1"/>
  <c r="M18" i="26"/>
  <c r="M63" i="26" s="1"/>
  <c r="M29" i="26"/>
  <c r="M74" i="26" s="1"/>
  <c r="M16" i="26"/>
  <c r="M61" i="26" s="1"/>
  <c r="M37" i="26"/>
  <c r="M82" i="26" s="1"/>
  <c r="M19" i="26"/>
  <c r="M64" i="26" s="1"/>
  <c r="H7" i="28"/>
  <c r="H13" i="28" s="1"/>
  <c r="O24" i="26"/>
  <c r="O69" i="26" s="1"/>
  <c r="P20" i="26"/>
  <c r="P65" i="26" s="1"/>
  <c r="I7" i="28"/>
  <c r="I13" i="28" s="1"/>
  <c r="H9" i="28"/>
  <c r="H15" i="28" s="1"/>
  <c r="P17" i="26"/>
  <c r="P62" i="26" s="1"/>
  <c r="N34" i="26"/>
  <c r="N79" i="26" s="1"/>
  <c r="N41" i="26"/>
  <c r="N86" i="26" s="1"/>
  <c r="N12" i="26"/>
  <c r="N57" i="26" s="1"/>
  <c r="N35" i="26"/>
  <c r="N80" i="26" s="1"/>
  <c r="N29" i="26"/>
  <c r="N74" i="26" s="1"/>
  <c r="W38" i="12"/>
  <c r="P5" i="26"/>
  <c r="P50" i="26" s="1"/>
  <c r="P21" i="26"/>
  <c r="P66" i="26" s="1"/>
  <c r="P24" i="26"/>
  <c r="P69" i="26" s="1"/>
  <c r="P29" i="26"/>
  <c r="P74" i="26" s="1"/>
  <c r="M13" i="26"/>
  <c r="M58" i="26" s="1"/>
  <c r="M34" i="26"/>
  <c r="M79" i="26" s="1"/>
  <c r="M22" i="26"/>
  <c r="M67" i="26" s="1"/>
  <c r="M42" i="26"/>
  <c r="M87" i="26" s="1"/>
  <c r="M39" i="26"/>
  <c r="M84" i="26" s="1"/>
  <c r="T37" i="26"/>
  <c r="T82" i="26" s="1"/>
  <c r="T16" i="26"/>
  <c r="T61" i="26" s="1"/>
  <c r="T20" i="26"/>
  <c r="T65" i="26" s="1"/>
  <c r="O18" i="26"/>
  <c r="O63" i="26" s="1"/>
  <c r="O38" i="26"/>
  <c r="O83" i="26" s="1"/>
  <c r="O26" i="26"/>
  <c r="O71" i="26" s="1"/>
  <c r="O41" i="26"/>
  <c r="O86" i="26" s="1"/>
  <c r="O17" i="26"/>
  <c r="O62" i="26" s="1"/>
  <c r="S46" i="12"/>
  <c r="O13" i="26"/>
  <c r="O58" i="26" s="1"/>
  <c r="O43" i="26"/>
  <c r="O88" i="26" s="1"/>
  <c r="O30" i="26"/>
  <c r="O75" i="26" s="1"/>
  <c r="O36" i="26"/>
  <c r="O81" i="26" s="1"/>
  <c r="P18" i="26"/>
  <c r="P63" i="26" s="1"/>
  <c r="P36" i="26"/>
  <c r="P81" i="26" s="1"/>
  <c r="P16" i="26"/>
  <c r="P61" i="26" s="1"/>
  <c r="P41" i="26"/>
  <c r="P86" i="26" s="1"/>
  <c r="P34" i="26"/>
  <c r="P79" i="26" s="1"/>
  <c r="N20" i="26"/>
  <c r="N65" i="26" s="1"/>
  <c r="N17" i="26"/>
  <c r="N62" i="26" s="1"/>
  <c r="N44" i="26"/>
  <c r="N89" i="26" s="1"/>
  <c r="N15" i="26"/>
  <c r="N60" i="26" s="1"/>
  <c r="G7" i="28"/>
  <c r="G13" i="28" s="1"/>
  <c r="O15" i="26"/>
  <c r="O60" i="26" s="1"/>
  <c r="O19" i="26"/>
  <c r="O64" i="26" s="1"/>
  <c r="P13" i="26"/>
  <c r="P58" i="26" s="1"/>
  <c r="P38" i="26"/>
  <c r="P83" i="26" s="1"/>
  <c r="N11" i="26"/>
  <c r="N56" i="26" s="1"/>
  <c r="N22" i="26"/>
  <c r="N67" i="26" s="1"/>
  <c r="N43" i="26"/>
  <c r="N88" i="26" s="1"/>
  <c r="N14" i="26"/>
  <c r="N59" i="26" s="1"/>
  <c r="N23" i="26"/>
  <c r="N68" i="26" s="1"/>
  <c r="N10" i="26"/>
  <c r="N55" i="26" s="1"/>
  <c r="N24" i="26"/>
  <c r="N69" i="26" s="1"/>
  <c r="N38" i="26"/>
  <c r="N83" i="26" s="1"/>
  <c r="N26" i="26"/>
  <c r="N71" i="26" s="1"/>
  <c r="G9" i="28"/>
  <c r="G14" i="28" s="1"/>
  <c r="O10" i="26"/>
  <c r="O55" i="26" s="1"/>
  <c r="M17" i="26"/>
  <c r="M62" i="26" s="1"/>
  <c r="M44" i="26"/>
  <c r="M89" i="26" s="1"/>
  <c r="M26" i="26"/>
  <c r="M71" i="26" s="1"/>
  <c r="M41" i="26"/>
  <c r="M86" i="26" s="1"/>
  <c r="T22" i="26"/>
  <c r="T67" i="26" s="1"/>
  <c r="O12" i="26"/>
  <c r="O57" i="26" s="1"/>
  <c r="O33" i="26"/>
  <c r="O78" i="26" s="1"/>
  <c r="O27" i="26"/>
  <c r="O72" i="26" s="1"/>
  <c r="O32" i="26"/>
  <c r="O77" i="26" s="1"/>
  <c r="O39" i="26"/>
  <c r="O84" i="26" s="1"/>
  <c r="W37" i="12"/>
  <c r="W12" i="12"/>
  <c r="P6" i="26"/>
  <c r="P51" i="26" s="1"/>
  <c r="P35" i="26"/>
  <c r="P80" i="26" s="1"/>
  <c r="P40" i="26"/>
  <c r="P85" i="26" s="1"/>
  <c r="P44" i="26"/>
  <c r="P89" i="26" s="1"/>
  <c r="P15" i="26"/>
  <c r="P60" i="26" s="1"/>
  <c r="M6" i="26"/>
  <c r="M51" i="26" s="1"/>
  <c r="M23" i="26"/>
  <c r="M68" i="26" s="1"/>
  <c r="M38" i="26"/>
  <c r="M83" i="26" s="1"/>
  <c r="M20" i="26"/>
  <c r="M65" i="26" s="1"/>
  <c r="M40" i="26"/>
  <c r="M85" i="26" s="1"/>
  <c r="N6" i="26"/>
  <c r="N51" i="26" s="1"/>
  <c r="N40" i="26"/>
  <c r="N85" i="26" s="1"/>
  <c r="N28" i="26"/>
  <c r="N73" i="26" s="1"/>
  <c r="N42" i="26"/>
  <c r="N87" i="26" s="1"/>
  <c r="T30" i="26"/>
  <c r="T75" i="26" s="1"/>
  <c r="M5" i="26"/>
  <c r="M50" i="26" s="1"/>
  <c r="M28" i="26"/>
  <c r="M73" i="26" s="1"/>
  <c r="M27" i="26"/>
  <c r="M72" i="26" s="1"/>
  <c r="M21" i="26"/>
  <c r="M66" i="26" s="1"/>
  <c r="M24" i="26"/>
  <c r="M69" i="26" s="1"/>
  <c r="V5" i="26"/>
  <c r="V50" i="26" s="1"/>
  <c r="O22" i="26"/>
  <c r="O67" i="26" s="1"/>
  <c r="O44" i="26"/>
  <c r="O89" i="26" s="1"/>
  <c r="O25" i="26"/>
  <c r="O70" i="26" s="1"/>
  <c r="O20" i="26"/>
  <c r="O65" i="26" s="1"/>
  <c r="P12" i="26"/>
  <c r="P57" i="26" s="1"/>
  <c r="P32" i="26"/>
  <c r="P77" i="26" s="1"/>
  <c r="P37" i="26"/>
  <c r="P82" i="26" s="1"/>
  <c r="P25" i="26"/>
  <c r="P70" i="26" s="1"/>
  <c r="P14" i="26"/>
  <c r="P59" i="26" s="1"/>
  <c r="M11" i="26"/>
  <c r="M56" i="26" s="1"/>
  <c r="M43" i="26"/>
  <c r="M88" i="26" s="1"/>
  <c r="M31" i="26"/>
  <c r="M76" i="26" s="1"/>
  <c r="M36" i="26"/>
  <c r="M81" i="26" s="1"/>
  <c r="N18" i="26"/>
  <c r="N63" i="26" s="1"/>
  <c r="N31" i="26"/>
  <c r="N76" i="26" s="1"/>
  <c r="N21" i="26"/>
  <c r="N66" i="26" s="1"/>
  <c r="N39" i="26"/>
  <c r="N84" i="26" s="1"/>
  <c r="N30" i="26"/>
  <c r="N75" i="26" s="1"/>
  <c r="T6" i="26"/>
  <c r="T51" i="26" s="1"/>
  <c r="M10" i="26"/>
  <c r="M55" i="26" s="1"/>
  <c r="M15" i="26"/>
  <c r="M60" i="26" s="1"/>
  <c r="M32" i="26"/>
  <c r="M77" i="26" s="1"/>
  <c r="M30" i="26"/>
  <c r="M75" i="26" s="1"/>
  <c r="D11" i="28"/>
  <c r="O46" i="12"/>
  <c r="T18" i="26"/>
  <c r="T63" i="26" s="1"/>
  <c r="T19" i="26"/>
  <c r="T64" i="26" s="1"/>
  <c r="T26" i="26"/>
  <c r="T71" i="26" s="1"/>
  <c r="T21" i="26"/>
  <c r="T66" i="26" s="1"/>
  <c r="T29" i="26"/>
  <c r="T74" i="26" s="1"/>
  <c r="T24" i="26"/>
  <c r="T69" i="26" s="1"/>
  <c r="T40" i="26"/>
  <c r="T85" i="26" s="1"/>
  <c r="V25" i="26"/>
  <c r="V70" i="26" s="1"/>
  <c r="V11" i="26"/>
  <c r="V56" i="26" s="1"/>
  <c r="V41" i="26"/>
  <c r="V86" i="26" s="1"/>
  <c r="V24" i="26"/>
  <c r="V69" i="26" s="1"/>
  <c r="V37" i="26"/>
  <c r="V82" i="26" s="1"/>
  <c r="V23" i="26"/>
  <c r="V68" i="26" s="1"/>
  <c r="V17" i="26"/>
  <c r="V62" i="26" s="1"/>
  <c r="V43" i="26"/>
  <c r="V88" i="26" s="1"/>
  <c r="V15" i="26"/>
  <c r="V60" i="26" s="1"/>
  <c r="V27" i="26"/>
  <c r="V72" i="26" s="1"/>
  <c r="W20" i="12"/>
  <c r="T27" i="26"/>
  <c r="T72" i="26" s="1"/>
  <c r="T35" i="26"/>
  <c r="T80" i="26" s="1"/>
  <c r="T15" i="26"/>
  <c r="T60" i="26" s="1"/>
  <c r="T42" i="26"/>
  <c r="T87" i="26" s="1"/>
  <c r="T13" i="26"/>
  <c r="T58" i="26" s="1"/>
  <c r="T41" i="26"/>
  <c r="T86" i="26" s="1"/>
  <c r="T34" i="26"/>
  <c r="T79" i="26" s="1"/>
  <c r="G11" i="28"/>
  <c r="V20" i="26"/>
  <c r="V65" i="26" s="1"/>
  <c r="V13" i="26"/>
  <c r="V58" i="26" s="1"/>
  <c r="V39" i="26"/>
  <c r="V84" i="26" s="1"/>
  <c r="V28" i="26"/>
  <c r="V73" i="26" s="1"/>
  <c r="V33" i="26"/>
  <c r="V78" i="26" s="1"/>
  <c r="V18" i="26"/>
  <c r="V63" i="26" s="1"/>
  <c r="V35" i="26"/>
  <c r="V80" i="26" s="1"/>
  <c r="V30" i="26"/>
  <c r="V75" i="26" s="1"/>
  <c r="V38" i="26"/>
  <c r="V83" i="26" s="1"/>
  <c r="T39" i="26"/>
  <c r="T84" i="26" s="1"/>
  <c r="T28" i="26"/>
  <c r="T73" i="26" s="1"/>
  <c r="T10" i="26"/>
  <c r="T55" i="26" s="1"/>
  <c r="T43" i="26"/>
  <c r="T88" i="26" s="1"/>
  <c r="O5" i="26"/>
  <c r="O50" i="26" s="1"/>
  <c r="T17" i="26"/>
  <c r="T62" i="26" s="1"/>
  <c r="T14" i="26"/>
  <c r="T59" i="26" s="1"/>
  <c r="T44" i="26"/>
  <c r="T89" i="26" s="1"/>
  <c r="V12" i="26"/>
  <c r="V57" i="26" s="1"/>
  <c r="V21" i="26"/>
  <c r="V66" i="26" s="1"/>
  <c r="V26" i="26"/>
  <c r="V71" i="26" s="1"/>
  <c r="V10" i="26"/>
  <c r="V55" i="26" s="1"/>
  <c r="V22" i="26"/>
  <c r="V67" i="26" s="1"/>
  <c r="V44" i="26"/>
  <c r="V89" i="26" s="1"/>
  <c r="V6" i="26"/>
  <c r="V51" i="26" s="1"/>
  <c r="V42" i="26"/>
  <c r="V87" i="26" s="1"/>
  <c r="V16" i="26"/>
  <c r="V61" i="26" s="1"/>
  <c r="V19" i="26"/>
  <c r="V64" i="26" s="1"/>
  <c r="T31" i="26"/>
  <c r="T76" i="26" s="1"/>
  <c r="T11" i="26"/>
  <c r="T56" i="26" s="1"/>
  <c r="T36" i="26"/>
  <c r="T81" i="26" s="1"/>
  <c r="T23" i="26"/>
  <c r="T68" i="26" s="1"/>
  <c r="T32" i="26"/>
  <c r="T77" i="26" s="1"/>
  <c r="T33" i="26"/>
  <c r="T78" i="26" s="1"/>
  <c r="T25" i="26"/>
  <c r="T70" i="26" s="1"/>
  <c r="V36" i="26"/>
  <c r="V81" i="26" s="1"/>
  <c r="V31" i="26"/>
  <c r="V76" i="26" s="1"/>
  <c r="V40" i="26"/>
  <c r="V85" i="26" s="1"/>
  <c r="V32" i="26"/>
  <c r="V77" i="26" s="1"/>
  <c r="V14" i="26"/>
  <c r="V59" i="26" s="1"/>
  <c r="V34" i="26"/>
  <c r="V79" i="26" s="1"/>
  <c r="V29" i="26"/>
  <c r="V74" i="26" s="1"/>
  <c r="W46" i="11"/>
  <c r="V46" i="12"/>
  <c r="L18" i="11"/>
  <c r="L13" i="11"/>
  <c r="L12" i="11"/>
  <c r="L11" i="11"/>
  <c r="L10" i="11"/>
  <c r="L6" i="11"/>
  <c r="L5" i="11"/>
  <c r="L15" i="11"/>
  <c r="L32" i="11"/>
  <c r="L25" i="11"/>
  <c r="L30" i="11"/>
  <c r="L27" i="11"/>
  <c r="L43" i="11"/>
  <c r="L20" i="11"/>
  <c r="L36" i="11"/>
  <c r="L29" i="11"/>
  <c r="L34" i="11"/>
  <c r="L14" i="11"/>
  <c r="L31" i="11"/>
  <c r="L16" i="11"/>
  <c r="L17" i="11"/>
  <c r="L24" i="11"/>
  <c r="L40" i="11"/>
  <c r="L33" i="11"/>
  <c r="L22" i="11"/>
  <c r="L19" i="11"/>
  <c r="L35" i="11"/>
  <c r="L37" i="11"/>
  <c r="L38" i="11"/>
  <c r="L26" i="11"/>
  <c r="L21" i="11"/>
  <c r="L23" i="11"/>
  <c r="L28" i="11"/>
  <c r="L39" i="11"/>
  <c r="L44" i="11"/>
  <c r="L41" i="11"/>
  <c r="L42" i="11"/>
  <c r="AA46" i="11"/>
  <c r="W5" i="12"/>
  <c r="P46" i="12"/>
  <c r="N58" i="9"/>
  <c r="N58" i="8"/>
  <c r="N58" i="7"/>
  <c r="T57" i="8"/>
  <c r="T57" i="9"/>
  <c r="T57" i="7"/>
  <c r="AA5" i="13"/>
  <c r="AA46" i="13" s="1"/>
  <c r="Z46" i="13"/>
  <c r="L7" i="11"/>
  <c r="L9" i="11"/>
  <c r="L8" i="11"/>
  <c r="L50" i="12"/>
  <c r="N46" i="13"/>
  <c r="E35" i="5"/>
  <c r="L48" i="13"/>
  <c r="L48" i="12"/>
  <c r="L48" i="11"/>
  <c r="L48" i="10"/>
  <c r="N59" i="9"/>
  <c r="N59" i="8"/>
  <c r="N59" i="7"/>
  <c r="V46" i="13"/>
  <c r="O46" i="13"/>
  <c r="W5" i="13"/>
  <c r="W46" i="13" s="1"/>
  <c r="M46" i="13"/>
  <c r="N46" i="12"/>
  <c r="F35" i="5"/>
  <c r="L49" i="13"/>
  <c r="L49" i="12"/>
  <c r="L49" i="10"/>
  <c r="L49" i="11"/>
  <c r="AA5" i="12"/>
  <c r="AA46" i="12" s="1"/>
  <c r="Z46" i="12"/>
  <c r="P46" i="13"/>
  <c r="M46" i="12"/>
  <c r="AB47" i="13"/>
  <c r="AB47" i="12"/>
  <c r="X51" i="12" s="1"/>
  <c r="AB47" i="11"/>
  <c r="AB47" i="10"/>
  <c r="E10" i="5"/>
  <c r="N60" i="6"/>
  <c r="F10" i="5"/>
  <c r="N61" i="6"/>
  <c r="D47" i="5"/>
  <c r="D29" i="5"/>
  <c r="F29" i="5"/>
  <c r="I14" i="28" l="1"/>
  <c r="AD9" i="8"/>
  <c r="AA9" i="25"/>
  <c r="AA64" i="25" s="1"/>
  <c r="C9" i="28"/>
  <c r="C15" i="28" s="1"/>
  <c r="AD56" i="7"/>
  <c r="AC31" i="8"/>
  <c r="AH52" i="8"/>
  <c r="AD52" i="25" s="1"/>
  <c r="AD107" i="25" s="1"/>
  <c r="AH22" i="8"/>
  <c r="AD22" i="25" s="1"/>
  <c r="AD77" i="25" s="1"/>
  <c r="X37" i="8"/>
  <c r="W37" i="25" s="1"/>
  <c r="W92" i="25" s="1"/>
  <c r="X32" i="8"/>
  <c r="W32" i="25" s="1"/>
  <c r="W87" i="25" s="1"/>
  <c r="X53" i="8"/>
  <c r="W53" i="25" s="1"/>
  <c r="W108" i="25" s="1"/>
  <c r="X51" i="8"/>
  <c r="W51" i="25" s="1"/>
  <c r="W106" i="25" s="1"/>
  <c r="X48" i="8"/>
  <c r="W48" i="25" s="1"/>
  <c r="W103" i="25" s="1"/>
  <c r="X31" i="8"/>
  <c r="W31" i="25" s="1"/>
  <c r="W86" i="25" s="1"/>
  <c r="X27" i="8"/>
  <c r="W27" i="25" s="1"/>
  <c r="W82" i="25" s="1"/>
  <c r="X42" i="8"/>
  <c r="W42" i="25" s="1"/>
  <c r="W97" i="25" s="1"/>
  <c r="X36" i="8"/>
  <c r="W36" i="25" s="1"/>
  <c r="W91" i="25" s="1"/>
  <c r="X50" i="8"/>
  <c r="W50" i="25" s="1"/>
  <c r="W105" i="25" s="1"/>
  <c r="X40" i="8"/>
  <c r="W40" i="25" s="1"/>
  <c r="W95" i="25" s="1"/>
  <c r="X21" i="8"/>
  <c r="W21" i="25" s="1"/>
  <c r="W76" i="25" s="1"/>
  <c r="X34" i="8"/>
  <c r="W34" i="25" s="1"/>
  <c r="W89" i="25" s="1"/>
  <c r="X8" i="8"/>
  <c r="W8" i="25" s="1"/>
  <c r="W63" i="25" s="1"/>
  <c r="X43" i="8"/>
  <c r="W43" i="25" s="1"/>
  <c r="W98" i="25" s="1"/>
  <c r="X52" i="8"/>
  <c r="W52" i="25" s="1"/>
  <c r="W107" i="25" s="1"/>
  <c r="X24" i="8"/>
  <c r="W24" i="25" s="1"/>
  <c r="W79" i="25" s="1"/>
  <c r="X18" i="8"/>
  <c r="W18" i="25" s="1"/>
  <c r="W73" i="25" s="1"/>
  <c r="X5" i="8"/>
  <c r="X54" i="8"/>
  <c r="W54" i="25" s="1"/>
  <c r="W109" i="25" s="1"/>
  <c r="X14" i="8"/>
  <c r="W14" i="25" s="1"/>
  <c r="W69" i="25" s="1"/>
  <c r="X41" i="8"/>
  <c r="W41" i="25" s="1"/>
  <c r="W96" i="25" s="1"/>
  <c r="X13" i="8"/>
  <c r="W13" i="25" s="1"/>
  <c r="W68" i="25" s="1"/>
  <c r="X38" i="8"/>
  <c r="W38" i="25" s="1"/>
  <c r="W93" i="25" s="1"/>
  <c r="X7" i="8"/>
  <c r="W7" i="25" s="1"/>
  <c r="W62" i="25" s="1"/>
  <c r="X35" i="8"/>
  <c r="W35" i="25" s="1"/>
  <c r="W90" i="25" s="1"/>
  <c r="X47" i="8"/>
  <c r="W47" i="25" s="1"/>
  <c r="W102" i="25" s="1"/>
  <c r="X17" i="8"/>
  <c r="W17" i="25" s="1"/>
  <c r="W72" i="25" s="1"/>
  <c r="X30" i="8"/>
  <c r="W30" i="25" s="1"/>
  <c r="W85" i="25" s="1"/>
  <c r="X20" i="8"/>
  <c r="W20" i="25" s="1"/>
  <c r="W75" i="25" s="1"/>
  <c r="X10" i="8"/>
  <c r="W10" i="25" s="1"/>
  <c r="W65" i="25" s="1"/>
  <c r="X46" i="8"/>
  <c r="W46" i="25" s="1"/>
  <c r="W101" i="25" s="1"/>
  <c r="X25" i="8"/>
  <c r="W25" i="25" s="1"/>
  <c r="W80" i="25" s="1"/>
  <c r="X19" i="8"/>
  <c r="W19" i="25" s="1"/>
  <c r="W74" i="25" s="1"/>
  <c r="X45" i="8"/>
  <c r="W45" i="25" s="1"/>
  <c r="W100" i="25" s="1"/>
  <c r="X22" i="8"/>
  <c r="W22" i="25" s="1"/>
  <c r="W77" i="25" s="1"/>
  <c r="X39" i="8"/>
  <c r="W39" i="25" s="1"/>
  <c r="W94" i="25" s="1"/>
  <c r="X11" i="8"/>
  <c r="W11" i="25" s="1"/>
  <c r="W66" i="25" s="1"/>
  <c r="X9" i="8"/>
  <c r="W9" i="25" s="1"/>
  <c r="W64" i="25" s="1"/>
  <c r="X23" i="8"/>
  <c r="W23" i="25" s="1"/>
  <c r="W78" i="25" s="1"/>
  <c r="X6" i="8"/>
  <c r="W6" i="25" s="1"/>
  <c r="W61" i="25" s="1"/>
  <c r="X26" i="8"/>
  <c r="W26" i="25" s="1"/>
  <c r="W81" i="25" s="1"/>
  <c r="X44" i="8"/>
  <c r="W44" i="25" s="1"/>
  <c r="W99" i="25" s="1"/>
  <c r="X16" i="8"/>
  <c r="W16" i="25" s="1"/>
  <c r="W71" i="25" s="1"/>
  <c r="X29" i="8"/>
  <c r="W29" i="25" s="1"/>
  <c r="W84" i="25" s="1"/>
  <c r="X15" i="8"/>
  <c r="W15" i="25" s="1"/>
  <c r="W70" i="25" s="1"/>
  <c r="X12" i="8"/>
  <c r="W12" i="25" s="1"/>
  <c r="W67" i="25" s="1"/>
  <c r="X33" i="8"/>
  <c r="W33" i="25" s="1"/>
  <c r="W88" i="25" s="1"/>
  <c r="X49" i="8"/>
  <c r="W49" i="25" s="1"/>
  <c r="W104" i="25" s="1"/>
  <c r="O21" i="25"/>
  <c r="O76" i="25" s="1"/>
  <c r="U37" i="8"/>
  <c r="T37" i="25" s="1"/>
  <c r="T92" i="25" s="1"/>
  <c r="U45" i="8"/>
  <c r="T45" i="25" s="1"/>
  <c r="T100" i="25" s="1"/>
  <c r="U10" i="8"/>
  <c r="T10" i="25" s="1"/>
  <c r="T65" i="25" s="1"/>
  <c r="U20" i="8"/>
  <c r="T20" i="25" s="1"/>
  <c r="T75" i="25" s="1"/>
  <c r="U5" i="8"/>
  <c r="U30" i="8"/>
  <c r="T30" i="25" s="1"/>
  <c r="T85" i="25" s="1"/>
  <c r="U46" i="8"/>
  <c r="T46" i="25" s="1"/>
  <c r="T101" i="25" s="1"/>
  <c r="U28" i="8"/>
  <c r="T28" i="25" s="1"/>
  <c r="T83" i="25" s="1"/>
  <c r="U19" i="8"/>
  <c r="T19" i="25" s="1"/>
  <c r="T74" i="25" s="1"/>
  <c r="U36" i="8"/>
  <c r="T36" i="25" s="1"/>
  <c r="T91" i="25" s="1"/>
  <c r="U38" i="8"/>
  <c r="T38" i="25" s="1"/>
  <c r="T93" i="25" s="1"/>
  <c r="U27" i="8"/>
  <c r="T27" i="25" s="1"/>
  <c r="T82" i="25" s="1"/>
  <c r="U48" i="8"/>
  <c r="T48" i="25" s="1"/>
  <c r="T103" i="25" s="1"/>
  <c r="U14" i="8"/>
  <c r="T14" i="25" s="1"/>
  <c r="T69" i="25" s="1"/>
  <c r="U50" i="8"/>
  <c r="T50" i="25" s="1"/>
  <c r="T105" i="25" s="1"/>
  <c r="U15" i="8"/>
  <c r="T15" i="25" s="1"/>
  <c r="T70" i="25" s="1"/>
  <c r="U34" i="8"/>
  <c r="T34" i="25" s="1"/>
  <c r="T89" i="25" s="1"/>
  <c r="U16" i="8"/>
  <c r="T16" i="25" s="1"/>
  <c r="T71" i="25" s="1"/>
  <c r="U35" i="8"/>
  <c r="T35" i="25" s="1"/>
  <c r="T90" i="25" s="1"/>
  <c r="U44" i="8"/>
  <c r="T44" i="25" s="1"/>
  <c r="T99" i="25" s="1"/>
  <c r="U40" i="8"/>
  <c r="T40" i="25" s="1"/>
  <c r="T95" i="25" s="1"/>
  <c r="U18" i="8"/>
  <c r="T18" i="25" s="1"/>
  <c r="T73" i="25" s="1"/>
  <c r="U8" i="8"/>
  <c r="T8" i="25" s="1"/>
  <c r="T63" i="25" s="1"/>
  <c r="U33" i="8"/>
  <c r="T33" i="25" s="1"/>
  <c r="T88" i="25" s="1"/>
  <c r="U39" i="8"/>
  <c r="T39" i="25" s="1"/>
  <c r="T94" i="25" s="1"/>
  <c r="U22" i="8"/>
  <c r="T22" i="25" s="1"/>
  <c r="T77" i="25" s="1"/>
  <c r="U42" i="8"/>
  <c r="T42" i="25" s="1"/>
  <c r="T97" i="25" s="1"/>
  <c r="U11" i="8"/>
  <c r="T11" i="25" s="1"/>
  <c r="T66" i="25" s="1"/>
  <c r="U54" i="8"/>
  <c r="T54" i="25" s="1"/>
  <c r="T109" i="25" s="1"/>
  <c r="U23" i="8"/>
  <c r="T23" i="25" s="1"/>
  <c r="T78" i="25" s="1"/>
  <c r="U25" i="8"/>
  <c r="T25" i="25" s="1"/>
  <c r="T80" i="25" s="1"/>
  <c r="U51" i="8"/>
  <c r="T51" i="25" s="1"/>
  <c r="T106" i="25" s="1"/>
  <c r="U52" i="8"/>
  <c r="T52" i="25" s="1"/>
  <c r="T107" i="25" s="1"/>
  <c r="U47" i="8"/>
  <c r="T47" i="25" s="1"/>
  <c r="T102" i="25" s="1"/>
  <c r="U12" i="8"/>
  <c r="T12" i="25" s="1"/>
  <c r="T67" i="25" s="1"/>
  <c r="U6" i="8"/>
  <c r="T6" i="25" s="1"/>
  <c r="T61" i="25" s="1"/>
  <c r="U43" i="8"/>
  <c r="T43" i="25" s="1"/>
  <c r="T98" i="25" s="1"/>
  <c r="U26" i="8"/>
  <c r="T26" i="25" s="1"/>
  <c r="T81" i="25" s="1"/>
  <c r="U41" i="8"/>
  <c r="T41" i="25" s="1"/>
  <c r="T96" i="25" s="1"/>
  <c r="U13" i="8"/>
  <c r="T13" i="25" s="1"/>
  <c r="T68" i="25" s="1"/>
  <c r="U32" i="8"/>
  <c r="T32" i="25" s="1"/>
  <c r="T87" i="25" s="1"/>
  <c r="U9" i="8"/>
  <c r="T9" i="25" s="1"/>
  <c r="T64" i="25" s="1"/>
  <c r="U7" i="8"/>
  <c r="T7" i="25" s="1"/>
  <c r="T62" i="25" s="1"/>
  <c r="U53" i="8"/>
  <c r="T53" i="25" s="1"/>
  <c r="T108" i="25" s="1"/>
  <c r="U24" i="8"/>
  <c r="T24" i="25" s="1"/>
  <c r="T79" i="25" s="1"/>
  <c r="Q33" i="25"/>
  <c r="Q88" i="25" s="1"/>
  <c r="W7" i="8"/>
  <c r="V7" i="25" s="1"/>
  <c r="V62" i="25" s="1"/>
  <c r="W30" i="8"/>
  <c r="V30" i="25" s="1"/>
  <c r="V85" i="25" s="1"/>
  <c r="W39" i="8"/>
  <c r="V39" i="25" s="1"/>
  <c r="V94" i="25" s="1"/>
  <c r="W53" i="8"/>
  <c r="V53" i="25" s="1"/>
  <c r="V108" i="25" s="1"/>
  <c r="W43" i="8"/>
  <c r="V43" i="25" s="1"/>
  <c r="V98" i="25" s="1"/>
  <c r="W31" i="8"/>
  <c r="V31" i="25" s="1"/>
  <c r="V86" i="25" s="1"/>
  <c r="W8" i="8"/>
  <c r="V8" i="25" s="1"/>
  <c r="V63" i="25" s="1"/>
  <c r="W5" i="8"/>
  <c r="W26" i="8"/>
  <c r="V26" i="25" s="1"/>
  <c r="V81" i="25" s="1"/>
  <c r="W51" i="8"/>
  <c r="V51" i="25" s="1"/>
  <c r="V106" i="25" s="1"/>
  <c r="W22" i="8"/>
  <c r="V22" i="25" s="1"/>
  <c r="V77" i="25" s="1"/>
  <c r="W35" i="8"/>
  <c r="V35" i="25" s="1"/>
  <c r="V90" i="25" s="1"/>
  <c r="W40" i="8"/>
  <c r="V40" i="25" s="1"/>
  <c r="V95" i="25" s="1"/>
  <c r="W47" i="8"/>
  <c r="V47" i="25" s="1"/>
  <c r="V102" i="25" s="1"/>
  <c r="W42" i="8"/>
  <c r="V42" i="25" s="1"/>
  <c r="V97" i="25" s="1"/>
  <c r="W28" i="8"/>
  <c r="V28" i="25" s="1"/>
  <c r="V83" i="25" s="1"/>
  <c r="W29" i="8"/>
  <c r="V29" i="25" s="1"/>
  <c r="V84" i="25" s="1"/>
  <c r="W6" i="8"/>
  <c r="V6" i="25" s="1"/>
  <c r="V61" i="25" s="1"/>
  <c r="W21" i="8"/>
  <c r="V21" i="25" s="1"/>
  <c r="V76" i="25" s="1"/>
  <c r="W41" i="8"/>
  <c r="V41" i="25" s="1"/>
  <c r="V96" i="25" s="1"/>
  <c r="W20" i="8"/>
  <c r="V20" i="25" s="1"/>
  <c r="V75" i="25" s="1"/>
  <c r="W11" i="8"/>
  <c r="V11" i="25" s="1"/>
  <c r="V66" i="25" s="1"/>
  <c r="W15" i="8"/>
  <c r="V15" i="25" s="1"/>
  <c r="V70" i="25" s="1"/>
  <c r="W10" i="8"/>
  <c r="V10" i="25" s="1"/>
  <c r="V65" i="25" s="1"/>
  <c r="W25" i="8"/>
  <c r="V25" i="25" s="1"/>
  <c r="V80" i="25" s="1"/>
  <c r="W52" i="8"/>
  <c r="V52" i="25" s="1"/>
  <c r="V107" i="25" s="1"/>
  <c r="W48" i="8"/>
  <c r="V48" i="25" s="1"/>
  <c r="V103" i="25" s="1"/>
  <c r="W36" i="8"/>
  <c r="V36" i="25" s="1"/>
  <c r="V91" i="25" s="1"/>
  <c r="W19" i="8"/>
  <c r="V19" i="25" s="1"/>
  <c r="V74" i="25" s="1"/>
  <c r="W17" i="8"/>
  <c r="V17" i="25" s="1"/>
  <c r="V72" i="25" s="1"/>
  <c r="W32" i="8"/>
  <c r="V32" i="25" s="1"/>
  <c r="V87" i="25" s="1"/>
  <c r="W13" i="8"/>
  <c r="V13" i="25" s="1"/>
  <c r="V68" i="25" s="1"/>
  <c r="W37" i="8"/>
  <c r="V37" i="25" s="1"/>
  <c r="V92" i="25" s="1"/>
  <c r="W24" i="8"/>
  <c r="V24" i="25" s="1"/>
  <c r="V79" i="25" s="1"/>
  <c r="W44" i="8"/>
  <c r="V44" i="25" s="1"/>
  <c r="V99" i="25" s="1"/>
  <c r="W45" i="8"/>
  <c r="V45" i="25" s="1"/>
  <c r="V100" i="25" s="1"/>
  <c r="W33" i="8"/>
  <c r="V33" i="25" s="1"/>
  <c r="V88" i="25" s="1"/>
  <c r="W14" i="8"/>
  <c r="V14" i="25" s="1"/>
  <c r="V69" i="25" s="1"/>
  <c r="W18" i="8"/>
  <c r="V18" i="25" s="1"/>
  <c r="V73" i="25" s="1"/>
  <c r="W12" i="8"/>
  <c r="V12" i="25" s="1"/>
  <c r="V67" i="25" s="1"/>
  <c r="W27" i="8"/>
  <c r="V27" i="25" s="1"/>
  <c r="V82" i="25" s="1"/>
  <c r="W50" i="8"/>
  <c r="V50" i="25" s="1"/>
  <c r="V105" i="25" s="1"/>
  <c r="W38" i="8"/>
  <c r="V38" i="25" s="1"/>
  <c r="V93" i="25" s="1"/>
  <c r="W23" i="8"/>
  <c r="V23" i="25" s="1"/>
  <c r="V78" i="25" s="1"/>
  <c r="W49" i="8"/>
  <c r="V49" i="25" s="1"/>
  <c r="V104" i="25" s="1"/>
  <c r="W16" i="8"/>
  <c r="V16" i="25" s="1"/>
  <c r="V71" i="25" s="1"/>
  <c r="W46" i="8"/>
  <c r="V46" i="25" s="1"/>
  <c r="V101" i="25" s="1"/>
  <c r="W34" i="8"/>
  <c r="V34" i="25" s="1"/>
  <c r="V89" i="25" s="1"/>
  <c r="W9" i="8"/>
  <c r="V9" i="25" s="1"/>
  <c r="V64" i="25" s="1"/>
  <c r="W54" i="8"/>
  <c r="V54" i="25" s="1"/>
  <c r="V109" i="25" s="1"/>
  <c r="AC12" i="8"/>
  <c r="AI56" i="9"/>
  <c r="U49" i="8"/>
  <c r="T49" i="25" s="1"/>
  <c r="T104" i="25" s="1"/>
  <c r="Q47" i="8"/>
  <c r="Q47" i="25" s="1"/>
  <c r="Q102" i="25" s="1"/>
  <c r="Q48" i="8"/>
  <c r="Q48" i="25" s="1"/>
  <c r="Q103" i="25" s="1"/>
  <c r="V6" i="9"/>
  <c r="V5" i="9"/>
  <c r="V56" i="7"/>
  <c r="V61" i="7" s="1"/>
  <c r="V33" i="9"/>
  <c r="V12" i="9"/>
  <c r="V44" i="9"/>
  <c r="V24" i="9"/>
  <c r="V35" i="8"/>
  <c r="U35" i="25" s="1"/>
  <c r="U90" i="25" s="1"/>
  <c r="V35" i="9"/>
  <c r="V34" i="8"/>
  <c r="U34" i="25" s="1"/>
  <c r="U89" i="25" s="1"/>
  <c r="V34" i="9"/>
  <c r="V13" i="8"/>
  <c r="U13" i="25" s="1"/>
  <c r="U68" i="25" s="1"/>
  <c r="V13" i="9"/>
  <c r="V26" i="8"/>
  <c r="U26" i="25" s="1"/>
  <c r="U81" i="25" s="1"/>
  <c r="V26" i="9"/>
  <c r="V20" i="8"/>
  <c r="U20" i="25" s="1"/>
  <c r="U75" i="25" s="1"/>
  <c r="V20" i="9"/>
  <c r="V40" i="9"/>
  <c r="V40" i="8"/>
  <c r="U21" i="8"/>
  <c r="T21" i="25" s="1"/>
  <c r="T76" i="25" s="1"/>
  <c r="Q34" i="8"/>
  <c r="Q34" i="25" s="1"/>
  <c r="Q89" i="25" s="1"/>
  <c r="O39" i="8"/>
  <c r="O39" i="25" s="1"/>
  <c r="O94" i="25" s="1"/>
  <c r="O56" i="9"/>
  <c r="AH56" i="9"/>
  <c r="U56" i="9"/>
  <c r="P39" i="8"/>
  <c r="P39" i="25" s="1"/>
  <c r="P94" i="25" s="1"/>
  <c r="P20" i="8"/>
  <c r="P20" i="25" s="1"/>
  <c r="P75" i="25" s="1"/>
  <c r="P49" i="8"/>
  <c r="P49" i="25" s="1"/>
  <c r="P104" i="25" s="1"/>
  <c r="P45" i="8"/>
  <c r="P45" i="25" s="1"/>
  <c r="P100" i="25" s="1"/>
  <c r="P10" i="8"/>
  <c r="P10" i="25" s="1"/>
  <c r="P65" i="25" s="1"/>
  <c r="P11" i="8"/>
  <c r="P11" i="25" s="1"/>
  <c r="P66" i="25" s="1"/>
  <c r="P24" i="8"/>
  <c r="P8" i="8"/>
  <c r="P8" i="25" s="1"/>
  <c r="P63" i="25" s="1"/>
  <c r="P28" i="8"/>
  <c r="P28" i="25" s="1"/>
  <c r="P83" i="25" s="1"/>
  <c r="P43" i="8"/>
  <c r="P43" i="25" s="1"/>
  <c r="P98" i="25" s="1"/>
  <c r="P25" i="8"/>
  <c r="P52" i="8"/>
  <c r="P52" i="25" s="1"/>
  <c r="P107" i="25" s="1"/>
  <c r="P9" i="8"/>
  <c r="P9" i="25" s="1"/>
  <c r="P64" i="25" s="1"/>
  <c r="P32" i="8"/>
  <c r="P41" i="8"/>
  <c r="P41" i="25" s="1"/>
  <c r="P96" i="25" s="1"/>
  <c r="P14" i="8"/>
  <c r="P14" i="25" s="1"/>
  <c r="P69" i="25" s="1"/>
  <c r="P37" i="8"/>
  <c r="P37" i="25" s="1"/>
  <c r="P92" i="25" s="1"/>
  <c r="P35" i="8"/>
  <c r="P35" i="25" s="1"/>
  <c r="P90" i="25" s="1"/>
  <c r="P34" i="8"/>
  <c r="P34" i="25" s="1"/>
  <c r="P89" i="25" s="1"/>
  <c r="P46" i="8"/>
  <c r="P46" i="25" s="1"/>
  <c r="P101" i="25" s="1"/>
  <c r="P31" i="8"/>
  <c r="P12" i="8"/>
  <c r="P12" i="25" s="1"/>
  <c r="P67" i="25" s="1"/>
  <c r="P26" i="8"/>
  <c r="P54" i="8"/>
  <c r="P54" i="25" s="1"/>
  <c r="P109" i="25" s="1"/>
  <c r="P27" i="8"/>
  <c r="P50" i="8"/>
  <c r="P50" i="25" s="1"/>
  <c r="P105" i="25" s="1"/>
  <c r="P17" i="8"/>
  <c r="P17" i="25" s="1"/>
  <c r="P72" i="25" s="1"/>
  <c r="P42" i="8"/>
  <c r="P42" i="25" s="1"/>
  <c r="P97" i="25" s="1"/>
  <c r="P33" i="8"/>
  <c r="P33" i="25" s="1"/>
  <c r="P88" i="25" s="1"/>
  <c r="P18" i="8"/>
  <c r="P18" i="25" s="1"/>
  <c r="P73" i="25" s="1"/>
  <c r="P51" i="8"/>
  <c r="P51" i="25" s="1"/>
  <c r="P106" i="25" s="1"/>
  <c r="P15" i="8"/>
  <c r="P15" i="25" s="1"/>
  <c r="P70" i="25" s="1"/>
  <c r="P36" i="8"/>
  <c r="P36" i="25" s="1"/>
  <c r="P91" i="25" s="1"/>
  <c r="P30" i="8"/>
  <c r="P47" i="8"/>
  <c r="P47" i="25" s="1"/>
  <c r="P102" i="25" s="1"/>
  <c r="P44" i="8"/>
  <c r="P44" i="25" s="1"/>
  <c r="P99" i="25" s="1"/>
  <c r="P23" i="8"/>
  <c r="P23" i="25" s="1"/>
  <c r="P78" i="25" s="1"/>
  <c r="P6" i="8"/>
  <c r="P6" i="25" s="1"/>
  <c r="P61" i="25" s="1"/>
  <c r="P16" i="8"/>
  <c r="P16" i="25" s="1"/>
  <c r="P71" i="25" s="1"/>
  <c r="P21" i="8"/>
  <c r="P21" i="25" s="1"/>
  <c r="P76" i="25" s="1"/>
  <c r="P40" i="8"/>
  <c r="P40" i="25" s="1"/>
  <c r="P95" i="25" s="1"/>
  <c r="P19" i="8"/>
  <c r="P19" i="25" s="1"/>
  <c r="P74" i="25" s="1"/>
  <c r="P29" i="8"/>
  <c r="P38" i="8"/>
  <c r="P38" i="25" s="1"/>
  <c r="P93" i="25" s="1"/>
  <c r="P5" i="8"/>
  <c r="P13" i="8"/>
  <c r="P13" i="25" s="1"/>
  <c r="P68" i="25" s="1"/>
  <c r="P53" i="8"/>
  <c r="P53" i="25" s="1"/>
  <c r="P108" i="25" s="1"/>
  <c r="P7" i="8"/>
  <c r="P7" i="25" s="1"/>
  <c r="P62" i="25" s="1"/>
  <c r="P22" i="8"/>
  <c r="P22" i="25" s="1"/>
  <c r="P77" i="25" s="1"/>
  <c r="M5" i="9"/>
  <c r="M56" i="9" s="1"/>
  <c r="M56" i="7"/>
  <c r="M61" i="7" s="1"/>
  <c r="O9" i="27"/>
  <c r="O15" i="27" s="1"/>
  <c r="O7" i="27"/>
  <c r="O11" i="27"/>
  <c r="AI12" i="8"/>
  <c r="AE12" i="25" s="1"/>
  <c r="AE67" i="25" s="1"/>
  <c r="AI40" i="8"/>
  <c r="AE40" i="25" s="1"/>
  <c r="AE95" i="25" s="1"/>
  <c r="AI44" i="8"/>
  <c r="AE44" i="25" s="1"/>
  <c r="AE99" i="25" s="1"/>
  <c r="AI23" i="8"/>
  <c r="AE23" i="25" s="1"/>
  <c r="AE78" i="25" s="1"/>
  <c r="AI49" i="8"/>
  <c r="AE49" i="25" s="1"/>
  <c r="AE104" i="25" s="1"/>
  <c r="AI53" i="8"/>
  <c r="AE53" i="25" s="1"/>
  <c r="AE108" i="25" s="1"/>
  <c r="AI16" i="8"/>
  <c r="AE16" i="25" s="1"/>
  <c r="AE71" i="25" s="1"/>
  <c r="AI25" i="8"/>
  <c r="AE25" i="25" s="1"/>
  <c r="AE80" i="25" s="1"/>
  <c r="AI32" i="8"/>
  <c r="AE32" i="25" s="1"/>
  <c r="AE87" i="25" s="1"/>
  <c r="AI33" i="8"/>
  <c r="AE33" i="25" s="1"/>
  <c r="AE88" i="25" s="1"/>
  <c r="AI46" i="8"/>
  <c r="AE46" i="25" s="1"/>
  <c r="AE101" i="25" s="1"/>
  <c r="AI6" i="8"/>
  <c r="AE6" i="25" s="1"/>
  <c r="AE61" i="25" s="1"/>
  <c r="AI9" i="8"/>
  <c r="AE9" i="25" s="1"/>
  <c r="AE64" i="25" s="1"/>
  <c r="AI14" i="8"/>
  <c r="AE14" i="25" s="1"/>
  <c r="AE69" i="25" s="1"/>
  <c r="AI11" i="8"/>
  <c r="AE11" i="25" s="1"/>
  <c r="AE66" i="25" s="1"/>
  <c r="AI26" i="8"/>
  <c r="AE26" i="25" s="1"/>
  <c r="AE81" i="25" s="1"/>
  <c r="AI48" i="8"/>
  <c r="AE48" i="25" s="1"/>
  <c r="AE103" i="25" s="1"/>
  <c r="AI35" i="8"/>
  <c r="AE35" i="25" s="1"/>
  <c r="AE90" i="25" s="1"/>
  <c r="AI52" i="8"/>
  <c r="AE52" i="25" s="1"/>
  <c r="AE107" i="25" s="1"/>
  <c r="AI21" i="8"/>
  <c r="AE21" i="25" s="1"/>
  <c r="AE76" i="25" s="1"/>
  <c r="AI22" i="8"/>
  <c r="AE22" i="25" s="1"/>
  <c r="AE77" i="25" s="1"/>
  <c r="AI18" i="8"/>
  <c r="AE18" i="25" s="1"/>
  <c r="AE73" i="25" s="1"/>
  <c r="AI13" i="8"/>
  <c r="AE13" i="25" s="1"/>
  <c r="AE68" i="25" s="1"/>
  <c r="AI34" i="8"/>
  <c r="AE34" i="25" s="1"/>
  <c r="AE89" i="25" s="1"/>
  <c r="AI38" i="8"/>
  <c r="AE38" i="25" s="1"/>
  <c r="AE93" i="25" s="1"/>
  <c r="AI41" i="8"/>
  <c r="AE41" i="25" s="1"/>
  <c r="AE96" i="25" s="1"/>
  <c r="AI39" i="8"/>
  <c r="AE39" i="25" s="1"/>
  <c r="AE94" i="25" s="1"/>
  <c r="AI45" i="8"/>
  <c r="AE45" i="25" s="1"/>
  <c r="AE100" i="25" s="1"/>
  <c r="AI31" i="8"/>
  <c r="AE31" i="25" s="1"/>
  <c r="AE86" i="25" s="1"/>
  <c r="AI5" i="8"/>
  <c r="AI7" i="8"/>
  <c r="AE7" i="25" s="1"/>
  <c r="AE62" i="25" s="1"/>
  <c r="AI37" i="8"/>
  <c r="AE37" i="25" s="1"/>
  <c r="AE92" i="25" s="1"/>
  <c r="AI15" i="8"/>
  <c r="AE15" i="25" s="1"/>
  <c r="AE70" i="25" s="1"/>
  <c r="AI29" i="8"/>
  <c r="AE29" i="25" s="1"/>
  <c r="AE84" i="25" s="1"/>
  <c r="AI28" i="8"/>
  <c r="AE28" i="25" s="1"/>
  <c r="AE83" i="25" s="1"/>
  <c r="AI54" i="8"/>
  <c r="AE54" i="25" s="1"/>
  <c r="AE109" i="25" s="1"/>
  <c r="AI43" i="8"/>
  <c r="AE43" i="25" s="1"/>
  <c r="AE98" i="25" s="1"/>
  <c r="AI19" i="8"/>
  <c r="AE19" i="25" s="1"/>
  <c r="AE74" i="25" s="1"/>
  <c r="AI20" i="8"/>
  <c r="AE20" i="25" s="1"/>
  <c r="AE75" i="25" s="1"/>
  <c r="AI24" i="8"/>
  <c r="AE24" i="25" s="1"/>
  <c r="AE79" i="25" s="1"/>
  <c r="AI30" i="8"/>
  <c r="AE30" i="25" s="1"/>
  <c r="AE85" i="25" s="1"/>
  <c r="AI42" i="8"/>
  <c r="AE42" i="25" s="1"/>
  <c r="AE97" i="25" s="1"/>
  <c r="AI47" i="8"/>
  <c r="AE47" i="25" s="1"/>
  <c r="AE102" i="25" s="1"/>
  <c r="AI36" i="8"/>
  <c r="AE36" i="25" s="1"/>
  <c r="AE91" i="25" s="1"/>
  <c r="AI17" i="8"/>
  <c r="AE17" i="25" s="1"/>
  <c r="AE72" i="25" s="1"/>
  <c r="AI8" i="8"/>
  <c r="AE8" i="25" s="1"/>
  <c r="AE63" i="25" s="1"/>
  <c r="Q52" i="8"/>
  <c r="Q52" i="25" s="1"/>
  <c r="Q107" i="25" s="1"/>
  <c r="V8" i="9"/>
  <c r="V22" i="9"/>
  <c r="V49" i="9"/>
  <c r="V9" i="8"/>
  <c r="V9" i="9"/>
  <c r="V10" i="8"/>
  <c r="U10" i="25" s="1"/>
  <c r="U65" i="25" s="1"/>
  <c r="V10" i="9"/>
  <c r="V36" i="8"/>
  <c r="V36" i="9"/>
  <c r="V15" i="9"/>
  <c r="V15" i="8"/>
  <c r="V50" i="9"/>
  <c r="V50" i="8"/>
  <c r="U50" i="25" s="1"/>
  <c r="U105" i="25" s="1"/>
  <c r="V27" i="9"/>
  <c r="V27" i="8"/>
  <c r="V39" i="9"/>
  <c r="V39" i="8"/>
  <c r="U39" i="25" s="1"/>
  <c r="U94" i="25" s="1"/>
  <c r="V38" i="8"/>
  <c r="U38" i="25" s="1"/>
  <c r="U93" i="25" s="1"/>
  <c r="V38" i="9"/>
  <c r="V16" i="8"/>
  <c r="V16" i="9"/>
  <c r="Q36" i="8"/>
  <c r="Q36" i="25" s="1"/>
  <c r="Q91" i="25" s="1"/>
  <c r="AC37" i="8"/>
  <c r="AC22" i="8"/>
  <c r="AC46" i="8"/>
  <c r="AC49" i="8"/>
  <c r="AC36" i="8"/>
  <c r="AC33" i="8"/>
  <c r="AC7" i="8"/>
  <c r="AC52" i="8"/>
  <c r="AC34" i="8"/>
  <c r="AC39" i="8"/>
  <c r="AC38" i="8"/>
  <c r="AC26" i="8"/>
  <c r="AC17" i="8"/>
  <c r="AC41" i="8"/>
  <c r="AC50" i="8"/>
  <c r="AC21" i="8"/>
  <c r="AC44" i="8"/>
  <c r="AC23" i="8"/>
  <c r="AC8" i="8"/>
  <c r="AC47" i="8"/>
  <c r="AC53" i="8"/>
  <c r="AC45" i="8"/>
  <c r="AC27" i="8"/>
  <c r="AC18" i="8"/>
  <c r="AC40" i="8"/>
  <c r="AC48" i="8"/>
  <c r="AC20" i="8"/>
  <c r="AC16" i="8"/>
  <c r="AC19" i="8"/>
  <c r="AC54" i="8"/>
  <c r="AC5" i="8"/>
  <c r="AC32" i="8"/>
  <c r="AC42" i="8"/>
  <c r="AC35" i="8"/>
  <c r="AC30" i="8"/>
  <c r="AC11" i="8"/>
  <c r="AC6" i="8"/>
  <c r="AC15" i="8"/>
  <c r="AC43" i="8"/>
  <c r="AC28" i="8"/>
  <c r="AC25" i="8"/>
  <c r="AC10" i="8"/>
  <c r="AC24" i="8"/>
  <c r="AC29" i="8"/>
  <c r="AC51" i="8"/>
  <c r="AD41" i="25"/>
  <c r="AD96" i="25" s="1"/>
  <c r="AH19" i="8"/>
  <c r="AD19" i="25" s="1"/>
  <c r="AD74" i="25" s="1"/>
  <c r="AH9" i="8"/>
  <c r="AD9" i="25" s="1"/>
  <c r="AD64" i="25" s="1"/>
  <c r="AH14" i="8"/>
  <c r="AD14" i="25" s="1"/>
  <c r="AD69" i="25" s="1"/>
  <c r="AH33" i="8"/>
  <c r="AD33" i="25" s="1"/>
  <c r="AD88" i="25" s="1"/>
  <c r="AH54" i="8"/>
  <c r="AD54" i="25" s="1"/>
  <c r="AD109" i="25" s="1"/>
  <c r="AH5" i="8"/>
  <c r="AH38" i="8"/>
  <c r="AD38" i="25" s="1"/>
  <c r="AD93" i="25" s="1"/>
  <c r="AH16" i="8"/>
  <c r="AD16" i="25" s="1"/>
  <c r="AD71" i="25" s="1"/>
  <c r="AH31" i="8"/>
  <c r="AD31" i="25" s="1"/>
  <c r="AD86" i="25" s="1"/>
  <c r="AH28" i="8"/>
  <c r="AD28" i="25" s="1"/>
  <c r="AD83" i="25" s="1"/>
  <c r="AH51" i="8"/>
  <c r="AD51" i="25" s="1"/>
  <c r="AD106" i="25" s="1"/>
  <c r="AH48" i="8"/>
  <c r="AD48" i="25" s="1"/>
  <c r="AD103" i="25" s="1"/>
  <c r="AH12" i="8"/>
  <c r="AD12" i="25" s="1"/>
  <c r="AD67" i="25" s="1"/>
  <c r="AH39" i="8"/>
  <c r="AD39" i="25" s="1"/>
  <c r="AD94" i="25" s="1"/>
  <c r="AH50" i="8"/>
  <c r="AD50" i="25" s="1"/>
  <c r="AD105" i="25" s="1"/>
  <c r="AH6" i="8"/>
  <c r="AD6" i="25" s="1"/>
  <c r="AD61" i="25" s="1"/>
  <c r="AH24" i="8"/>
  <c r="AD24" i="25" s="1"/>
  <c r="AD79" i="25" s="1"/>
  <c r="AH45" i="8"/>
  <c r="AD45" i="25" s="1"/>
  <c r="AD100" i="25" s="1"/>
  <c r="AH30" i="8"/>
  <c r="AD30" i="25" s="1"/>
  <c r="AD85" i="25" s="1"/>
  <c r="AH23" i="8"/>
  <c r="AD23" i="25" s="1"/>
  <c r="AD78" i="25" s="1"/>
  <c r="AH35" i="8"/>
  <c r="AD35" i="25" s="1"/>
  <c r="AD90" i="25" s="1"/>
  <c r="AH20" i="8"/>
  <c r="AD20" i="25" s="1"/>
  <c r="AD75" i="25" s="1"/>
  <c r="AH32" i="8"/>
  <c r="AD32" i="25" s="1"/>
  <c r="AD87" i="25" s="1"/>
  <c r="AH8" i="8"/>
  <c r="AD8" i="25" s="1"/>
  <c r="AD63" i="25" s="1"/>
  <c r="AH53" i="8"/>
  <c r="AD53" i="25" s="1"/>
  <c r="AD108" i="25" s="1"/>
  <c r="AH40" i="8"/>
  <c r="AD40" i="25" s="1"/>
  <c r="AD95" i="25" s="1"/>
  <c r="AH7" i="8"/>
  <c r="AD7" i="25" s="1"/>
  <c r="AD62" i="25" s="1"/>
  <c r="AH11" i="8"/>
  <c r="AD11" i="25" s="1"/>
  <c r="AD66" i="25" s="1"/>
  <c r="AH49" i="8"/>
  <c r="AD49" i="25" s="1"/>
  <c r="AD104" i="25" s="1"/>
  <c r="AH36" i="8"/>
  <c r="AD36" i="25" s="1"/>
  <c r="AD91" i="25" s="1"/>
  <c r="AH17" i="8"/>
  <c r="AD17" i="25" s="1"/>
  <c r="AD72" i="25" s="1"/>
  <c r="AH21" i="8"/>
  <c r="AD21" i="25" s="1"/>
  <c r="AD76" i="25" s="1"/>
  <c r="AH46" i="8"/>
  <c r="AD46" i="25" s="1"/>
  <c r="AD101" i="25" s="1"/>
  <c r="AH18" i="8"/>
  <c r="AD18" i="25" s="1"/>
  <c r="AD73" i="25" s="1"/>
  <c r="AH43" i="8"/>
  <c r="AD43" i="25" s="1"/>
  <c r="AD98" i="25" s="1"/>
  <c r="AH10" i="8"/>
  <c r="AD10" i="25" s="1"/>
  <c r="AD65" i="25" s="1"/>
  <c r="AH29" i="8"/>
  <c r="AD29" i="25" s="1"/>
  <c r="AD84" i="25" s="1"/>
  <c r="AH13" i="8"/>
  <c r="AD13" i="25" s="1"/>
  <c r="AD68" i="25" s="1"/>
  <c r="AH34" i="8"/>
  <c r="AD34" i="25" s="1"/>
  <c r="AD89" i="25" s="1"/>
  <c r="AH25" i="8"/>
  <c r="AD25" i="25" s="1"/>
  <c r="AD80" i="25" s="1"/>
  <c r="AH26" i="8"/>
  <c r="AD26" i="25" s="1"/>
  <c r="AD81" i="25" s="1"/>
  <c r="AH44" i="8"/>
  <c r="AD44" i="25" s="1"/>
  <c r="AD99" i="25" s="1"/>
  <c r="AH37" i="8"/>
  <c r="AD37" i="25" s="1"/>
  <c r="AD92" i="25" s="1"/>
  <c r="L22" i="8"/>
  <c r="L22" i="25" s="1"/>
  <c r="L77" i="25" s="1"/>
  <c r="L12" i="8"/>
  <c r="L12" i="25" s="1"/>
  <c r="L67" i="25" s="1"/>
  <c r="L29" i="8"/>
  <c r="L29" i="25" s="1"/>
  <c r="L84" i="25" s="1"/>
  <c r="L31" i="8"/>
  <c r="L31" i="25" s="1"/>
  <c r="L86" i="25" s="1"/>
  <c r="L39" i="8"/>
  <c r="L39" i="25" s="1"/>
  <c r="L94" i="25" s="1"/>
  <c r="L52" i="8"/>
  <c r="L52" i="25" s="1"/>
  <c r="L107" i="25" s="1"/>
  <c r="L9" i="8"/>
  <c r="L9" i="25" s="1"/>
  <c r="L64" i="25" s="1"/>
  <c r="L13" i="8"/>
  <c r="L13" i="25" s="1"/>
  <c r="L68" i="25" s="1"/>
  <c r="L47" i="8"/>
  <c r="L47" i="25" s="1"/>
  <c r="L102" i="25" s="1"/>
  <c r="L7" i="8"/>
  <c r="L7" i="25" s="1"/>
  <c r="L62" i="25" s="1"/>
  <c r="L38" i="8"/>
  <c r="L38" i="25" s="1"/>
  <c r="L93" i="25" s="1"/>
  <c r="L45" i="8"/>
  <c r="L45" i="25" s="1"/>
  <c r="L100" i="25" s="1"/>
  <c r="L20" i="8"/>
  <c r="L20" i="25" s="1"/>
  <c r="L75" i="25" s="1"/>
  <c r="L6" i="8"/>
  <c r="L6" i="25" s="1"/>
  <c r="L61" i="25" s="1"/>
  <c r="L28" i="8"/>
  <c r="L28" i="25" s="1"/>
  <c r="L83" i="25" s="1"/>
  <c r="L18" i="8"/>
  <c r="L18" i="25" s="1"/>
  <c r="L73" i="25" s="1"/>
  <c r="L24" i="8"/>
  <c r="L24" i="25" s="1"/>
  <c r="L79" i="25" s="1"/>
  <c r="L36" i="8"/>
  <c r="L36" i="25" s="1"/>
  <c r="L91" i="25" s="1"/>
  <c r="L54" i="8"/>
  <c r="L54" i="25" s="1"/>
  <c r="L109" i="25" s="1"/>
  <c r="L5" i="8"/>
  <c r="L42" i="8"/>
  <c r="L42" i="25" s="1"/>
  <c r="L97" i="25" s="1"/>
  <c r="L49" i="8"/>
  <c r="L49" i="25" s="1"/>
  <c r="L104" i="25" s="1"/>
  <c r="L50" i="8"/>
  <c r="L50" i="25" s="1"/>
  <c r="L105" i="25" s="1"/>
  <c r="L21" i="8"/>
  <c r="L21" i="25" s="1"/>
  <c r="L76" i="25" s="1"/>
  <c r="L48" i="8"/>
  <c r="L48" i="25" s="1"/>
  <c r="L103" i="25" s="1"/>
  <c r="L27" i="8"/>
  <c r="L27" i="25" s="1"/>
  <c r="L82" i="25" s="1"/>
  <c r="L51" i="8"/>
  <c r="L51" i="25" s="1"/>
  <c r="L106" i="25" s="1"/>
  <c r="L23" i="8"/>
  <c r="L23" i="25" s="1"/>
  <c r="L78" i="25" s="1"/>
  <c r="L17" i="8"/>
  <c r="L17" i="25" s="1"/>
  <c r="L72" i="25" s="1"/>
  <c r="L37" i="8"/>
  <c r="L37" i="25" s="1"/>
  <c r="L92" i="25" s="1"/>
  <c r="L11" i="8"/>
  <c r="L11" i="25" s="1"/>
  <c r="L66" i="25" s="1"/>
  <c r="L14" i="8"/>
  <c r="L14" i="25" s="1"/>
  <c r="L69" i="25" s="1"/>
  <c r="L30" i="8"/>
  <c r="L30" i="25" s="1"/>
  <c r="L85" i="25" s="1"/>
  <c r="L46" i="8"/>
  <c r="L46" i="25" s="1"/>
  <c r="L101" i="25" s="1"/>
  <c r="L34" i="8"/>
  <c r="L34" i="25" s="1"/>
  <c r="L89" i="25" s="1"/>
  <c r="L53" i="8"/>
  <c r="L53" i="25" s="1"/>
  <c r="L108" i="25" s="1"/>
  <c r="L19" i="8"/>
  <c r="L19" i="25" s="1"/>
  <c r="L74" i="25" s="1"/>
  <c r="L15" i="8"/>
  <c r="L15" i="25" s="1"/>
  <c r="L70" i="25" s="1"/>
  <c r="L25" i="8"/>
  <c r="L25" i="25" s="1"/>
  <c r="L80" i="25" s="1"/>
  <c r="L40" i="8"/>
  <c r="L40" i="25" s="1"/>
  <c r="L95" i="25" s="1"/>
  <c r="L35" i="8"/>
  <c r="L35" i="25" s="1"/>
  <c r="L90" i="25" s="1"/>
  <c r="L26" i="8"/>
  <c r="L26" i="25" s="1"/>
  <c r="L81" i="25" s="1"/>
  <c r="L41" i="8"/>
  <c r="L41" i="25" s="1"/>
  <c r="L96" i="25" s="1"/>
  <c r="L10" i="8"/>
  <c r="L10" i="25" s="1"/>
  <c r="L65" i="25" s="1"/>
  <c r="L44" i="8"/>
  <c r="L44" i="25" s="1"/>
  <c r="L99" i="25" s="1"/>
  <c r="L32" i="8"/>
  <c r="L32" i="25" s="1"/>
  <c r="L87" i="25" s="1"/>
  <c r="L8" i="8"/>
  <c r="L8" i="25" s="1"/>
  <c r="L63" i="25" s="1"/>
  <c r="O13" i="27"/>
  <c r="R61" i="7"/>
  <c r="S61" i="7"/>
  <c r="L33" i="8"/>
  <c r="L33" i="25" s="1"/>
  <c r="L88" i="25" s="1"/>
  <c r="Y23" i="7"/>
  <c r="Y21" i="7"/>
  <c r="Y22" i="7"/>
  <c r="Y5" i="7"/>
  <c r="Y11" i="7"/>
  <c r="Y8" i="7"/>
  <c r="Y31" i="7"/>
  <c r="Y37" i="7"/>
  <c r="Y35" i="7"/>
  <c r="Y45" i="7"/>
  <c r="Y36" i="7"/>
  <c r="Y42" i="7"/>
  <c r="Y43" i="7"/>
  <c r="Y18" i="7"/>
  <c r="Y16" i="7"/>
  <c r="Y19" i="7"/>
  <c r="Y41" i="7"/>
  <c r="Y28" i="7"/>
  <c r="Y52" i="7"/>
  <c r="Y47" i="7"/>
  <c r="Y53" i="7"/>
  <c r="Y51" i="7"/>
  <c r="Y50" i="7"/>
  <c r="Y29" i="7"/>
  <c r="Y26" i="7"/>
  <c r="Y33" i="7"/>
  <c r="Y15" i="7"/>
  <c r="Y13" i="7"/>
  <c r="Y14" i="7"/>
  <c r="Y6" i="7"/>
  <c r="Y20" i="7"/>
  <c r="Y34" i="7"/>
  <c r="Y27" i="7"/>
  <c r="Y38" i="7"/>
  <c r="Y32" i="7"/>
  <c r="Y30" i="7"/>
  <c r="Y49" i="7"/>
  <c r="Y44" i="7"/>
  <c r="Y12" i="7"/>
  <c r="Y7" i="7"/>
  <c r="Y10" i="7"/>
  <c r="Y17" i="7"/>
  <c r="Y9" i="7"/>
  <c r="Y46" i="7"/>
  <c r="Y48" i="7"/>
  <c r="Y54" i="7"/>
  <c r="Y24" i="7"/>
  <c r="Y24" i="9" s="1"/>
  <c r="AB24" i="9" s="1"/>
  <c r="Y39" i="7"/>
  <c r="Y40" i="7"/>
  <c r="Y25" i="7"/>
  <c r="AC13" i="8"/>
  <c r="AH47" i="8"/>
  <c r="AD47" i="25" s="1"/>
  <c r="AD102" i="25" s="1"/>
  <c r="U29" i="8"/>
  <c r="T29" i="25" s="1"/>
  <c r="T84" i="25" s="1"/>
  <c r="Q56" i="9"/>
  <c r="V29" i="9"/>
  <c r="V25" i="9"/>
  <c r="V43" i="9"/>
  <c r="V7" i="9"/>
  <c r="V11" i="9"/>
  <c r="V31" i="9"/>
  <c r="V51" i="9"/>
  <c r="V45" i="8"/>
  <c r="V45" i="9"/>
  <c r="V14" i="8"/>
  <c r="V14" i="9"/>
  <c r="V42" i="8"/>
  <c r="V42" i="9"/>
  <c r="V18" i="9"/>
  <c r="V18" i="8"/>
  <c r="U18" i="25" s="1"/>
  <c r="U73" i="25" s="1"/>
  <c r="V52" i="9"/>
  <c r="V52" i="8"/>
  <c r="U52" i="25" s="1"/>
  <c r="U107" i="25" s="1"/>
  <c r="V30" i="9"/>
  <c r="V30" i="8"/>
  <c r="U30" i="25" s="1"/>
  <c r="U85" i="25" s="1"/>
  <c r="AH42" i="8"/>
  <c r="AD42" i="25" s="1"/>
  <c r="AD97" i="25" s="1"/>
  <c r="AI50" i="8"/>
  <c r="AE50" i="25" s="1"/>
  <c r="AE105" i="25" s="1"/>
  <c r="P11" i="27"/>
  <c r="P9" i="27"/>
  <c r="P15" i="27" s="1"/>
  <c r="P7" i="27"/>
  <c r="P13" i="27" s="1"/>
  <c r="F47" i="5"/>
  <c r="AD5" i="9"/>
  <c r="AD56" i="9" s="1"/>
  <c r="AC56" i="9"/>
  <c r="AC14" i="8"/>
  <c r="U31" i="8"/>
  <c r="T31" i="25" s="1"/>
  <c r="T86" i="25" s="1"/>
  <c r="X28" i="8"/>
  <c r="W28" i="25" s="1"/>
  <c r="W83" i="25" s="1"/>
  <c r="O44" i="25"/>
  <c r="O99" i="25" s="1"/>
  <c r="O36" i="25"/>
  <c r="O91" i="25" s="1"/>
  <c r="AE51" i="25"/>
  <c r="AE106" i="25" s="1"/>
  <c r="Q12" i="25"/>
  <c r="Q67" i="25" s="1"/>
  <c r="Q10" i="25"/>
  <c r="Q65" i="25" s="1"/>
  <c r="L43" i="8"/>
  <c r="L43" i="25" s="1"/>
  <c r="L98" i="25" s="1"/>
  <c r="O17" i="25"/>
  <c r="O72" i="25" s="1"/>
  <c r="Q23" i="8"/>
  <c r="Q23" i="25" s="1"/>
  <c r="Q78" i="25" s="1"/>
  <c r="Q8" i="8"/>
  <c r="Q8" i="25" s="1"/>
  <c r="Q63" i="25" s="1"/>
  <c r="Q19" i="8"/>
  <c r="Q19" i="25" s="1"/>
  <c r="Q74" i="25" s="1"/>
  <c r="Q38" i="8"/>
  <c r="Q38" i="25" s="1"/>
  <c r="Q93" i="25" s="1"/>
  <c r="Q14" i="8"/>
  <c r="Q14" i="25" s="1"/>
  <c r="Q69" i="25" s="1"/>
  <c r="Q18" i="8"/>
  <c r="Q18" i="25" s="1"/>
  <c r="Q73" i="25" s="1"/>
  <c r="Q46" i="8"/>
  <c r="Q46" i="25" s="1"/>
  <c r="Q101" i="25" s="1"/>
  <c r="Q53" i="8"/>
  <c r="Q53" i="25" s="1"/>
  <c r="Q108" i="25" s="1"/>
  <c r="Q32" i="8"/>
  <c r="Q32" i="25" s="1"/>
  <c r="Q87" i="25" s="1"/>
  <c r="Q29" i="8"/>
  <c r="Q29" i="25" s="1"/>
  <c r="Q84" i="25" s="1"/>
  <c r="Q45" i="8"/>
  <c r="Q45" i="25" s="1"/>
  <c r="Q100" i="25" s="1"/>
  <c r="Q27" i="8"/>
  <c r="Q27" i="25" s="1"/>
  <c r="Q82" i="25" s="1"/>
  <c r="Q51" i="8"/>
  <c r="Q51" i="25" s="1"/>
  <c r="Q106" i="25" s="1"/>
  <c r="Q43" i="8"/>
  <c r="Q43" i="25" s="1"/>
  <c r="Q98" i="25" s="1"/>
  <c r="Q42" i="8"/>
  <c r="Q42" i="25" s="1"/>
  <c r="Q97" i="25" s="1"/>
  <c r="Q5" i="8"/>
  <c r="Q50" i="8"/>
  <c r="Q50" i="25" s="1"/>
  <c r="Q105" i="25" s="1"/>
  <c r="Q30" i="8"/>
  <c r="Q30" i="25" s="1"/>
  <c r="Q85" i="25" s="1"/>
  <c r="Q39" i="8"/>
  <c r="Q39" i="25" s="1"/>
  <c r="Q94" i="25" s="1"/>
  <c r="Q25" i="8"/>
  <c r="Q25" i="25" s="1"/>
  <c r="Q80" i="25" s="1"/>
  <c r="Q15" i="8"/>
  <c r="Q15" i="25" s="1"/>
  <c r="Q70" i="25" s="1"/>
  <c r="Q7" i="8"/>
  <c r="Q7" i="25" s="1"/>
  <c r="Q62" i="25" s="1"/>
  <c r="Q40" i="8"/>
  <c r="Q40" i="25" s="1"/>
  <c r="Q95" i="25" s="1"/>
  <c r="Q41" i="8"/>
  <c r="Q41" i="25" s="1"/>
  <c r="Q96" i="25" s="1"/>
  <c r="Q44" i="8"/>
  <c r="Q44" i="25" s="1"/>
  <c r="Q99" i="25" s="1"/>
  <c r="Q6" i="8"/>
  <c r="Q6" i="25" s="1"/>
  <c r="Q61" i="25" s="1"/>
  <c r="Q54" i="8"/>
  <c r="Q54" i="25" s="1"/>
  <c r="Q109" i="25" s="1"/>
  <c r="Q9" i="8"/>
  <c r="Q9" i="25" s="1"/>
  <c r="Q64" i="25" s="1"/>
  <c r="Q17" i="8"/>
  <c r="Q17" i="25" s="1"/>
  <c r="Q72" i="25" s="1"/>
  <c r="Q37" i="8"/>
  <c r="Q37" i="25" s="1"/>
  <c r="Q92" i="25" s="1"/>
  <c r="Q24" i="8"/>
  <c r="Q24" i="25" s="1"/>
  <c r="Q79" i="25" s="1"/>
  <c r="Q13" i="8"/>
  <c r="Q13" i="25" s="1"/>
  <c r="Q68" i="25" s="1"/>
  <c r="Q31" i="8"/>
  <c r="Q31" i="25" s="1"/>
  <c r="Q86" i="25" s="1"/>
  <c r="Q21" i="8"/>
  <c r="Q21" i="25" s="1"/>
  <c r="Q76" i="25" s="1"/>
  <c r="Q49" i="8"/>
  <c r="Q49" i="25" s="1"/>
  <c r="Q104" i="25" s="1"/>
  <c r="Q28" i="8"/>
  <c r="Q28" i="25" s="1"/>
  <c r="Q83" i="25" s="1"/>
  <c r="Q35" i="8"/>
  <c r="Q35" i="25" s="1"/>
  <c r="Q90" i="25" s="1"/>
  <c r="Q26" i="8"/>
  <c r="Q26" i="25" s="1"/>
  <c r="Q81" i="25" s="1"/>
  <c r="V54" i="9"/>
  <c r="V41" i="9"/>
  <c r="V21" i="9"/>
  <c r="V32" i="8"/>
  <c r="U32" i="25" s="1"/>
  <c r="U87" i="25" s="1"/>
  <c r="V32" i="9"/>
  <c r="V28" i="9"/>
  <c r="V28" i="8"/>
  <c r="U28" i="25" s="1"/>
  <c r="U83" i="25" s="1"/>
  <c r="V47" i="8"/>
  <c r="U47" i="25" s="1"/>
  <c r="U102" i="25" s="1"/>
  <c r="V47" i="9"/>
  <c r="V23" i="9"/>
  <c r="V23" i="8"/>
  <c r="U23" i="25" s="1"/>
  <c r="U78" i="25" s="1"/>
  <c r="V17" i="9"/>
  <c r="V17" i="8"/>
  <c r="V37" i="8"/>
  <c r="V37" i="9"/>
  <c r="V53" i="9"/>
  <c r="V53" i="8"/>
  <c r="V48" i="8"/>
  <c r="V48" i="9"/>
  <c r="V19" i="9"/>
  <c r="V19" i="8"/>
  <c r="V46" i="8"/>
  <c r="V46" i="9"/>
  <c r="AH27" i="8"/>
  <c r="AD27" i="25" s="1"/>
  <c r="AD82" i="25" s="1"/>
  <c r="O26" i="8"/>
  <c r="O26" i="25" s="1"/>
  <c r="O81" i="25" s="1"/>
  <c r="O12" i="8"/>
  <c r="O12" i="25" s="1"/>
  <c r="O67" i="25" s="1"/>
  <c r="O30" i="8"/>
  <c r="O30" i="25" s="1"/>
  <c r="O85" i="25" s="1"/>
  <c r="O18" i="8"/>
  <c r="O18" i="25" s="1"/>
  <c r="O73" i="25" s="1"/>
  <c r="O24" i="8"/>
  <c r="O24" i="25" s="1"/>
  <c r="O79" i="25" s="1"/>
  <c r="O52" i="8"/>
  <c r="O52" i="25" s="1"/>
  <c r="O107" i="25" s="1"/>
  <c r="O9" i="8"/>
  <c r="O9" i="25" s="1"/>
  <c r="O64" i="25" s="1"/>
  <c r="O8" i="8"/>
  <c r="O8" i="25" s="1"/>
  <c r="O63" i="25" s="1"/>
  <c r="O37" i="8"/>
  <c r="O37" i="25" s="1"/>
  <c r="O92" i="25" s="1"/>
  <c r="O7" i="8"/>
  <c r="O7" i="25" s="1"/>
  <c r="O62" i="25" s="1"/>
  <c r="O19" i="8"/>
  <c r="O19" i="25" s="1"/>
  <c r="O74" i="25" s="1"/>
  <c r="O10" i="8"/>
  <c r="O10" i="25" s="1"/>
  <c r="O65" i="25" s="1"/>
  <c r="O33" i="8"/>
  <c r="O33" i="25" s="1"/>
  <c r="O88" i="25" s="1"/>
  <c r="O47" i="8"/>
  <c r="O47" i="25" s="1"/>
  <c r="O102" i="25" s="1"/>
  <c r="O5" i="8"/>
  <c r="O35" i="8"/>
  <c r="O35" i="25" s="1"/>
  <c r="O90" i="25" s="1"/>
  <c r="O38" i="8"/>
  <c r="O38" i="25" s="1"/>
  <c r="O93" i="25" s="1"/>
  <c r="O53" i="8"/>
  <c r="O53" i="25" s="1"/>
  <c r="O108" i="25" s="1"/>
  <c r="O16" i="8"/>
  <c r="O16" i="25" s="1"/>
  <c r="O71" i="25" s="1"/>
  <c r="O25" i="8"/>
  <c r="O25" i="25" s="1"/>
  <c r="O80" i="25" s="1"/>
  <c r="O48" i="8"/>
  <c r="O48" i="25" s="1"/>
  <c r="O103" i="25" s="1"/>
  <c r="O27" i="8"/>
  <c r="O27" i="25" s="1"/>
  <c r="O82" i="25" s="1"/>
  <c r="O28" i="8"/>
  <c r="O28" i="25" s="1"/>
  <c r="O83" i="25" s="1"/>
  <c r="O51" i="8"/>
  <c r="O51" i="25" s="1"/>
  <c r="O106" i="25" s="1"/>
  <c r="O42" i="8"/>
  <c r="O42" i="25" s="1"/>
  <c r="O97" i="25" s="1"/>
  <c r="O34" i="8"/>
  <c r="O34" i="25" s="1"/>
  <c r="O89" i="25" s="1"/>
  <c r="O6" i="8"/>
  <c r="O6" i="25" s="1"/>
  <c r="O61" i="25" s="1"/>
  <c r="O40" i="8"/>
  <c r="O40" i="25" s="1"/>
  <c r="O95" i="25" s="1"/>
  <c r="O46" i="8"/>
  <c r="O46" i="25" s="1"/>
  <c r="O101" i="25" s="1"/>
  <c r="O29" i="8"/>
  <c r="O29" i="25" s="1"/>
  <c r="O84" i="25" s="1"/>
  <c r="O13" i="8"/>
  <c r="O13" i="25" s="1"/>
  <c r="O68" i="25" s="1"/>
  <c r="E42" i="5"/>
  <c r="E21" i="5"/>
  <c r="J11" i="28"/>
  <c r="J9" i="28"/>
  <c r="J14" i="28" s="1"/>
  <c r="D9" i="28"/>
  <c r="D15" i="28" s="1"/>
  <c r="F11" i="28"/>
  <c r="H14" i="28"/>
  <c r="D7" i="28"/>
  <c r="D13" i="28" s="1"/>
  <c r="G15" i="28"/>
  <c r="W46" i="12"/>
  <c r="F9" i="28"/>
  <c r="F14" i="28" s="1"/>
  <c r="F7" i="28"/>
  <c r="F13" i="28" s="1"/>
  <c r="C11" i="28"/>
  <c r="C7" i="28"/>
  <c r="C13" i="28" s="1"/>
  <c r="L7" i="28"/>
  <c r="L13" i="28" s="1"/>
  <c r="J7" i="28"/>
  <c r="J13" i="28" s="1"/>
  <c r="L9" i="28"/>
  <c r="E9" i="28"/>
  <c r="E7" i="28"/>
  <c r="E13" i="28" s="1"/>
  <c r="E11" i="28"/>
  <c r="D14" i="28"/>
  <c r="C14" i="28"/>
  <c r="L11" i="28"/>
  <c r="J15" i="28"/>
  <c r="T60" i="6"/>
  <c r="T58" i="9"/>
  <c r="T58" i="8"/>
  <c r="T58" i="7"/>
  <c r="AM59" i="6"/>
  <c r="AM57" i="9"/>
  <c r="AM57" i="7"/>
  <c r="AM57" i="8" s="1"/>
  <c r="L7" i="12"/>
  <c r="Q7" i="12" s="1"/>
  <c r="AB7" i="12" s="1"/>
  <c r="L7" i="13"/>
  <c r="Q7" i="13" s="1"/>
  <c r="AB7" i="13" s="1"/>
  <c r="Q7" i="11"/>
  <c r="AB7" i="11" s="1"/>
  <c r="L42" i="12"/>
  <c r="Q42" i="12" s="1"/>
  <c r="L42" i="13"/>
  <c r="Q42" i="13" s="1"/>
  <c r="Q42" i="11"/>
  <c r="AB42" i="11" s="1"/>
  <c r="V30" i="24" s="1"/>
  <c r="L28" i="12"/>
  <c r="Q28" i="12" s="1"/>
  <c r="L28" i="13"/>
  <c r="Q28" i="13" s="1"/>
  <c r="Q28" i="11"/>
  <c r="AB28" i="11" s="1"/>
  <c r="V18" i="24" s="1"/>
  <c r="L38" i="12"/>
  <c r="Q38" i="12" s="1"/>
  <c r="L38" i="13"/>
  <c r="Q38" i="13" s="1"/>
  <c r="Q38" i="11"/>
  <c r="AB38" i="11" s="1"/>
  <c r="V27" i="24" s="1"/>
  <c r="L22" i="12"/>
  <c r="Q22" i="12" s="1"/>
  <c r="L22" i="13"/>
  <c r="Q22" i="13" s="1"/>
  <c r="Q22" i="11"/>
  <c r="AB22" i="11" s="1"/>
  <c r="L17" i="12"/>
  <c r="Q17" i="12" s="1"/>
  <c r="Q17" i="11"/>
  <c r="AB17" i="11" s="1"/>
  <c r="L17" i="13"/>
  <c r="Q17" i="13" s="1"/>
  <c r="L34" i="12"/>
  <c r="Q34" i="12" s="1"/>
  <c r="Q34" i="11"/>
  <c r="AB34" i="11" s="1"/>
  <c r="L34" i="13"/>
  <c r="Q34" i="13" s="1"/>
  <c r="L43" i="12"/>
  <c r="Q43" i="12" s="1"/>
  <c r="L43" i="13"/>
  <c r="Q43" i="13" s="1"/>
  <c r="Q43" i="11"/>
  <c r="AB43" i="11" s="1"/>
  <c r="V32" i="24" s="1"/>
  <c r="L32" i="12"/>
  <c r="Q32" i="12" s="1"/>
  <c r="L32" i="13"/>
  <c r="Q32" i="13" s="1"/>
  <c r="Q32" i="11"/>
  <c r="AB32" i="11" s="1"/>
  <c r="V23" i="24" s="1"/>
  <c r="L10" i="12"/>
  <c r="Q10" i="12" s="1"/>
  <c r="L10" i="13"/>
  <c r="Q10" i="13" s="1"/>
  <c r="Q10" i="11"/>
  <c r="AB10" i="11" s="1"/>
  <c r="V5" i="24" s="1"/>
  <c r="L18" i="12"/>
  <c r="Q18" i="12" s="1"/>
  <c r="L18" i="13"/>
  <c r="Q18" i="13" s="1"/>
  <c r="Q18" i="11"/>
  <c r="AB18" i="11" s="1"/>
  <c r="V8" i="24" s="1"/>
  <c r="F46" i="5"/>
  <c r="Q49" i="13"/>
  <c r="Q49" i="12"/>
  <c r="Q49" i="11"/>
  <c r="Q49" i="10"/>
  <c r="Q48" i="13"/>
  <c r="Q48" i="12"/>
  <c r="Q48" i="11"/>
  <c r="Q48" i="10"/>
  <c r="L41" i="12"/>
  <c r="Q41" i="12" s="1"/>
  <c r="L41" i="13"/>
  <c r="Q41" i="13" s="1"/>
  <c r="Q41" i="11"/>
  <c r="AB41" i="11" s="1"/>
  <c r="V31" i="24" s="1"/>
  <c r="L23" i="12"/>
  <c r="Q23" i="12" s="1"/>
  <c r="L23" i="13"/>
  <c r="Q23" i="13" s="1"/>
  <c r="Q23" i="11"/>
  <c r="AB23" i="11" s="1"/>
  <c r="V12" i="24" s="1"/>
  <c r="L37" i="12"/>
  <c r="Q37" i="12" s="1"/>
  <c r="L37" i="13"/>
  <c r="Q37" i="13" s="1"/>
  <c r="Q37" i="11"/>
  <c r="AB37" i="11" s="1"/>
  <c r="L33" i="12"/>
  <c r="Q33" i="12" s="1"/>
  <c r="L33" i="13"/>
  <c r="Q33" i="13" s="1"/>
  <c r="Q33" i="11"/>
  <c r="AB33" i="11" s="1"/>
  <c r="V24" i="24" s="1"/>
  <c r="Q16" i="11"/>
  <c r="AB16" i="11" s="1"/>
  <c r="L16" i="12"/>
  <c r="Q16" i="12" s="1"/>
  <c r="L16" i="13"/>
  <c r="Q16" i="13" s="1"/>
  <c r="L29" i="12"/>
  <c r="Q29" i="12" s="1"/>
  <c r="L29" i="13"/>
  <c r="Q29" i="13" s="1"/>
  <c r="Q29" i="11"/>
  <c r="AB29" i="11" s="1"/>
  <c r="V19" i="24" s="1"/>
  <c r="L27" i="12"/>
  <c r="Q27" i="12" s="1"/>
  <c r="L27" i="13"/>
  <c r="Q27" i="13" s="1"/>
  <c r="Q27" i="11"/>
  <c r="AB27" i="11" s="1"/>
  <c r="V17" i="24" s="1"/>
  <c r="L15" i="12"/>
  <c r="Q15" i="12" s="1"/>
  <c r="L15" i="13"/>
  <c r="Q15" i="13" s="1"/>
  <c r="Q15" i="11"/>
  <c r="AB15" i="11" s="1"/>
  <c r="L11" i="12"/>
  <c r="Q11" i="12" s="1"/>
  <c r="L11" i="13"/>
  <c r="Q11" i="13" s="1"/>
  <c r="Q11" i="11"/>
  <c r="AB11" i="11" s="1"/>
  <c r="V6" i="24" s="1"/>
  <c r="L8" i="12"/>
  <c r="Q8" i="12" s="1"/>
  <c r="AB8" i="12" s="1"/>
  <c r="L8" i="13"/>
  <c r="Q8" i="13" s="1"/>
  <c r="AB8" i="13" s="1"/>
  <c r="Q8" i="11"/>
  <c r="AB8" i="11" s="1"/>
  <c r="L44" i="12"/>
  <c r="Q44" i="12" s="1"/>
  <c r="L44" i="13"/>
  <c r="Q44" i="13" s="1"/>
  <c r="Q44" i="11"/>
  <c r="AB44" i="11" s="1"/>
  <c r="V33" i="24" s="1"/>
  <c r="L21" i="12"/>
  <c r="Q21" i="12" s="1"/>
  <c r="L21" i="13"/>
  <c r="Q21" i="13" s="1"/>
  <c r="Q21" i="11"/>
  <c r="AB21" i="11" s="1"/>
  <c r="L35" i="12"/>
  <c r="Q35" i="12" s="1"/>
  <c r="L35" i="13"/>
  <c r="Q35" i="13" s="1"/>
  <c r="Q35" i="11"/>
  <c r="AB35" i="11" s="1"/>
  <c r="L40" i="12"/>
  <c r="Q40" i="12" s="1"/>
  <c r="L40" i="13"/>
  <c r="Q40" i="13" s="1"/>
  <c r="Q40" i="11"/>
  <c r="AB40" i="11" s="1"/>
  <c r="V29" i="24" s="1"/>
  <c r="L31" i="12"/>
  <c r="Q31" i="12" s="1"/>
  <c r="L31" i="13"/>
  <c r="Q31" i="13" s="1"/>
  <c r="Q31" i="11"/>
  <c r="AB31" i="11" s="1"/>
  <c r="V22" i="24" s="1"/>
  <c r="L36" i="12"/>
  <c r="Q36" i="12" s="1"/>
  <c r="L36" i="13"/>
  <c r="Q36" i="13" s="1"/>
  <c r="Q36" i="11"/>
  <c r="AB36" i="11" s="1"/>
  <c r="L30" i="12"/>
  <c r="Q30" i="12" s="1"/>
  <c r="L30" i="13"/>
  <c r="Q30" i="13" s="1"/>
  <c r="Q30" i="11"/>
  <c r="AB30" i="11" s="1"/>
  <c r="L5" i="12"/>
  <c r="L46" i="11"/>
  <c r="L5" i="13"/>
  <c r="Q5" i="11"/>
  <c r="L12" i="12"/>
  <c r="Q12" i="12" s="1"/>
  <c r="L12" i="13"/>
  <c r="Q12" i="13" s="1"/>
  <c r="Q12" i="11"/>
  <c r="AB12" i="11" s="1"/>
  <c r="V7" i="24" s="1"/>
  <c r="AM61" i="6"/>
  <c r="AM59" i="9"/>
  <c r="AM59" i="8"/>
  <c r="AM59" i="7"/>
  <c r="T61" i="6"/>
  <c r="T59" i="9"/>
  <c r="T59" i="8"/>
  <c r="T59" i="7"/>
  <c r="L9" i="12"/>
  <c r="Q9" i="12" s="1"/>
  <c r="AB9" i="12" s="1"/>
  <c r="Q9" i="11"/>
  <c r="AB9" i="11" s="1"/>
  <c r="L9" i="13"/>
  <c r="Q9" i="13" s="1"/>
  <c r="AB9" i="13" s="1"/>
  <c r="L39" i="12"/>
  <c r="Q39" i="12" s="1"/>
  <c r="L39" i="13"/>
  <c r="Q39" i="13" s="1"/>
  <c r="Q39" i="11"/>
  <c r="AB39" i="11" s="1"/>
  <c r="V28" i="24" s="1"/>
  <c r="L26" i="12"/>
  <c r="Q26" i="12" s="1"/>
  <c r="L26" i="13"/>
  <c r="Q26" i="13" s="1"/>
  <c r="Q26" i="11"/>
  <c r="AB26" i="11" s="1"/>
  <c r="L19" i="12"/>
  <c r="Q19" i="12" s="1"/>
  <c r="L19" i="13"/>
  <c r="Q19" i="13" s="1"/>
  <c r="Q19" i="11"/>
  <c r="AB19" i="11" s="1"/>
  <c r="V10" i="24" s="1"/>
  <c r="L24" i="12"/>
  <c r="Q24" i="12" s="1"/>
  <c r="L24" i="13"/>
  <c r="Q24" i="13" s="1"/>
  <c r="Q24" i="11"/>
  <c r="AB24" i="11" s="1"/>
  <c r="V13" i="24" s="1"/>
  <c r="L14" i="12"/>
  <c r="Q14" i="12" s="1"/>
  <c r="L14" i="13"/>
  <c r="Q14" i="13" s="1"/>
  <c r="Q14" i="11"/>
  <c r="AB14" i="11" s="1"/>
  <c r="V11" i="24" s="1"/>
  <c r="L20" i="12"/>
  <c r="Q20" i="12" s="1"/>
  <c r="L20" i="13"/>
  <c r="Q20" i="13" s="1"/>
  <c r="Q20" i="11"/>
  <c r="AB20" i="11" s="1"/>
  <c r="L25" i="12"/>
  <c r="Q25" i="12" s="1"/>
  <c r="L25" i="13"/>
  <c r="Q25" i="13" s="1"/>
  <c r="Q25" i="11"/>
  <c r="AB25" i="11" s="1"/>
  <c r="V14" i="24" s="1"/>
  <c r="L6" i="12"/>
  <c r="Q6" i="12" s="1"/>
  <c r="L6" i="13"/>
  <c r="Q6" i="13" s="1"/>
  <c r="Q6" i="11"/>
  <c r="AB6" i="11" s="1"/>
  <c r="L13" i="12"/>
  <c r="Q13" i="12" s="1"/>
  <c r="Q13" i="11"/>
  <c r="AB13" i="11" s="1"/>
  <c r="V9" i="24" s="1"/>
  <c r="L13" i="13"/>
  <c r="Q13" i="13" s="1"/>
  <c r="O14" i="27" l="1"/>
  <c r="U19" i="25"/>
  <c r="U74" i="25" s="1"/>
  <c r="U53" i="25"/>
  <c r="U108" i="25" s="1"/>
  <c r="U17" i="25"/>
  <c r="U72" i="25" s="1"/>
  <c r="AD14" i="8"/>
  <c r="AA14" i="25"/>
  <c r="AA69" i="25" s="1"/>
  <c r="P14" i="27"/>
  <c r="U14" i="25"/>
  <c r="U69" i="25" s="1"/>
  <c r="Y39" i="9"/>
  <c r="AB39" i="9" s="1"/>
  <c r="AB39" i="7"/>
  <c r="AB46" i="7"/>
  <c r="Y46" i="9"/>
  <c r="AB46" i="9" s="1"/>
  <c r="Y7" i="9"/>
  <c r="AB7" i="9" s="1"/>
  <c r="AB7" i="7"/>
  <c r="Y30" i="9"/>
  <c r="AB30" i="9" s="1"/>
  <c r="AB30" i="7"/>
  <c r="Y34" i="9"/>
  <c r="AB34" i="9" s="1"/>
  <c r="AB34" i="7"/>
  <c r="Y13" i="9"/>
  <c r="AB13" i="9" s="1"/>
  <c r="AB13" i="7"/>
  <c r="Y29" i="9"/>
  <c r="AB29" i="9" s="1"/>
  <c r="AB29" i="7"/>
  <c r="AB47" i="7"/>
  <c r="Y47" i="9"/>
  <c r="AB47" i="9" s="1"/>
  <c r="AB19" i="7"/>
  <c r="Y19" i="9"/>
  <c r="AB19" i="9" s="1"/>
  <c r="Y42" i="9"/>
  <c r="AB42" i="9" s="1"/>
  <c r="AB42" i="7"/>
  <c r="Y37" i="9"/>
  <c r="AB37" i="9" s="1"/>
  <c r="AB37" i="7"/>
  <c r="AB5" i="7"/>
  <c r="Y56" i="7"/>
  <c r="Y61" i="7" s="1"/>
  <c r="Y5" i="9"/>
  <c r="L5" i="25"/>
  <c r="L60" i="25" s="1"/>
  <c r="L56" i="8"/>
  <c r="AA51" i="25"/>
  <c r="AA106" i="25" s="1"/>
  <c r="AD51" i="8"/>
  <c r="AD25" i="8"/>
  <c r="AA25" i="25"/>
  <c r="AA80" i="25" s="1"/>
  <c r="AD6" i="8"/>
  <c r="AA6" i="25"/>
  <c r="AA61" i="25" s="1"/>
  <c r="AD42" i="8"/>
  <c r="AA42" i="25"/>
  <c r="AA97" i="25" s="1"/>
  <c r="AD19" i="8"/>
  <c r="AA19" i="25"/>
  <c r="AA74" i="25" s="1"/>
  <c r="AD40" i="8"/>
  <c r="AA40" i="25"/>
  <c r="AA95" i="25" s="1"/>
  <c r="AA53" i="25"/>
  <c r="AA108" i="25" s="1"/>
  <c r="AD53" i="8"/>
  <c r="AA44" i="25"/>
  <c r="AA99" i="25" s="1"/>
  <c r="AD44" i="8"/>
  <c r="AD17" i="8"/>
  <c r="AA17" i="25"/>
  <c r="AA72" i="25" s="1"/>
  <c r="AA34" i="25"/>
  <c r="AA89" i="25" s="1"/>
  <c r="AD34" i="8"/>
  <c r="AD36" i="8"/>
  <c r="AA36" i="25"/>
  <c r="AA91" i="25" s="1"/>
  <c r="AD37" i="8"/>
  <c r="AA37" i="25"/>
  <c r="AA92" i="25" s="1"/>
  <c r="U27" i="25"/>
  <c r="U82" i="25" s="1"/>
  <c r="U15" i="25"/>
  <c r="U70" i="25" s="1"/>
  <c r="AE5" i="25"/>
  <c r="AE60" i="25" s="1"/>
  <c r="AI56" i="8"/>
  <c r="V56" i="9"/>
  <c r="AD13" i="8"/>
  <c r="AA13" i="25"/>
  <c r="AA68" i="25" s="1"/>
  <c r="Y9" i="9"/>
  <c r="AB9" i="9" s="1"/>
  <c r="AB9" i="7"/>
  <c r="Y12" i="9"/>
  <c r="AB12" i="9" s="1"/>
  <c r="AB12" i="7"/>
  <c r="Y32" i="9"/>
  <c r="AB32" i="9" s="1"/>
  <c r="AB32" i="7"/>
  <c r="AB20" i="7"/>
  <c r="Y20" i="9"/>
  <c r="AB20" i="9" s="1"/>
  <c r="AB15" i="7"/>
  <c r="Y15" i="9"/>
  <c r="AB15" i="9" s="1"/>
  <c r="Y50" i="9"/>
  <c r="AB50" i="9" s="1"/>
  <c r="AB50" i="7"/>
  <c r="Y52" i="9"/>
  <c r="AB52" i="9" s="1"/>
  <c r="AB52" i="7"/>
  <c r="Y16" i="9"/>
  <c r="AB16" i="9" s="1"/>
  <c r="AB16" i="7"/>
  <c r="AB36" i="7"/>
  <c r="Y36" i="9"/>
  <c r="AB36" i="9" s="1"/>
  <c r="Y31" i="9"/>
  <c r="AB31" i="9" s="1"/>
  <c r="AB31" i="7"/>
  <c r="AB22" i="7"/>
  <c r="Y22" i="9"/>
  <c r="AB22" i="9" s="1"/>
  <c r="S46" i="8"/>
  <c r="S33" i="8"/>
  <c r="S41" i="8"/>
  <c r="S23" i="8"/>
  <c r="S39" i="8"/>
  <c r="S10" i="8"/>
  <c r="S54" i="8"/>
  <c r="S16" i="8"/>
  <c r="S47" i="8"/>
  <c r="S40" i="8"/>
  <c r="S37" i="8"/>
  <c r="S12" i="8"/>
  <c r="S36" i="8"/>
  <c r="S35" i="8"/>
  <c r="S7" i="8"/>
  <c r="S30" i="8"/>
  <c r="S8" i="8"/>
  <c r="S45" i="8"/>
  <c r="S15" i="8"/>
  <c r="S43" i="8"/>
  <c r="S6" i="8"/>
  <c r="S48" i="8"/>
  <c r="S49" i="8"/>
  <c r="S51" i="8"/>
  <c r="S11" i="8"/>
  <c r="S52" i="8"/>
  <c r="S5" i="8"/>
  <c r="S26" i="8"/>
  <c r="S53" i="8"/>
  <c r="S25" i="8"/>
  <c r="S42" i="8"/>
  <c r="S29" i="8"/>
  <c r="S38" i="8"/>
  <c r="S18" i="8"/>
  <c r="S24" i="8"/>
  <c r="S32" i="8"/>
  <c r="S34" i="8"/>
  <c r="S31" i="8"/>
  <c r="S50" i="8"/>
  <c r="S44" i="8"/>
  <c r="S28" i="8"/>
  <c r="S9" i="8"/>
  <c r="S22" i="8"/>
  <c r="S13" i="8"/>
  <c r="S17" i="8"/>
  <c r="S27" i="8"/>
  <c r="S19" i="8"/>
  <c r="S14" i="8"/>
  <c r="S20" i="8"/>
  <c r="S21" i="8"/>
  <c r="AD5" i="25"/>
  <c r="AD60" i="25" s="1"/>
  <c r="AH56" i="8"/>
  <c r="AA29" i="25"/>
  <c r="AA84" i="25" s="1"/>
  <c r="AD29" i="8"/>
  <c r="AA28" i="25"/>
  <c r="AA83" i="25" s="1"/>
  <c r="AD28" i="8"/>
  <c r="AD11" i="8"/>
  <c r="AA11" i="25"/>
  <c r="AA66" i="25" s="1"/>
  <c r="AD32" i="8"/>
  <c r="AA32" i="25"/>
  <c r="AA87" i="25" s="1"/>
  <c r="AA16" i="25"/>
  <c r="AA71" i="25" s="1"/>
  <c r="AD16" i="8"/>
  <c r="AD18" i="8"/>
  <c r="AA18" i="25"/>
  <c r="AA73" i="25" s="1"/>
  <c r="AD47" i="8"/>
  <c r="AA47" i="25"/>
  <c r="AA102" i="25" s="1"/>
  <c r="AD21" i="8"/>
  <c r="AA21" i="25"/>
  <c r="AA76" i="25" s="1"/>
  <c r="AD26" i="8"/>
  <c r="AA26" i="25"/>
  <c r="AA81" i="25" s="1"/>
  <c r="AA52" i="25"/>
  <c r="AA107" i="25" s="1"/>
  <c r="AD52" i="8"/>
  <c r="AD49" i="8"/>
  <c r="AA49" i="25"/>
  <c r="AA104" i="25" s="1"/>
  <c r="M40" i="8"/>
  <c r="M40" i="25" s="1"/>
  <c r="M95" i="25" s="1"/>
  <c r="M52" i="8"/>
  <c r="M52" i="25" s="1"/>
  <c r="M107" i="25" s="1"/>
  <c r="M39" i="8"/>
  <c r="M39" i="25" s="1"/>
  <c r="M94" i="25" s="1"/>
  <c r="M35" i="8"/>
  <c r="M35" i="25" s="1"/>
  <c r="M90" i="25" s="1"/>
  <c r="M23" i="8"/>
  <c r="M23" i="25" s="1"/>
  <c r="M78" i="25" s="1"/>
  <c r="M41" i="8"/>
  <c r="M41" i="25" s="1"/>
  <c r="M96" i="25" s="1"/>
  <c r="M17" i="8"/>
  <c r="M17" i="25" s="1"/>
  <c r="M72" i="25" s="1"/>
  <c r="M22" i="8"/>
  <c r="M22" i="25" s="1"/>
  <c r="M77" i="25" s="1"/>
  <c r="M6" i="8"/>
  <c r="M6" i="25" s="1"/>
  <c r="M61" i="25" s="1"/>
  <c r="M8" i="8"/>
  <c r="M8" i="25" s="1"/>
  <c r="M63" i="25" s="1"/>
  <c r="M19" i="8"/>
  <c r="M19" i="25" s="1"/>
  <c r="M74" i="25" s="1"/>
  <c r="M28" i="8"/>
  <c r="M28" i="25" s="1"/>
  <c r="M83" i="25" s="1"/>
  <c r="M24" i="8"/>
  <c r="M24" i="25" s="1"/>
  <c r="M79" i="25" s="1"/>
  <c r="M30" i="8"/>
  <c r="M30" i="25" s="1"/>
  <c r="M85" i="25" s="1"/>
  <c r="M21" i="8"/>
  <c r="M21" i="25" s="1"/>
  <c r="M76" i="25" s="1"/>
  <c r="M44" i="8"/>
  <c r="M44" i="25" s="1"/>
  <c r="M99" i="25" s="1"/>
  <c r="M46" i="8"/>
  <c r="M46" i="25" s="1"/>
  <c r="M101" i="25" s="1"/>
  <c r="M15" i="8"/>
  <c r="M15" i="25" s="1"/>
  <c r="M70" i="25" s="1"/>
  <c r="M12" i="8"/>
  <c r="M12" i="25" s="1"/>
  <c r="M67" i="25" s="1"/>
  <c r="M54" i="8"/>
  <c r="M54" i="25" s="1"/>
  <c r="M109" i="25" s="1"/>
  <c r="M26" i="8"/>
  <c r="M26" i="25" s="1"/>
  <c r="M81" i="25" s="1"/>
  <c r="M31" i="8"/>
  <c r="M31" i="25" s="1"/>
  <c r="M86" i="25" s="1"/>
  <c r="M18" i="8"/>
  <c r="M18" i="25" s="1"/>
  <c r="M73" i="25" s="1"/>
  <c r="M10" i="8"/>
  <c r="M10" i="25" s="1"/>
  <c r="M65" i="25" s="1"/>
  <c r="M45" i="8"/>
  <c r="M45" i="25" s="1"/>
  <c r="M100" i="25" s="1"/>
  <c r="M27" i="8"/>
  <c r="M27" i="25" s="1"/>
  <c r="M82" i="25" s="1"/>
  <c r="M25" i="8"/>
  <c r="M25" i="25" s="1"/>
  <c r="M80" i="25" s="1"/>
  <c r="M47" i="8"/>
  <c r="M47" i="25" s="1"/>
  <c r="M102" i="25" s="1"/>
  <c r="M5" i="8"/>
  <c r="M14" i="8"/>
  <c r="M14" i="25" s="1"/>
  <c r="M69" i="25" s="1"/>
  <c r="M20" i="8"/>
  <c r="M20" i="25" s="1"/>
  <c r="M75" i="25" s="1"/>
  <c r="M13" i="8"/>
  <c r="M13" i="25" s="1"/>
  <c r="M68" i="25" s="1"/>
  <c r="M42" i="8"/>
  <c r="M42" i="25" s="1"/>
  <c r="M97" i="25" s="1"/>
  <c r="M37" i="8"/>
  <c r="M37" i="25" s="1"/>
  <c r="M92" i="25" s="1"/>
  <c r="M48" i="8"/>
  <c r="M48" i="25" s="1"/>
  <c r="M103" i="25" s="1"/>
  <c r="M34" i="8"/>
  <c r="M34" i="25" s="1"/>
  <c r="M89" i="25" s="1"/>
  <c r="M53" i="8"/>
  <c r="M53" i="25" s="1"/>
  <c r="M108" i="25" s="1"/>
  <c r="M32" i="8"/>
  <c r="M32" i="25" s="1"/>
  <c r="M87" i="25" s="1"/>
  <c r="M33" i="8"/>
  <c r="M33" i="25" s="1"/>
  <c r="M88" i="25" s="1"/>
  <c r="M9" i="8"/>
  <c r="M9" i="25" s="1"/>
  <c r="M64" i="25" s="1"/>
  <c r="M36" i="8"/>
  <c r="M36" i="25" s="1"/>
  <c r="M91" i="25" s="1"/>
  <c r="M29" i="8"/>
  <c r="M29" i="25" s="1"/>
  <c r="M84" i="25" s="1"/>
  <c r="M49" i="8"/>
  <c r="M49" i="25" s="1"/>
  <c r="M104" i="25" s="1"/>
  <c r="M38" i="8"/>
  <c r="M38" i="25" s="1"/>
  <c r="M93" i="25" s="1"/>
  <c r="M43" i="8"/>
  <c r="M43" i="25" s="1"/>
  <c r="M98" i="25" s="1"/>
  <c r="M51" i="8"/>
  <c r="M51" i="25" s="1"/>
  <c r="M106" i="25" s="1"/>
  <c r="M7" i="8"/>
  <c r="M7" i="25" s="1"/>
  <c r="M62" i="25" s="1"/>
  <c r="M50" i="8"/>
  <c r="M50" i="25" s="1"/>
  <c r="M105" i="25" s="1"/>
  <c r="M11" i="8"/>
  <c r="M11" i="25" s="1"/>
  <c r="M66" i="25" s="1"/>
  <c r="M16" i="8"/>
  <c r="M16" i="25" s="1"/>
  <c r="M71" i="25" s="1"/>
  <c r="V5" i="25"/>
  <c r="V60" i="25" s="1"/>
  <c r="W56" i="8"/>
  <c r="O5" i="25"/>
  <c r="O60" i="25" s="1"/>
  <c r="O56" i="8"/>
  <c r="U42" i="25"/>
  <c r="U97" i="25" s="1"/>
  <c r="U45" i="25"/>
  <c r="U100" i="25" s="1"/>
  <c r="Y25" i="9"/>
  <c r="AB25" i="9" s="1"/>
  <c r="AB25" i="7"/>
  <c r="AB54" i="7"/>
  <c r="Y54" i="9"/>
  <c r="AB54" i="9" s="1"/>
  <c r="Y17" i="9"/>
  <c r="AB17" i="9" s="1"/>
  <c r="AB17" i="7"/>
  <c r="Y44" i="9"/>
  <c r="AB44" i="9" s="1"/>
  <c r="AB44" i="7"/>
  <c r="Y38" i="9"/>
  <c r="AB38" i="9" s="1"/>
  <c r="AB38" i="7"/>
  <c r="Y6" i="9"/>
  <c r="AB6" i="9" s="1"/>
  <c r="AB6" i="7"/>
  <c r="Y33" i="9"/>
  <c r="AB33" i="9" s="1"/>
  <c r="AB33" i="7"/>
  <c r="Y51" i="9"/>
  <c r="AB51" i="9" s="1"/>
  <c r="AB51" i="7"/>
  <c r="AB28" i="7"/>
  <c r="Y28" i="9"/>
  <c r="AB28" i="9" s="1"/>
  <c r="AB18" i="7"/>
  <c r="Y18" i="9"/>
  <c r="AB18" i="9" s="1"/>
  <c r="Y45" i="9"/>
  <c r="AB45" i="9" s="1"/>
  <c r="AB45" i="7"/>
  <c r="Y8" i="9"/>
  <c r="AB8" i="9" s="1"/>
  <c r="AB8" i="7"/>
  <c r="Y21" i="9"/>
  <c r="AB21" i="9" s="1"/>
  <c r="AB21" i="7"/>
  <c r="R36" i="8"/>
  <c r="R36" i="25" s="1"/>
  <c r="R91" i="25" s="1"/>
  <c r="R21" i="8"/>
  <c r="R21" i="25" s="1"/>
  <c r="R76" i="25" s="1"/>
  <c r="R50" i="8"/>
  <c r="R50" i="25" s="1"/>
  <c r="R105" i="25" s="1"/>
  <c r="R48" i="8"/>
  <c r="R48" i="25" s="1"/>
  <c r="R103" i="25" s="1"/>
  <c r="R49" i="8"/>
  <c r="R49" i="25" s="1"/>
  <c r="R104" i="25" s="1"/>
  <c r="R53" i="8"/>
  <c r="R53" i="25" s="1"/>
  <c r="R108" i="25" s="1"/>
  <c r="R25" i="8"/>
  <c r="R42" i="8"/>
  <c r="R42" i="25" s="1"/>
  <c r="R97" i="25" s="1"/>
  <c r="R29" i="8"/>
  <c r="R43" i="8"/>
  <c r="R43" i="25" s="1"/>
  <c r="R98" i="25" s="1"/>
  <c r="R6" i="8"/>
  <c r="R6" i="25" s="1"/>
  <c r="R61" i="25" s="1"/>
  <c r="R33" i="8"/>
  <c r="R33" i="25" s="1"/>
  <c r="R88" i="25" s="1"/>
  <c r="R47" i="8"/>
  <c r="R47" i="25" s="1"/>
  <c r="R102" i="25" s="1"/>
  <c r="R37" i="8"/>
  <c r="R37" i="25" s="1"/>
  <c r="R92" i="25" s="1"/>
  <c r="R12" i="8"/>
  <c r="R12" i="25" s="1"/>
  <c r="R67" i="25" s="1"/>
  <c r="R46" i="8"/>
  <c r="R46" i="25" s="1"/>
  <c r="R101" i="25" s="1"/>
  <c r="R24" i="8"/>
  <c r="R32" i="8"/>
  <c r="R9" i="8"/>
  <c r="R9" i="25" s="1"/>
  <c r="R64" i="25" s="1"/>
  <c r="R22" i="8"/>
  <c r="R22" i="25" s="1"/>
  <c r="R77" i="25" s="1"/>
  <c r="R13" i="8"/>
  <c r="R13" i="25" s="1"/>
  <c r="R68" i="25" s="1"/>
  <c r="R17" i="8"/>
  <c r="R17" i="25" s="1"/>
  <c r="R72" i="25" s="1"/>
  <c r="R38" i="8"/>
  <c r="R38" i="25" s="1"/>
  <c r="R93" i="25" s="1"/>
  <c r="R18" i="8"/>
  <c r="R18" i="25" s="1"/>
  <c r="R73" i="25" s="1"/>
  <c r="R41" i="8"/>
  <c r="R41" i="25" s="1"/>
  <c r="R96" i="25" s="1"/>
  <c r="R7" i="8"/>
  <c r="R7" i="25" s="1"/>
  <c r="R62" i="25" s="1"/>
  <c r="R20" i="8"/>
  <c r="R20" i="25" s="1"/>
  <c r="R75" i="25" s="1"/>
  <c r="R39" i="8"/>
  <c r="R39" i="25" s="1"/>
  <c r="R94" i="25" s="1"/>
  <c r="R54" i="8"/>
  <c r="R54" i="25" s="1"/>
  <c r="R109" i="25" s="1"/>
  <c r="R19" i="8"/>
  <c r="R19" i="25" s="1"/>
  <c r="R74" i="25" s="1"/>
  <c r="R51" i="8"/>
  <c r="R51" i="25" s="1"/>
  <c r="R106" i="25" s="1"/>
  <c r="R11" i="8"/>
  <c r="R11" i="25" s="1"/>
  <c r="R66" i="25" s="1"/>
  <c r="R35" i="8"/>
  <c r="R35" i="25" s="1"/>
  <c r="R90" i="25" s="1"/>
  <c r="R14" i="8"/>
  <c r="R14" i="25" s="1"/>
  <c r="R69" i="25" s="1"/>
  <c r="R23" i="8"/>
  <c r="R23" i="25" s="1"/>
  <c r="R78" i="25" s="1"/>
  <c r="R10" i="8"/>
  <c r="R10" i="25" s="1"/>
  <c r="R65" i="25" s="1"/>
  <c r="R27" i="8"/>
  <c r="R26" i="8"/>
  <c r="R34" i="8"/>
  <c r="R34" i="25" s="1"/>
  <c r="R89" i="25" s="1"/>
  <c r="R31" i="8"/>
  <c r="R5" i="8"/>
  <c r="R40" i="8"/>
  <c r="R40" i="25" s="1"/>
  <c r="R95" i="25" s="1"/>
  <c r="R30" i="8"/>
  <c r="R8" i="8"/>
  <c r="R8" i="25" s="1"/>
  <c r="R63" i="25" s="1"/>
  <c r="R45" i="8"/>
  <c r="R45" i="25" s="1"/>
  <c r="R100" i="25" s="1"/>
  <c r="R15" i="8"/>
  <c r="R15" i="25" s="1"/>
  <c r="R70" i="25" s="1"/>
  <c r="R52" i="8"/>
  <c r="R52" i="25" s="1"/>
  <c r="R107" i="25" s="1"/>
  <c r="R16" i="8"/>
  <c r="R16" i="25" s="1"/>
  <c r="R71" i="25" s="1"/>
  <c r="R44" i="8"/>
  <c r="R44" i="25" s="1"/>
  <c r="R99" i="25" s="1"/>
  <c r="R28" i="8"/>
  <c r="R28" i="25" s="1"/>
  <c r="R83" i="25" s="1"/>
  <c r="B7" i="27"/>
  <c r="B13" i="27" s="1"/>
  <c r="AD24" i="8"/>
  <c r="AA24" i="25"/>
  <c r="AA79" i="25" s="1"/>
  <c r="AD43" i="8"/>
  <c r="AA43" i="25"/>
  <c r="AA98" i="25" s="1"/>
  <c r="AD30" i="8"/>
  <c r="AA30" i="25"/>
  <c r="AA85" i="25" s="1"/>
  <c r="AA5" i="25"/>
  <c r="AA60" i="25" s="1"/>
  <c r="AD5" i="8"/>
  <c r="AC56" i="8"/>
  <c r="AD20" i="8"/>
  <c r="AA20" i="25"/>
  <c r="AA75" i="25" s="1"/>
  <c r="AD27" i="8"/>
  <c r="AA27" i="25"/>
  <c r="AA82" i="25" s="1"/>
  <c r="AA8" i="25"/>
  <c r="AA63" i="25" s="1"/>
  <c r="AD8" i="8"/>
  <c r="AA50" i="25"/>
  <c r="AA105" i="25" s="1"/>
  <c r="AD50" i="8"/>
  <c r="AD38" i="8"/>
  <c r="AA38" i="25"/>
  <c r="AA93" i="25" s="1"/>
  <c r="AD7" i="8"/>
  <c r="AA7" i="25"/>
  <c r="AA62" i="25" s="1"/>
  <c r="AD46" i="8"/>
  <c r="AA46" i="25"/>
  <c r="AA101" i="25" s="1"/>
  <c r="U40" i="25"/>
  <c r="U95" i="25" s="1"/>
  <c r="AB24" i="7"/>
  <c r="AD12" i="8"/>
  <c r="AA12" i="25"/>
  <c r="AA67" i="25" s="1"/>
  <c r="T5" i="25"/>
  <c r="T60" i="25" s="1"/>
  <c r="U56" i="8"/>
  <c r="W5" i="25"/>
  <c r="W60" i="25" s="1"/>
  <c r="X56" i="8"/>
  <c r="U46" i="25"/>
  <c r="U101" i="25" s="1"/>
  <c r="U48" i="25"/>
  <c r="U103" i="25" s="1"/>
  <c r="U37" i="25"/>
  <c r="U92" i="25" s="1"/>
  <c r="Q5" i="25"/>
  <c r="Q60" i="25" s="1"/>
  <c r="Q56" i="8"/>
  <c r="Y40" i="9"/>
  <c r="AB40" i="9" s="1"/>
  <c r="AB40" i="7"/>
  <c r="Y48" i="9"/>
  <c r="AB48" i="9" s="1"/>
  <c r="AB48" i="7"/>
  <c r="Y10" i="9"/>
  <c r="AB10" i="9" s="1"/>
  <c r="AB10" i="7"/>
  <c r="Y49" i="9"/>
  <c r="AB49" i="9" s="1"/>
  <c r="AB49" i="7"/>
  <c r="AB27" i="7"/>
  <c r="Y27" i="9"/>
  <c r="AB27" i="9" s="1"/>
  <c r="AB14" i="7"/>
  <c r="Y14" i="9"/>
  <c r="AB14" i="9" s="1"/>
  <c r="Y26" i="9"/>
  <c r="AB26" i="9" s="1"/>
  <c r="AB26" i="7"/>
  <c r="Y53" i="9"/>
  <c r="AB53" i="9" s="1"/>
  <c r="AB53" i="7"/>
  <c r="Y41" i="9"/>
  <c r="AB41" i="9" s="1"/>
  <c r="AB41" i="7"/>
  <c r="AB43" i="7"/>
  <c r="Y43" i="9"/>
  <c r="AB43" i="9" s="1"/>
  <c r="AB35" i="7"/>
  <c r="Y35" i="9"/>
  <c r="AB35" i="9" s="1"/>
  <c r="AB11" i="7"/>
  <c r="Y11" i="9"/>
  <c r="AB11" i="9" s="1"/>
  <c r="Y23" i="9"/>
  <c r="AB23" i="9" s="1"/>
  <c r="AB23" i="7"/>
  <c r="AA10" i="25"/>
  <c r="AA65" i="25" s="1"/>
  <c r="AD10" i="8"/>
  <c r="AA15" i="25"/>
  <c r="AA70" i="25" s="1"/>
  <c r="AD15" i="8"/>
  <c r="AD35" i="8"/>
  <c r="AA35" i="25"/>
  <c r="AA90" i="25" s="1"/>
  <c r="AA54" i="25"/>
  <c r="AA109" i="25" s="1"/>
  <c r="AD54" i="8"/>
  <c r="AA48" i="25"/>
  <c r="AA103" i="25" s="1"/>
  <c r="AD48" i="8"/>
  <c r="AD45" i="8"/>
  <c r="AA45" i="25"/>
  <c r="AA100" i="25" s="1"/>
  <c r="AD23" i="8"/>
  <c r="AA23" i="25"/>
  <c r="AA78" i="25" s="1"/>
  <c r="AD41" i="8"/>
  <c r="AA41" i="25"/>
  <c r="AA96" i="25" s="1"/>
  <c r="AD39" i="8"/>
  <c r="AA39" i="25"/>
  <c r="AA94" i="25" s="1"/>
  <c r="AD33" i="8"/>
  <c r="AA33" i="25"/>
  <c r="AA88" i="25" s="1"/>
  <c r="AD22" i="8"/>
  <c r="AA22" i="25"/>
  <c r="AA77" i="25" s="1"/>
  <c r="U16" i="25"/>
  <c r="U71" i="25" s="1"/>
  <c r="U36" i="25"/>
  <c r="U91" i="25" s="1"/>
  <c r="U9" i="25"/>
  <c r="U64" i="25" s="1"/>
  <c r="P5" i="25"/>
  <c r="P60" i="25" s="1"/>
  <c r="P56" i="8"/>
  <c r="V54" i="8"/>
  <c r="U54" i="25" s="1"/>
  <c r="U109" i="25" s="1"/>
  <c r="V51" i="8"/>
  <c r="U51" i="25" s="1"/>
  <c r="U106" i="25" s="1"/>
  <c r="V11" i="8"/>
  <c r="U11" i="25" s="1"/>
  <c r="U66" i="25" s="1"/>
  <c r="V33" i="8"/>
  <c r="U33" i="25" s="1"/>
  <c r="U88" i="25" s="1"/>
  <c r="V29" i="8"/>
  <c r="U29" i="25" s="1"/>
  <c r="U84" i="25" s="1"/>
  <c r="V21" i="8"/>
  <c r="U21" i="25" s="1"/>
  <c r="U76" i="25" s="1"/>
  <c r="V5" i="8"/>
  <c r="V22" i="8"/>
  <c r="U22" i="25" s="1"/>
  <c r="U77" i="25" s="1"/>
  <c r="V41" i="8"/>
  <c r="U41" i="25" s="1"/>
  <c r="U96" i="25" s="1"/>
  <c r="V8" i="8"/>
  <c r="U8" i="25" s="1"/>
  <c r="U63" i="25" s="1"/>
  <c r="V24" i="8"/>
  <c r="U24" i="25" s="1"/>
  <c r="U79" i="25" s="1"/>
  <c r="V12" i="8"/>
  <c r="U12" i="25" s="1"/>
  <c r="U67" i="25" s="1"/>
  <c r="V43" i="8"/>
  <c r="U43" i="25" s="1"/>
  <c r="U98" i="25" s="1"/>
  <c r="V31" i="8"/>
  <c r="U31" i="25" s="1"/>
  <c r="U86" i="25" s="1"/>
  <c r="V7" i="8"/>
  <c r="U7" i="25" s="1"/>
  <c r="U62" i="25" s="1"/>
  <c r="V25" i="8"/>
  <c r="U25" i="25" s="1"/>
  <c r="U80" i="25" s="1"/>
  <c r="V44" i="8"/>
  <c r="U44" i="25" s="1"/>
  <c r="U99" i="25" s="1"/>
  <c r="V6" i="8"/>
  <c r="U6" i="25" s="1"/>
  <c r="U61" i="25" s="1"/>
  <c r="V49" i="8"/>
  <c r="U49" i="25" s="1"/>
  <c r="U104" i="25" s="1"/>
  <c r="AD31" i="8"/>
  <c r="AA31" i="25"/>
  <c r="AA86" i="25" s="1"/>
  <c r="F15" i="28"/>
  <c r="L5" i="26"/>
  <c r="L50" i="26" s="1"/>
  <c r="J11" i="24"/>
  <c r="J6" i="24"/>
  <c r="V16" i="24"/>
  <c r="V26" i="24"/>
  <c r="V21" i="24"/>
  <c r="V25" i="24"/>
  <c r="V20" i="24"/>
  <c r="V15" i="24"/>
  <c r="AA60" i="17"/>
  <c r="AA56" i="17"/>
  <c r="AA52" i="17"/>
  <c r="AA48" i="17"/>
  <c r="AA44" i="17"/>
  <c r="AA40" i="17"/>
  <c r="AA36" i="17"/>
  <c r="AA32" i="17"/>
  <c r="AA28" i="17"/>
  <c r="AA58" i="17"/>
  <c r="AA54" i="17"/>
  <c r="AA50" i="17"/>
  <c r="AA46" i="17"/>
  <c r="AA42" i="17"/>
  <c r="AA38" i="17"/>
  <c r="AA34" i="17"/>
  <c r="AA30" i="17"/>
  <c r="AA26" i="17"/>
  <c r="AA59" i="17"/>
  <c r="AA55" i="17"/>
  <c r="AA51" i="17"/>
  <c r="AA47" i="17"/>
  <c r="AA43" i="17"/>
  <c r="AA39" i="17"/>
  <c r="AA35" i="17"/>
  <c r="AA31" i="17"/>
  <c r="AA27" i="17"/>
  <c r="AA49" i="17"/>
  <c r="AA33" i="17"/>
  <c r="AA61" i="16"/>
  <c r="AA57" i="16"/>
  <c r="AA53" i="16"/>
  <c r="AA49" i="16"/>
  <c r="AA45" i="16"/>
  <c r="AA41" i="16"/>
  <c r="AA37" i="16"/>
  <c r="AA33" i="16"/>
  <c r="AA29" i="16"/>
  <c r="AA61" i="17"/>
  <c r="AA45" i="17"/>
  <c r="AA29" i="17"/>
  <c r="AA60" i="16"/>
  <c r="AA56" i="16"/>
  <c r="AA52" i="16"/>
  <c r="AA48" i="16"/>
  <c r="AA44" i="16"/>
  <c r="AA40" i="16"/>
  <c r="AA36" i="16"/>
  <c r="AA32" i="16"/>
  <c r="AA28" i="16"/>
  <c r="AA57" i="17"/>
  <c r="AA41" i="17"/>
  <c r="AA59" i="16"/>
  <c r="AA55" i="16"/>
  <c r="AA51" i="16"/>
  <c r="AA47" i="16"/>
  <c r="AA43" i="16"/>
  <c r="AA39" i="16"/>
  <c r="AA35" i="16"/>
  <c r="AA31" i="16"/>
  <c r="AA27" i="16"/>
  <c r="AA53" i="17"/>
  <c r="AA37" i="17"/>
  <c r="AA58" i="16"/>
  <c r="AA54" i="16"/>
  <c r="AA50" i="16"/>
  <c r="AA46" i="16"/>
  <c r="AA42" i="16"/>
  <c r="AA38" i="16"/>
  <c r="AA34" i="16"/>
  <c r="AA30" i="16"/>
  <c r="AA26" i="16"/>
  <c r="L18" i="26"/>
  <c r="L63" i="26" s="1"/>
  <c r="L34" i="26"/>
  <c r="L79" i="26" s="1"/>
  <c r="L28" i="26"/>
  <c r="L73" i="26" s="1"/>
  <c r="L25" i="26"/>
  <c r="L70" i="26" s="1"/>
  <c r="L19" i="26"/>
  <c r="L64" i="26" s="1"/>
  <c r="L9" i="26"/>
  <c r="L54" i="26" s="1"/>
  <c r="L30" i="26"/>
  <c r="L75" i="26" s="1"/>
  <c r="L35" i="26"/>
  <c r="L80" i="26" s="1"/>
  <c r="L8" i="26"/>
  <c r="L53" i="26" s="1"/>
  <c r="L11" i="26"/>
  <c r="L56" i="26" s="1"/>
  <c r="L16" i="26"/>
  <c r="L61" i="26" s="1"/>
  <c r="L41" i="26"/>
  <c r="L86" i="26" s="1"/>
  <c r="L10" i="26"/>
  <c r="L55" i="26" s="1"/>
  <c r="L17" i="26"/>
  <c r="L62" i="26" s="1"/>
  <c r="L42" i="26"/>
  <c r="L87" i="26" s="1"/>
  <c r="L20" i="26"/>
  <c r="L65" i="26" s="1"/>
  <c r="L26" i="26"/>
  <c r="L71" i="26" s="1"/>
  <c r="E15" i="28"/>
  <c r="E14" i="28"/>
  <c r="L36" i="26"/>
  <c r="L81" i="26" s="1"/>
  <c r="L21" i="26"/>
  <c r="L66" i="26" s="1"/>
  <c r="L14" i="28"/>
  <c r="L15" i="28"/>
  <c r="L15" i="26"/>
  <c r="L60" i="26" s="1"/>
  <c r="L33" i="26"/>
  <c r="L78" i="26" s="1"/>
  <c r="L32" i="26"/>
  <c r="L77" i="26" s="1"/>
  <c r="L22" i="26"/>
  <c r="L67" i="26" s="1"/>
  <c r="L7" i="26"/>
  <c r="L52" i="26" s="1"/>
  <c r="L13" i="26"/>
  <c r="L58" i="26" s="1"/>
  <c r="L14" i="26"/>
  <c r="L59" i="26" s="1"/>
  <c r="L39" i="26"/>
  <c r="L84" i="26" s="1"/>
  <c r="L12" i="26"/>
  <c r="L57" i="26" s="1"/>
  <c r="L31" i="26"/>
  <c r="L76" i="26" s="1"/>
  <c r="L44" i="26"/>
  <c r="L89" i="26" s="1"/>
  <c r="L27" i="26"/>
  <c r="L72" i="26" s="1"/>
  <c r="L37" i="26"/>
  <c r="L82" i="26" s="1"/>
  <c r="L43" i="26"/>
  <c r="L88" i="26" s="1"/>
  <c r="L38" i="26"/>
  <c r="L83" i="26" s="1"/>
  <c r="L6" i="26"/>
  <c r="L51" i="26" s="1"/>
  <c r="L24" i="26"/>
  <c r="L69" i="26" s="1"/>
  <c r="L40" i="26"/>
  <c r="L85" i="26" s="1"/>
  <c r="L29" i="26"/>
  <c r="L74" i="26" s="1"/>
  <c r="L23" i="26"/>
  <c r="L68" i="26" s="1"/>
  <c r="X13" i="13"/>
  <c r="AE58" i="9"/>
  <c r="AE58" i="8"/>
  <c r="AO57" i="8" s="1"/>
  <c r="AE58" i="7"/>
  <c r="E43" i="5"/>
  <c r="X48" i="13"/>
  <c r="X48" i="12"/>
  <c r="X48" i="11"/>
  <c r="X48" i="10"/>
  <c r="X6" i="13"/>
  <c r="X24" i="13"/>
  <c r="AB5" i="11"/>
  <c r="Q46" i="11"/>
  <c r="X30" i="13"/>
  <c r="X35" i="13"/>
  <c r="X51" i="11"/>
  <c r="X13" i="12" s="1"/>
  <c r="Y13" i="12" s="1"/>
  <c r="AB13" i="12" s="1"/>
  <c r="X11" i="13"/>
  <c r="X41" i="13"/>
  <c r="X18" i="13"/>
  <c r="X17" i="13"/>
  <c r="X28" i="13"/>
  <c r="X14" i="13"/>
  <c r="X39" i="13"/>
  <c r="X12" i="13"/>
  <c r="L46" i="13"/>
  <c r="Q5" i="13"/>
  <c r="X40" i="13"/>
  <c r="X29" i="13"/>
  <c r="X23" i="13"/>
  <c r="X43" i="13"/>
  <c r="X34" i="13"/>
  <c r="X38" i="13"/>
  <c r="X20" i="13"/>
  <c r="X26" i="13"/>
  <c r="X31" i="13"/>
  <c r="X44" i="13"/>
  <c r="X27" i="13"/>
  <c r="X16" i="13"/>
  <c r="X37" i="13"/>
  <c r="AB49" i="13"/>
  <c r="AB49" i="12"/>
  <c r="AB49" i="10"/>
  <c r="AB49" i="11"/>
  <c r="X32" i="13"/>
  <c r="X22" i="13"/>
  <c r="X25" i="13"/>
  <c r="X19" i="13"/>
  <c r="L46" i="12"/>
  <c r="Q5" i="12"/>
  <c r="X36" i="13"/>
  <c r="X21" i="13"/>
  <c r="X15" i="13"/>
  <c r="X33" i="13"/>
  <c r="X10" i="13"/>
  <c r="X42" i="13"/>
  <c r="E23" i="5"/>
  <c r="AE60" i="6"/>
  <c r="AB8" i="8" l="1"/>
  <c r="M9" i="27"/>
  <c r="M11" i="27"/>
  <c r="M7" i="27"/>
  <c r="M13" i="27" s="1"/>
  <c r="R5" i="25"/>
  <c r="R60" i="25" s="1"/>
  <c r="R56" i="8"/>
  <c r="S61" i="8" s="1"/>
  <c r="L9" i="27"/>
  <c r="L7" i="27"/>
  <c r="L13" i="27" s="1"/>
  <c r="L11" i="27"/>
  <c r="AB5" i="9"/>
  <c r="AB56" i="9" s="1"/>
  <c r="Y56" i="9"/>
  <c r="Y30" i="8"/>
  <c r="Y48" i="8"/>
  <c r="Y25" i="8"/>
  <c r="X25" i="25" s="1"/>
  <c r="X80" i="25" s="1"/>
  <c r="Y40" i="8"/>
  <c r="Y47" i="8"/>
  <c r="Y31" i="8"/>
  <c r="Y51" i="8"/>
  <c r="Y44" i="8"/>
  <c r="Y35" i="8"/>
  <c r="Y26" i="8"/>
  <c r="Y6" i="8"/>
  <c r="Y33" i="8"/>
  <c r="Y22" i="8"/>
  <c r="X22" i="25" s="1"/>
  <c r="X77" i="25" s="1"/>
  <c r="Y46" i="8"/>
  <c r="Y17" i="8"/>
  <c r="Y24" i="8"/>
  <c r="Y23" i="8"/>
  <c r="Y11" i="8"/>
  <c r="Y50" i="8"/>
  <c r="Y13" i="8"/>
  <c r="Y10" i="8"/>
  <c r="Y7" i="8"/>
  <c r="X7" i="25" s="1"/>
  <c r="X62" i="25" s="1"/>
  <c r="Y12" i="8"/>
  <c r="X12" i="25" s="1"/>
  <c r="X67" i="25" s="1"/>
  <c r="Y21" i="8"/>
  <c r="Y36" i="8"/>
  <c r="Y34" i="8"/>
  <c r="Y16" i="8"/>
  <c r="Y15" i="8"/>
  <c r="Y5" i="8"/>
  <c r="Y18" i="8"/>
  <c r="Y49" i="8"/>
  <c r="Y41" i="8"/>
  <c r="Y39" i="8"/>
  <c r="Y9" i="8"/>
  <c r="Y54" i="8"/>
  <c r="Y19" i="8"/>
  <c r="Y32" i="8"/>
  <c r="Y52" i="8"/>
  <c r="Y20" i="8"/>
  <c r="Y8" i="8"/>
  <c r="X8" i="25" s="1"/>
  <c r="X63" i="25" s="1"/>
  <c r="Y28" i="8"/>
  <c r="Y37" i="8"/>
  <c r="Y53" i="8"/>
  <c r="Y42" i="8"/>
  <c r="Y29" i="8"/>
  <c r="Y14" i="8"/>
  <c r="Y45" i="8"/>
  <c r="Y43" i="8"/>
  <c r="Y38" i="8"/>
  <c r="Y27" i="8"/>
  <c r="U5" i="25"/>
  <c r="U60" i="25" s="1"/>
  <c r="V56" i="8"/>
  <c r="F9" i="27"/>
  <c r="F11" i="27"/>
  <c r="F7" i="27"/>
  <c r="F13" i="27" s="1"/>
  <c r="J9" i="27"/>
  <c r="J7" i="27"/>
  <c r="J13" i="27" s="1"/>
  <c r="J11" i="27"/>
  <c r="AD56" i="8"/>
  <c r="E11" i="27"/>
  <c r="E9" i="27"/>
  <c r="E7" i="27"/>
  <c r="E13" i="27" s="1"/>
  <c r="M5" i="25"/>
  <c r="M60" i="25" s="1"/>
  <c r="M56" i="8"/>
  <c r="T11" i="27"/>
  <c r="T9" i="27"/>
  <c r="T7" i="27"/>
  <c r="T13" i="27" s="1"/>
  <c r="S56" i="8"/>
  <c r="AB56" i="7"/>
  <c r="G7" i="27"/>
  <c r="G13" i="27" s="1"/>
  <c r="G9" i="27"/>
  <c r="G11" i="27"/>
  <c r="Q11" i="27"/>
  <c r="Q9" i="27"/>
  <c r="Q7" i="27"/>
  <c r="Q13" i="27" s="1"/>
  <c r="U9" i="27"/>
  <c r="U11" i="27"/>
  <c r="U7" i="27"/>
  <c r="U13" i="27" s="1"/>
  <c r="B9" i="27"/>
  <c r="B11" i="27"/>
  <c r="X23" i="12"/>
  <c r="Y23" i="12" s="1"/>
  <c r="AB23" i="12" s="1"/>
  <c r="X39" i="12"/>
  <c r="Y39" i="12" s="1"/>
  <c r="AB39" i="12" s="1"/>
  <c r="X17" i="12"/>
  <c r="Y17" i="12" s="1"/>
  <c r="AB17" i="12" s="1"/>
  <c r="X42" i="12"/>
  <c r="Y42" i="12" s="1"/>
  <c r="AB42" i="12" s="1"/>
  <c r="X15" i="12"/>
  <c r="Y15" i="12" s="1"/>
  <c r="AB15" i="12" s="1"/>
  <c r="X10" i="12"/>
  <c r="Y10" i="12" s="1"/>
  <c r="AB10" i="12" s="1"/>
  <c r="X33" i="12"/>
  <c r="Y33" i="12" s="1"/>
  <c r="AB33" i="12" s="1"/>
  <c r="X37" i="12"/>
  <c r="Y37" i="12" s="1"/>
  <c r="AB37" i="12" s="1"/>
  <c r="X44" i="12"/>
  <c r="Y44" i="12" s="1"/>
  <c r="AB44" i="12" s="1"/>
  <c r="X20" i="12"/>
  <c r="Y20" i="12" s="1"/>
  <c r="AB20" i="12" s="1"/>
  <c r="B9" i="28"/>
  <c r="B14" i="28" s="1"/>
  <c r="X38" i="12"/>
  <c r="Y38" i="12" s="1"/>
  <c r="AB38" i="12" s="1"/>
  <c r="X43" i="12"/>
  <c r="Y43" i="12" s="1"/>
  <c r="AB43" i="12" s="1"/>
  <c r="L38" i="23"/>
  <c r="O38" i="23" s="1"/>
  <c r="AG38" i="16"/>
  <c r="L54" i="23"/>
  <c r="O54" i="23" s="1"/>
  <c r="AG54" i="16"/>
  <c r="L27" i="23"/>
  <c r="O27" i="23" s="1"/>
  <c r="AG27" i="16"/>
  <c r="L43" i="23"/>
  <c r="O43" i="23" s="1"/>
  <c r="AG43" i="16"/>
  <c r="L59" i="23"/>
  <c r="O59" i="23" s="1"/>
  <c r="AG59" i="16"/>
  <c r="L32" i="23"/>
  <c r="O32" i="23" s="1"/>
  <c r="AG32" i="16"/>
  <c r="L48" i="23"/>
  <c r="O48" i="23" s="1"/>
  <c r="AG48" i="16"/>
  <c r="L33" i="23"/>
  <c r="O33" i="23" s="1"/>
  <c r="AG33" i="16"/>
  <c r="L49" i="23"/>
  <c r="O49" i="23" s="1"/>
  <c r="AG49" i="16"/>
  <c r="L26" i="23"/>
  <c r="O26" i="23" s="1"/>
  <c r="AG26" i="16"/>
  <c r="L42" i="23"/>
  <c r="O42" i="23" s="1"/>
  <c r="AG42" i="16"/>
  <c r="L58" i="23"/>
  <c r="O58" i="23" s="1"/>
  <c r="AG58" i="16"/>
  <c r="L31" i="23"/>
  <c r="O31" i="23" s="1"/>
  <c r="AG31" i="16"/>
  <c r="L47" i="23"/>
  <c r="O47" i="23" s="1"/>
  <c r="AG47" i="16"/>
  <c r="L36" i="23"/>
  <c r="O36" i="23" s="1"/>
  <c r="AG36" i="16"/>
  <c r="L52" i="23"/>
  <c r="O52" i="23" s="1"/>
  <c r="AG52" i="16"/>
  <c r="L37" i="23"/>
  <c r="O37" i="23" s="1"/>
  <c r="AG37" i="16"/>
  <c r="L53" i="23"/>
  <c r="O53" i="23" s="1"/>
  <c r="AG53" i="16"/>
  <c r="B7" i="28"/>
  <c r="B13" i="28" s="1"/>
  <c r="J10" i="24"/>
  <c r="J5" i="24"/>
  <c r="L30" i="23"/>
  <c r="O30" i="23" s="1"/>
  <c r="AG30" i="16"/>
  <c r="L46" i="23"/>
  <c r="O46" i="23" s="1"/>
  <c r="AG46" i="16"/>
  <c r="L35" i="23"/>
  <c r="O35" i="23" s="1"/>
  <c r="AG35" i="16"/>
  <c r="L51" i="23"/>
  <c r="O51" i="23" s="1"/>
  <c r="AG51" i="16"/>
  <c r="L40" i="23"/>
  <c r="O40" i="23" s="1"/>
  <c r="AG40" i="16"/>
  <c r="L56" i="23"/>
  <c r="O56" i="23" s="1"/>
  <c r="AG56" i="16"/>
  <c r="L41" i="23"/>
  <c r="O41" i="23" s="1"/>
  <c r="AG41" i="16"/>
  <c r="L57" i="23"/>
  <c r="O57" i="23" s="1"/>
  <c r="AG57" i="16"/>
  <c r="B11" i="28"/>
  <c r="X14" i="12"/>
  <c r="Y14" i="12" s="1"/>
  <c r="AB14" i="12" s="1"/>
  <c r="L34" i="23"/>
  <c r="O34" i="23" s="1"/>
  <c r="AG34" i="16"/>
  <c r="L50" i="23"/>
  <c r="O50" i="23" s="1"/>
  <c r="AG50" i="16"/>
  <c r="L39" i="23"/>
  <c r="O39" i="23" s="1"/>
  <c r="AG39" i="16"/>
  <c r="AG55" i="16"/>
  <c r="L55" i="23"/>
  <c r="O55" i="23" s="1"/>
  <c r="L28" i="23"/>
  <c r="O28" i="23" s="1"/>
  <c r="AG28" i="16"/>
  <c r="L44" i="23"/>
  <c r="O44" i="23" s="1"/>
  <c r="AG44" i="16"/>
  <c r="L60" i="23"/>
  <c r="O60" i="23" s="1"/>
  <c r="AG60" i="16"/>
  <c r="L29" i="23"/>
  <c r="O29" i="23" s="1"/>
  <c r="AG29" i="16"/>
  <c r="L45" i="23"/>
  <c r="O45" i="23" s="1"/>
  <c r="AG45" i="16"/>
  <c r="L61" i="23"/>
  <c r="O61" i="23" s="1"/>
  <c r="AG61" i="16"/>
  <c r="Y42" i="13"/>
  <c r="AB42" i="13" s="1"/>
  <c r="U42" i="26"/>
  <c r="U87" i="26" s="1"/>
  <c r="Y10" i="13"/>
  <c r="AB10" i="13" s="1"/>
  <c r="S5" i="24" s="1"/>
  <c r="U10" i="26"/>
  <c r="U55" i="26" s="1"/>
  <c r="Y33" i="13"/>
  <c r="AB33" i="13" s="1"/>
  <c r="S24" i="24" s="1"/>
  <c r="Y21" i="13"/>
  <c r="AB21" i="13" s="1"/>
  <c r="Y22" i="13"/>
  <c r="AB22" i="13" s="1"/>
  <c r="Y20" i="13"/>
  <c r="AB20" i="13" s="1"/>
  <c r="U20" i="26"/>
  <c r="U65" i="26" s="1"/>
  <c r="Y15" i="13"/>
  <c r="AB15" i="13" s="1"/>
  <c r="AA409" i="16" s="1"/>
  <c r="AG409" i="16" s="1"/>
  <c r="U15" i="26"/>
  <c r="U60" i="26" s="1"/>
  <c r="Y25" i="13"/>
  <c r="AB25" i="13" s="1"/>
  <c r="Y37" i="13"/>
  <c r="AB37" i="13" s="1"/>
  <c r="Y27" i="13"/>
  <c r="AB27" i="13" s="1"/>
  <c r="Y34" i="13"/>
  <c r="AB34" i="13" s="1"/>
  <c r="Y39" i="13"/>
  <c r="AB39" i="13" s="1"/>
  <c r="S28" i="24" s="1"/>
  <c r="U39" i="26"/>
  <c r="U84" i="26" s="1"/>
  <c r="Y18" i="13"/>
  <c r="AB18" i="13" s="1"/>
  <c r="Y35" i="13"/>
  <c r="AB35" i="13" s="1"/>
  <c r="Y44" i="13"/>
  <c r="AB44" i="13" s="1"/>
  <c r="S33" i="24" s="1"/>
  <c r="U44" i="26"/>
  <c r="U89" i="26" s="1"/>
  <c r="Y26" i="13"/>
  <c r="AB26" i="13" s="1"/>
  <c r="Y38" i="13"/>
  <c r="AB38" i="13" s="1"/>
  <c r="U38" i="26"/>
  <c r="U83" i="26" s="1"/>
  <c r="Y43" i="13"/>
  <c r="AB43" i="13" s="1"/>
  <c r="S32" i="24" s="1"/>
  <c r="U43" i="26"/>
  <c r="U88" i="26" s="1"/>
  <c r="Y29" i="13"/>
  <c r="AB29" i="13" s="1"/>
  <c r="Y28" i="13"/>
  <c r="AB28" i="13" s="1"/>
  <c r="Y41" i="13"/>
  <c r="AB41" i="13" s="1"/>
  <c r="Y30" i="13"/>
  <c r="AB30" i="13" s="1"/>
  <c r="Y24" i="13"/>
  <c r="AB24" i="13" s="1"/>
  <c r="Y17" i="13"/>
  <c r="AB17" i="13" s="1"/>
  <c r="AA435" i="16" s="1"/>
  <c r="AG435" i="16" s="1"/>
  <c r="U17" i="26"/>
  <c r="U62" i="26" s="1"/>
  <c r="Y11" i="13"/>
  <c r="AB11" i="13" s="1"/>
  <c r="Y6" i="13"/>
  <c r="AB6" i="13" s="1"/>
  <c r="Y16" i="13"/>
  <c r="AB16" i="13" s="1"/>
  <c r="Y36" i="13"/>
  <c r="AB36" i="13" s="1"/>
  <c r="Y19" i="13"/>
  <c r="AB19" i="13" s="1"/>
  <c r="Y32" i="13"/>
  <c r="AB32" i="13" s="1"/>
  <c r="Y31" i="13"/>
  <c r="AB31" i="13" s="1"/>
  <c r="Y23" i="13"/>
  <c r="AB23" i="13" s="1"/>
  <c r="S12" i="24" s="1"/>
  <c r="U23" i="26"/>
  <c r="U68" i="26" s="1"/>
  <c r="Y40" i="13"/>
  <c r="AB40" i="13" s="1"/>
  <c r="Y12" i="13"/>
  <c r="AB12" i="13" s="1"/>
  <c r="Y14" i="13"/>
  <c r="AB14" i="13" s="1"/>
  <c r="Y13" i="13"/>
  <c r="AB13" i="13" s="1"/>
  <c r="S9" i="24" s="1"/>
  <c r="U13" i="26"/>
  <c r="U58" i="26" s="1"/>
  <c r="X19" i="12"/>
  <c r="Y19" i="12" s="1"/>
  <c r="AB19" i="12" s="1"/>
  <c r="X25" i="12"/>
  <c r="Y25" i="12" s="1"/>
  <c r="AB25" i="12" s="1"/>
  <c r="X32" i="12"/>
  <c r="Y32" i="12" s="1"/>
  <c r="AB32" i="12" s="1"/>
  <c r="X27" i="12"/>
  <c r="Y27" i="12" s="1"/>
  <c r="AB27" i="12" s="1"/>
  <c r="X26" i="12"/>
  <c r="Y26" i="12" s="1"/>
  <c r="AB26" i="12" s="1"/>
  <c r="X29" i="12"/>
  <c r="Y29" i="12" s="1"/>
  <c r="AB29" i="12" s="1"/>
  <c r="X40" i="12"/>
  <c r="Y40" i="12" s="1"/>
  <c r="AB40" i="12" s="1"/>
  <c r="X28" i="12"/>
  <c r="Y28" i="12" s="1"/>
  <c r="AB28" i="12" s="1"/>
  <c r="X21" i="12"/>
  <c r="Y21" i="12" s="1"/>
  <c r="AB21" i="12" s="1"/>
  <c r="X36" i="12"/>
  <c r="Y36" i="12" s="1"/>
  <c r="AB36" i="12" s="1"/>
  <c r="X22" i="12"/>
  <c r="Y22" i="12" s="1"/>
  <c r="AB22" i="12" s="1"/>
  <c r="X16" i="12"/>
  <c r="Y16" i="12" s="1"/>
  <c r="AB16" i="12" s="1"/>
  <c r="X31" i="12"/>
  <c r="Y31" i="12" s="1"/>
  <c r="AB31" i="12" s="1"/>
  <c r="X34" i="12"/>
  <c r="Y34" i="12" s="1"/>
  <c r="AB34" i="12" s="1"/>
  <c r="X12" i="12"/>
  <c r="Y12" i="12" s="1"/>
  <c r="AB12" i="12" s="1"/>
  <c r="X41" i="12"/>
  <c r="Y41" i="12" s="1"/>
  <c r="AB41" i="12" s="1"/>
  <c r="X11" i="12"/>
  <c r="Y11" i="12" s="1"/>
  <c r="AB11" i="12" s="1"/>
  <c r="X24" i="12"/>
  <c r="Y24" i="12" s="1"/>
  <c r="AB24" i="12" s="1"/>
  <c r="X6" i="12"/>
  <c r="Y6" i="12" s="1"/>
  <c r="AB6" i="12" s="1"/>
  <c r="AG60" i="6"/>
  <c r="AG58" i="9"/>
  <c r="AG58" i="8"/>
  <c r="AG58" i="7"/>
  <c r="E29" i="5"/>
  <c r="X35" i="12"/>
  <c r="Y35" i="12" s="1"/>
  <c r="AB35" i="12" s="1"/>
  <c r="X30" i="12"/>
  <c r="Y30" i="12" s="1"/>
  <c r="AB30" i="12" s="1"/>
  <c r="E46" i="5"/>
  <c r="Y48" i="13"/>
  <c r="Y48" i="12"/>
  <c r="Y48" i="10"/>
  <c r="Y48" i="11"/>
  <c r="E47" i="5"/>
  <c r="Q46" i="13"/>
  <c r="Q46" i="12"/>
  <c r="X18" i="12"/>
  <c r="Y18" i="12" s="1"/>
  <c r="AB18" i="12" s="1"/>
  <c r="X5" i="12"/>
  <c r="X5" i="13"/>
  <c r="AB46" i="11"/>
  <c r="AA643" i="16" l="1"/>
  <c r="L643" i="23" s="1"/>
  <c r="O643" i="23" s="1"/>
  <c r="B15" i="28"/>
  <c r="AA296" i="17"/>
  <c r="S11" i="24"/>
  <c r="U33" i="26"/>
  <c r="U78" i="26" s="1"/>
  <c r="U15" i="27"/>
  <c r="U14" i="27"/>
  <c r="J15" i="27"/>
  <c r="J14" i="27"/>
  <c r="AB43" i="8"/>
  <c r="X43" i="25"/>
  <c r="X98" i="25" s="1"/>
  <c r="AB42" i="8"/>
  <c r="X42" i="25"/>
  <c r="X97" i="25" s="1"/>
  <c r="AB19" i="8"/>
  <c r="X19" i="25"/>
  <c r="X74" i="25" s="1"/>
  <c r="AB41" i="8"/>
  <c r="X41" i="25"/>
  <c r="X96" i="25" s="1"/>
  <c r="AB15" i="8"/>
  <c r="X15" i="25"/>
  <c r="X70" i="25" s="1"/>
  <c r="X21" i="25"/>
  <c r="X76" i="25" s="1"/>
  <c r="AB21" i="8"/>
  <c r="AB13" i="8"/>
  <c r="X13" i="25"/>
  <c r="X68" i="25" s="1"/>
  <c r="AB24" i="8"/>
  <c r="X24" i="25"/>
  <c r="X79" i="25" s="1"/>
  <c r="AB33" i="8"/>
  <c r="X33" i="25"/>
  <c r="X88" i="25" s="1"/>
  <c r="AB44" i="8"/>
  <c r="X44" i="25"/>
  <c r="X99" i="25" s="1"/>
  <c r="AB40" i="8"/>
  <c r="X40" i="25"/>
  <c r="X95" i="25" s="1"/>
  <c r="L15" i="27"/>
  <c r="L14" i="27"/>
  <c r="AB12" i="8"/>
  <c r="B15" i="27"/>
  <c r="B14" i="27"/>
  <c r="G15" i="27"/>
  <c r="G14" i="27"/>
  <c r="C11" i="27"/>
  <c r="C7" i="27"/>
  <c r="C13" i="27" s="1"/>
  <c r="C9" i="27"/>
  <c r="K7" i="27"/>
  <c r="K13" i="27" s="1"/>
  <c r="K9" i="27"/>
  <c r="K11" i="27"/>
  <c r="AB45" i="8"/>
  <c r="X45" i="25"/>
  <c r="X100" i="25" s="1"/>
  <c r="AB53" i="8"/>
  <c r="X53" i="25"/>
  <c r="X108" i="25" s="1"/>
  <c r="X20" i="25"/>
  <c r="X75" i="25" s="1"/>
  <c r="AB20" i="8"/>
  <c r="AB54" i="8"/>
  <c r="X54" i="25"/>
  <c r="X109" i="25" s="1"/>
  <c r="AB49" i="8"/>
  <c r="X49" i="25"/>
  <c r="X104" i="25" s="1"/>
  <c r="AB16" i="8"/>
  <c r="X16" i="25"/>
  <c r="X71" i="25" s="1"/>
  <c r="X50" i="25"/>
  <c r="X105" i="25" s="1"/>
  <c r="AB50" i="8"/>
  <c r="X17" i="25"/>
  <c r="X72" i="25" s="1"/>
  <c r="AB17" i="8"/>
  <c r="AB6" i="8"/>
  <c r="X6" i="25"/>
  <c r="X61" i="25" s="1"/>
  <c r="AB51" i="8"/>
  <c r="X51" i="25"/>
  <c r="X106" i="25" s="1"/>
  <c r="S54" i="9"/>
  <c r="S54" i="25" s="1"/>
  <c r="S109" i="25" s="1"/>
  <c r="S8" i="9"/>
  <c r="S8" i="25" s="1"/>
  <c r="S63" i="25" s="1"/>
  <c r="S21" i="9"/>
  <c r="S21" i="25" s="1"/>
  <c r="S76" i="25" s="1"/>
  <c r="S26" i="9"/>
  <c r="S26" i="25" s="1"/>
  <c r="S81" i="25" s="1"/>
  <c r="S10" i="9"/>
  <c r="S10" i="25" s="1"/>
  <c r="S65" i="25" s="1"/>
  <c r="S6" i="9"/>
  <c r="S6" i="25" s="1"/>
  <c r="S61" i="25" s="1"/>
  <c r="S22" i="9"/>
  <c r="S22" i="25" s="1"/>
  <c r="S77" i="25" s="1"/>
  <c r="S32" i="9"/>
  <c r="S32" i="25" s="1"/>
  <c r="S87" i="25" s="1"/>
  <c r="S47" i="9"/>
  <c r="S47" i="25" s="1"/>
  <c r="S102" i="25" s="1"/>
  <c r="S35" i="9"/>
  <c r="S35" i="25" s="1"/>
  <c r="S90" i="25" s="1"/>
  <c r="S25" i="9"/>
  <c r="S25" i="25" s="1"/>
  <c r="S80" i="25" s="1"/>
  <c r="S15" i="9"/>
  <c r="S15" i="25" s="1"/>
  <c r="S70" i="25" s="1"/>
  <c r="S52" i="9"/>
  <c r="S52" i="25" s="1"/>
  <c r="S107" i="25" s="1"/>
  <c r="S7" i="9"/>
  <c r="S7" i="25" s="1"/>
  <c r="S62" i="25" s="1"/>
  <c r="S30" i="9"/>
  <c r="S30" i="25" s="1"/>
  <c r="S85" i="25" s="1"/>
  <c r="S17" i="9"/>
  <c r="S17" i="25" s="1"/>
  <c r="S72" i="25" s="1"/>
  <c r="S43" i="9"/>
  <c r="S43" i="25" s="1"/>
  <c r="S98" i="25" s="1"/>
  <c r="S44" i="9"/>
  <c r="S44" i="25" s="1"/>
  <c r="S99" i="25" s="1"/>
  <c r="S31" i="9"/>
  <c r="S31" i="25" s="1"/>
  <c r="S86" i="25" s="1"/>
  <c r="S51" i="9"/>
  <c r="S51" i="25" s="1"/>
  <c r="S106" i="25" s="1"/>
  <c r="S5" i="9"/>
  <c r="S18" i="9"/>
  <c r="S18" i="25" s="1"/>
  <c r="S73" i="25" s="1"/>
  <c r="S24" i="9"/>
  <c r="S24" i="25" s="1"/>
  <c r="S79" i="25" s="1"/>
  <c r="S36" i="9"/>
  <c r="S36" i="25" s="1"/>
  <c r="S91" i="25" s="1"/>
  <c r="S49" i="9"/>
  <c r="S49" i="25" s="1"/>
  <c r="S104" i="25" s="1"/>
  <c r="S9" i="9"/>
  <c r="S9" i="25" s="1"/>
  <c r="S64" i="25" s="1"/>
  <c r="S40" i="9"/>
  <c r="S40" i="25" s="1"/>
  <c r="S95" i="25" s="1"/>
  <c r="S19" i="9"/>
  <c r="S19" i="25" s="1"/>
  <c r="S74" i="25" s="1"/>
  <c r="S34" i="9"/>
  <c r="S34" i="25" s="1"/>
  <c r="S89" i="25" s="1"/>
  <c r="S11" i="9"/>
  <c r="S11" i="25" s="1"/>
  <c r="S66" i="25" s="1"/>
  <c r="S50" i="9"/>
  <c r="S50" i="25" s="1"/>
  <c r="S105" i="25" s="1"/>
  <c r="S12" i="9"/>
  <c r="S12" i="25" s="1"/>
  <c r="S67" i="25" s="1"/>
  <c r="S53" i="9"/>
  <c r="S53" i="25" s="1"/>
  <c r="S108" i="25" s="1"/>
  <c r="S39" i="9"/>
  <c r="S39" i="25" s="1"/>
  <c r="S94" i="25" s="1"/>
  <c r="S13" i="9"/>
  <c r="S13" i="25" s="1"/>
  <c r="S68" i="25" s="1"/>
  <c r="S29" i="9"/>
  <c r="S29" i="25" s="1"/>
  <c r="S84" i="25" s="1"/>
  <c r="S27" i="9"/>
  <c r="S27" i="25" s="1"/>
  <c r="S82" i="25" s="1"/>
  <c r="S16" i="9"/>
  <c r="S16" i="25" s="1"/>
  <c r="S71" i="25" s="1"/>
  <c r="S37" i="9"/>
  <c r="S37" i="25" s="1"/>
  <c r="S92" i="25" s="1"/>
  <c r="S28" i="9"/>
  <c r="S28" i="25" s="1"/>
  <c r="S83" i="25" s="1"/>
  <c r="S46" i="9"/>
  <c r="S46" i="25" s="1"/>
  <c r="S101" i="25" s="1"/>
  <c r="S23" i="9"/>
  <c r="S23" i="25" s="1"/>
  <c r="S78" i="25" s="1"/>
  <c r="S45" i="9"/>
  <c r="S45" i="25" s="1"/>
  <c r="S100" i="25" s="1"/>
  <c r="S14" i="9"/>
  <c r="S14" i="25" s="1"/>
  <c r="S69" i="25" s="1"/>
  <c r="S33" i="9"/>
  <c r="S33" i="25" s="1"/>
  <c r="S88" i="25" s="1"/>
  <c r="S42" i="9"/>
  <c r="S42" i="25" s="1"/>
  <c r="S97" i="25" s="1"/>
  <c r="S38" i="9"/>
  <c r="S38" i="25" s="1"/>
  <c r="S93" i="25" s="1"/>
  <c r="S20" i="9"/>
  <c r="S20" i="25" s="1"/>
  <c r="S75" i="25" s="1"/>
  <c r="S41" i="9"/>
  <c r="S41" i="25" s="1"/>
  <c r="S96" i="25" s="1"/>
  <c r="S48" i="9"/>
  <c r="S48" i="25" s="1"/>
  <c r="S103" i="25" s="1"/>
  <c r="M15" i="27"/>
  <c r="M14" i="27"/>
  <c r="AB25" i="8"/>
  <c r="Q15" i="27"/>
  <c r="Q14" i="27"/>
  <c r="T15" i="27"/>
  <c r="T14" i="27"/>
  <c r="AB27" i="8"/>
  <c r="X27" i="25"/>
  <c r="X82" i="25" s="1"/>
  <c r="AB14" i="8"/>
  <c r="X14" i="25"/>
  <c r="X69" i="25" s="1"/>
  <c r="AB37" i="8"/>
  <c r="X37" i="25"/>
  <c r="X92" i="25" s="1"/>
  <c r="AB52" i="8"/>
  <c r="X52" i="25"/>
  <c r="X107" i="25" s="1"/>
  <c r="X9" i="25"/>
  <c r="X64" i="25" s="1"/>
  <c r="AB9" i="8"/>
  <c r="X18" i="25"/>
  <c r="X73" i="25" s="1"/>
  <c r="AB18" i="8"/>
  <c r="AB34" i="8"/>
  <c r="X34" i="25"/>
  <c r="X89" i="25" s="1"/>
  <c r="AB11" i="8"/>
  <c r="X11" i="25"/>
  <c r="X66" i="25" s="1"/>
  <c r="AB46" i="8"/>
  <c r="X46" i="25"/>
  <c r="X101" i="25" s="1"/>
  <c r="AB26" i="8"/>
  <c r="X26" i="25"/>
  <c r="X81" i="25" s="1"/>
  <c r="AB31" i="8"/>
  <c r="X31" i="25"/>
  <c r="X86" i="25" s="1"/>
  <c r="AB48" i="8"/>
  <c r="X48" i="25"/>
  <c r="X103" i="25" s="1"/>
  <c r="H7" i="27"/>
  <c r="H13" i="27" s="1"/>
  <c r="H11" i="27"/>
  <c r="H9" i="27"/>
  <c r="AB7" i="8"/>
  <c r="E14" i="27"/>
  <c r="E15" i="27"/>
  <c r="F15" i="27"/>
  <c r="F14" i="27"/>
  <c r="X38" i="25"/>
  <c r="X93" i="25" s="1"/>
  <c r="AB38" i="8"/>
  <c r="X29" i="25"/>
  <c r="X84" i="25" s="1"/>
  <c r="AB29" i="8"/>
  <c r="AB28" i="8"/>
  <c r="X28" i="25"/>
  <c r="X83" i="25" s="1"/>
  <c r="AB32" i="8"/>
  <c r="X32" i="25"/>
  <c r="X87" i="25" s="1"/>
  <c r="X39" i="25"/>
  <c r="X94" i="25" s="1"/>
  <c r="AB39" i="8"/>
  <c r="X5" i="25"/>
  <c r="X60" i="25" s="1"/>
  <c r="Y56" i="8"/>
  <c r="AB36" i="8"/>
  <c r="X36" i="25"/>
  <c r="X91" i="25" s="1"/>
  <c r="AB10" i="8"/>
  <c r="X10" i="25"/>
  <c r="X65" i="25" s="1"/>
  <c r="AB23" i="8"/>
  <c r="X23" i="25"/>
  <c r="X78" i="25" s="1"/>
  <c r="X35" i="25"/>
  <c r="X90" i="25" s="1"/>
  <c r="AB35" i="8"/>
  <c r="AB47" i="8"/>
  <c r="X47" i="25"/>
  <c r="X102" i="25" s="1"/>
  <c r="AB30" i="8"/>
  <c r="X30" i="25"/>
  <c r="X85" i="25" s="1"/>
  <c r="AB22" i="8"/>
  <c r="AB5" i="8"/>
  <c r="AA366" i="16"/>
  <c r="L366" i="23" s="1"/>
  <c r="O366" i="23" s="1"/>
  <c r="AA373" i="16"/>
  <c r="L373" i="23" s="1"/>
  <c r="O373" i="23" s="1"/>
  <c r="AA363" i="16"/>
  <c r="L363" i="23" s="1"/>
  <c r="O363" i="23" s="1"/>
  <c r="AA357" i="16"/>
  <c r="L357" i="23" s="1"/>
  <c r="O357" i="23" s="1"/>
  <c r="AA379" i="16"/>
  <c r="L379" i="23" s="1"/>
  <c r="O379" i="23" s="1"/>
  <c r="AA372" i="16"/>
  <c r="L372" i="23" s="1"/>
  <c r="O372" i="23" s="1"/>
  <c r="S27" i="24"/>
  <c r="U37" i="26"/>
  <c r="U82" i="26" s="1"/>
  <c r="AA191" i="17"/>
  <c r="AA430" i="16"/>
  <c r="AG430" i="16" s="1"/>
  <c r="S25" i="24"/>
  <c r="AA186" i="17"/>
  <c r="AA197" i="17"/>
  <c r="S30" i="24"/>
  <c r="AA175" i="17"/>
  <c r="AA196" i="17"/>
  <c r="AA190" i="17"/>
  <c r="AA427" i="16"/>
  <c r="L431" i="23" s="1"/>
  <c r="AA192" i="17"/>
  <c r="AA6" i="17"/>
  <c r="AA374" i="16"/>
  <c r="L374" i="23" s="1"/>
  <c r="O374" i="23" s="1"/>
  <c r="AA356" i="16"/>
  <c r="L356" i="23" s="1"/>
  <c r="O356" i="23" s="1"/>
  <c r="AA436" i="16"/>
  <c r="AG436" i="16" s="1"/>
  <c r="AA193" i="17"/>
  <c r="AA187" i="17"/>
  <c r="AA433" i="16"/>
  <c r="AG433" i="16" s="1"/>
  <c r="AA431" i="16"/>
  <c r="AG431" i="16" s="1"/>
  <c r="U14" i="26"/>
  <c r="U59" i="26" s="1"/>
  <c r="AA189" i="17"/>
  <c r="AA437" i="16"/>
  <c r="AG437" i="16" s="1"/>
  <c r="AA428" i="16"/>
  <c r="AG428" i="16" s="1"/>
  <c r="AA434" i="16"/>
  <c r="AG434" i="16" s="1"/>
  <c r="AA633" i="16"/>
  <c r="L633" i="23" s="1"/>
  <c r="O633" i="23" s="1"/>
  <c r="AA370" i="16"/>
  <c r="L370" i="23" s="1"/>
  <c r="O370" i="23" s="1"/>
  <c r="AA362" i="16"/>
  <c r="L362" i="23" s="1"/>
  <c r="O362" i="23" s="1"/>
  <c r="AA355" i="16"/>
  <c r="L535" i="23" s="1"/>
  <c r="AA371" i="16"/>
  <c r="L371" i="23" s="1"/>
  <c r="O371" i="23" s="1"/>
  <c r="AA387" i="16"/>
  <c r="L387" i="23" s="1"/>
  <c r="O387" i="23" s="1"/>
  <c r="AA364" i="16"/>
  <c r="L364" i="23" s="1"/>
  <c r="O364" i="23" s="1"/>
  <c r="AA380" i="16"/>
  <c r="L380" i="23" s="1"/>
  <c r="O380" i="23" s="1"/>
  <c r="AA365" i="16"/>
  <c r="L365" i="23" s="1"/>
  <c r="O365" i="23" s="1"/>
  <c r="AA381" i="16"/>
  <c r="L381" i="23" s="1"/>
  <c r="O381" i="23" s="1"/>
  <c r="AA358" i="16"/>
  <c r="L358" i="23" s="1"/>
  <c r="O358" i="23" s="1"/>
  <c r="AA378" i="16"/>
  <c r="L378" i="23" s="1"/>
  <c r="O378" i="23" s="1"/>
  <c r="AA359" i="16"/>
  <c r="L359" i="23" s="1"/>
  <c r="O359" i="23" s="1"/>
  <c r="AA375" i="16"/>
  <c r="L375" i="23" s="1"/>
  <c r="O375" i="23" s="1"/>
  <c r="AA146" i="17"/>
  <c r="AA368" i="16"/>
  <c r="L368" i="23" s="1"/>
  <c r="O368" i="23" s="1"/>
  <c r="AA384" i="16"/>
  <c r="L384" i="23" s="1"/>
  <c r="O384" i="23" s="1"/>
  <c r="AA369" i="16"/>
  <c r="L369" i="23" s="1"/>
  <c r="O369" i="23" s="1"/>
  <c r="AA385" i="16"/>
  <c r="L385" i="23" s="1"/>
  <c r="O385" i="23" s="1"/>
  <c r="AA386" i="16"/>
  <c r="L386" i="23" s="1"/>
  <c r="O386" i="23" s="1"/>
  <c r="AA382" i="16"/>
  <c r="L382" i="23" s="1"/>
  <c r="O382" i="23" s="1"/>
  <c r="AA367" i="16"/>
  <c r="L367" i="23" s="1"/>
  <c r="O367" i="23" s="1"/>
  <c r="AA383" i="16"/>
  <c r="L383" i="23" s="1"/>
  <c r="O383" i="23" s="1"/>
  <c r="AA360" i="16"/>
  <c r="L360" i="23" s="1"/>
  <c r="O360" i="23" s="1"/>
  <c r="AA376" i="16"/>
  <c r="L376" i="23" s="1"/>
  <c r="O376" i="23" s="1"/>
  <c r="AA361" i="16"/>
  <c r="L361" i="23" s="1"/>
  <c r="O361" i="23" s="1"/>
  <c r="AA377" i="16"/>
  <c r="L377" i="23" s="1"/>
  <c r="O377" i="23" s="1"/>
  <c r="AA406" i="16"/>
  <c r="AG406" i="16" s="1"/>
  <c r="AA599" i="16"/>
  <c r="L599" i="23" s="1"/>
  <c r="O599" i="23" s="1"/>
  <c r="AA396" i="16"/>
  <c r="AG396" i="16" s="1"/>
  <c r="AA404" i="16"/>
  <c r="AG404" i="16" s="1"/>
  <c r="AA188" i="17"/>
  <c r="AA429" i="16"/>
  <c r="AG429" i="16" s="1"/>
  <c r="AA636" i="16"/>
  <c r="L636" i="23" s="1"/>
  <c r="O636" i="23" s="1"/>
  <c r="AA639" i="16"/>
  <c r="L639" i="23" s="1"/>
  <c r="O639" i="23" s="1"/>
  <c r="AA163" i="17"/>
  <c r="AA170" i="17"/>
  <c r="AA171" i="17"/>
  <c r="AA634" i="16"/>
  <c r="L634" i="23" s="1"/>
  <c r="O634" i="23" s="1"/>
  <c r="AA155" i="17"/>
  <c r="AA161" i="17"/>
  <c r="AA413" i="16"/>
  <c r="AG413" i="16" s="1"/>
  <c r="AA432" i="16"/>
  <c r="AG432" i="16" s="1"/>
  <c r="AA194" i="17"/>
  <c r="AA438" i="16"/>
  <c r="AG438" i="16" s="1"/>
  <c r="AA195" i="17"/>
  <c r="AA638" i="16"/>
  <c r="L638" i="23" s="1"/>
  <c r="O638" i="23" s="1"/>
  <c r="AA394" i="16"/>
  <c r="AG394" i="16" s="1"/>
  <c r="AA397" i="16"/>
  <c r="AG397" i="16" s="1"/>
  <c r="AA640" i="16"/>
  <c r="L640" i="23" s="1"/>
  <c r="O640" i="23" s="1"/>
  <c r="AA637" i="16"/>
  <c r="L637" i="23" s="1"/>
  <c r="O637" i="23" s="1"/>
  <c r="AA642" i="16"/>
  <c r="L642" i="23" s="1"/>
  <c r="O642" i="23" s="1"/>
  <c r="AA395" i="16"/>
  <c r="AG395" i="16" s="1"/>
  <c r="AA644" i="16"/>
  <c r="L644" i="23" s="1"/>
  <c r="O644" i="23" s="1"/>
  <c r="AA641" i="16"/>
  <c r="L641" i="23" s="1"/>
  <c r="O641" i="23" s="1"/>
  <c r="AA635" i="16"/>
  <c r="L635" i="23" s="1"/>
  <c r="O635" i="23" s="1"/>
  <c r="AA417" i="16"/>
  <c r="AG417" i="16" s="1"/>
  <c r="AA564" i="16"/>
  <c r="L564" i="23" s="1"/>
  <c r="O564" i="23" s="1"/>
  <c r="AA583" i="16"/>
  <c r="L583" i="23" s="1"/>
  <c r="O583" i="23" s="1"/>
  <c r="AA216" i="17"/>
  <c r="AA532" i="16"/>
  <c r="AG532" i="16" s="1"/>
  <c r="AA620" i="16"/>
  <c r="L629" i="23" s="1"/>
  <c r="AA441" i="16"/>
  <c r="AG441" i="16" s="1"/>
  <c r="AA228" i="17"/>
  <c r="AA208" i="17"/>
  <c r="U5" i="26"/>
  <c r="U50" i="26" s="1"/>
  <c r="AA605" i="16"/>
  <c r="L605" i="23" s="1"/>
  <c r="O605" i="23" s="1"/>
  <c r="AA478" i="16"/>
  <c r="AG478" i="16" s="1"/>
  <c r="AA458" i="16"/>
  <c r="AG458" i="16" s="1"/>
  <c r="AA183" i="17"/>
  <c r="AA602" i="16"/>
  <c r="L602" i="23" s="1"/>
  <c r="O602" i="23" s="1"/>
  <c r="AA203" i="17"/>
  <c r="AA480" i="16"/>
  <c r="AG480" i="16" s="1"/>
  <c r="AA416" i="16"/>
  <c r="AG416" i="16" s="1"/>
  <c r="AA616" i="16"/>
  <c r="L616" i="23" s="1"/>
  <c r="O616" i="23" s="1"/>
  <c r="AA573" i="16"/>
  <c r="L573" i="23" s="1"/>
  <c r="O573" i="23" s="1"/>
  <c r="AA570" i="16"/>
  <c r="L570" i="23" s="1"/>
  <c r="O570" i="23" s="1"/>
  <c r="AA551" i="16"/>
  <c r="L551" i="23" s="1"/>
  <c r="O551" i="23" s="1"/>
  <c r="AA615" i="16"/>
  <c r="L615" i="23" s="1"/>
  <c r="O615" i="23" s="1"/>
  <c r="AA446" i="16"/>
  <c r="AG446" i="16" s="1"/>
  <c r="AA528" i="16"/>
  <c r="AG528" i="16" s="1"/>
  <c r="AA210" i="17"/>
  <c r="AA223" i="17"/>
  <c r="AA448" i="16"/>
  <c r="AG448" i="16" s="1"/>
  <c r="AA469" i="16"/>
  <c r="AG469" i="16" s="1"/>
  <c r="AA500" i="16"/>
  <c r="AG500" i="16" s="1"/>
  <c r="AA202" i="17"/>
  <c r="AA215" i="17"/>
  <c r="AA227" i="17"/>
  <c r="AA460" i="16"/>
  <c r="AG460" i="16" s="1"/>
  <c r="AA482" i="16"/>
  <c r="AG482" i="16" s="1"/>
  <c r="AA536" i="16"/>
  <c r="AG536" i="16" s="1"/>
  <c r="AA512" i="16"/>
  <c r="AG512" i="16" s="1"/>
  <c r="AA207" i="17"/>
  <c r="AA217" i="17"/>
  <c r="AA229" i="17"/>
  <c r="AA456" i="16"/>
  <c r="AG456" i="16" s="1"/>
  <c r="AA492" i="16"/>
  <c r="AG492" i="16" s="1"/>
  <c r="AA485" i="16"/>
  <c r="AG485" i="16" s="1"/>
  <c r="AA505" i="16"/>
  <c r="AG505" i="16" s="1"/>
  <c r="AA529" i="16"/>
  <c r="AG529" i="16" s="1"/>
  <c r="AA498" i="16"/>
  <c r="AG498" i="16" s="1"/>
  <c r="AA518" i="16"/>
  <c r="AG518" i="16" s="1"/>
  <c r="AA439" i="16"/>
  <c r="AG439" i="16" s="1"/>
  <c r="AA459" i="16"/>
  <c r="AG459" i="16" s="1"/>
  <c r="AA479" i="16"/>
  <c r="AG479" i="16" s="1"/>
  <c r="AA503" i="16"/>
  <c r="AG503" i="16" s="1"/>
  <c r="AA523" i="16"/>
  <c r="AG523" i="16" s="1"/>
  <c r="AA230" i="17"/>
  <c r="AA236" i="17"/>
  <c r="AA242" i="17"/>
  <c r="AA253" i="17"/>
  <c r="AA264" i="17"/>
  <c r="AA274" i="17"/>
  <c r="AA285" i="17"/>
  <c r="AA127" i="16"/>
  <c r="L127" i="23" s="1"/>
  <c r="O127" i="23" s="1"/>
  <c r="AA292" i="16"/>
  <c r="L292" i="23" s="1"/>
  <c r="O292" i="23" s="1"/>
  <c r="AA327" i="16"/>
  <c r="AG327" i="16" s="1"/>
  <c r="S7" i="24"/>
  <c r="S23" i="24"/>
  <c r="G6" i="24"/>
  <c r="S18" i="24"/>
  <c r="S16" i="24"/>
  <c r="S15" i="24"/>
  <c r="S17" i="24"/>
  <c r="S14" i="24"/>
  <c r="AA414" i="16"/>
  <c r="AG414" i="16" s="1"/>
  <c r="AA176" i="17"/>
  <c r="AA556" i="16"/>
  <c r="L556" i="23" s="1"/>
  <c r="O556" i="23" s="1"/>
  <c r="AA589" i="16"/>
  <c r="L589" i="23" s="1"/>
  <c r="O589" i="23" s="1"/>
  <c r="AA586" i="16"/>
  <c r="L586" i="23" s="1"/>
  <c r="O586" i="23" s="1"/>
  <c r="AA567" i="16"/>
  <c r="L567" i="23" s="1"/>
  <c r="O567" i="23" s="1"/>
  <c r="AA457" i="16"/>
  <c r="AG457" i="16" s="1"/>
  <c r="AA452" i="16"/>
  <c r="AG452" i="16" s="1"/>
  <c r="AA200" i="17"/>
  <c r="AA213" i="17"/>
  <c r="AA225" i="17"/>
  <c r="AA453" i="16"/>
  <c r="AG453" i="16" s="1"/>
  <c r="AA474" i="16"/>
  <c r="AG474" i="16" s="1"/>
  <c r="AA516" i="16"/>
  <c r="AG516" i="16" s="1"/>
  <c r="AA205" i="17"/>
  <c r="AA218" i="17"/>
  <c r="AA444" i="16"/>
  <c r="AG444" i="16" s="1"/>
  <c r="AA465" i="16"/>
  <c r="AG465" i="16" s="1"/>
  <c r="AA490" i="16"/>
  <c r="AG490" i="16" s="1"/>
  <c r="AA468" i="16"/>
  <c r="AG468" i="16" s="1"/>
  <c r="AA198" i="17"/>
  <c r="AA209" i="17"/>
  <c r="AA220" i="17"/>
  <c r="AA440" i="16"/>
  <c r="AG440" i="16" s="1"/>
  <c r="AA466" i="16"/>
  <c r="AG466" i="16" s="1"/>
  <c r="AA508" i="16"/>
  <c r="AG508" i="16" s="1"/>
  <c r="AA489" i="16"/>
  <c r="AG489" i="16" s="1"/>
  <c r="AA513" i="16"/>
  <c r="AG513" i="16" s="1"/>
  <c r="AA533" i="16"/>
  <c r="AG533" i="16" s="1"/>
  <c r="AA502" i="16"/>
  <c r="AG502" i="16" s="1"/>
  <c r="AA526" i="16"/>
  <c r="AG526" i="16" s="1"/>
  <c r="AA443" i="16"/>
  <c r="AG443" i="16" s="1"/>
  <c r="AA463" i="16"/>
  <c r="AG463" i="16" s="1"/>
  <c r="AA487" i="16"/>
  <c r="AG487" i="16" s="1"/>
  <c r="AA507" i="16"/>
  <c r="AG507" i="16" s="1"/>
  <c r="AA527" i="16"/>
  <c r="AG527" i="16" s="1"/>
  <c r="AA232" i="17"/>
  <c r="AA237" i="17"/>
  <c r="AA245" i="17"/>
  <c r="AA256" i="17"/>
  <c r="AA266" i="17"/>
  <c r="AA277" i="17"/>
  <c r="AA288" i="17"/>
  <c r="AA119" i="16"/>
  <c r="L119" i="23" s="1"/>
  <c r="O119" i="23" s="1"/>
  <c r="AA223" i="16"/>
  <c r="L223" i="23" s="1"/>
  <c r="O223" i="23" s="1"/>
  <c r="AA13" i="17"/>
  <c r="U40" i="26"/>
  <c r="U85" i="26" s="1"/>
  <c r="U31" i="26"/>
  <c r="U76" i="26" s="1"/>
  <c r="U19" i="26"/>
  <c r="U64" i="26" s="1"/>
  <c r="U16" i="26"/>
  <c r="U61" i="26" s="1"/>
  <c r="U11" i="26"/>
  <c r="U56" i="26" s="1"/>
  <c r="U24" i="26"/>
  <c r="U69" i="26" s="1"/>
  <c r="U41" i="26"/>
  <c r="U86" i="26" s="1"/>
  <c r="U29" i="26"/>
  <c r="U74" i="26" s="1"/>
  <c r="U18" i="26"/>
  <c r="U63" i="26" s="1"/>
  <c r="U34" i="26"/>
  <c r="U79" i="26" s="1"/>
  <c r="U22" i="26"/>
  <c r="U67" i="26" s="1"/>
  <c r="AA221" i="17"/>
  <c r="AA449" i="16"/>
  <c r="AG449" i="16" s="1"/>
  <c r="AA470" i="16"/>
  <c r="AG470" i="16" s="1"/>
  <c r="AA504" i="16"/>
  <c r="AG504" i="16" s="1"/>
  <c r="AA473" i="16"/>
  <c r="AG473" i="16" s="1"/>
  <c r="AA201" i="17"/>
  <c r="AA211" i="17"/>
  <c r="AA222" i="17"/>
  <c r="AA445" i="16"/>
  <c r="AG445" i="16" s="1"/>
  <c r="AA472" i="16"/>
  <c r="AG472" i="16" s="1"/>
  <c r="AA524" i="16"/>
  <c r="AG524" i="16" s="1"/>
  <c r="AA497" i="16"/>
  <c r="AG497" i="16" s="1"/>
  <c r="AA517" i="16"/>
  <c r="AG517" i="16" s="1"/>
  <c r="AA537" i="16"/>
  <c r="AG537" i="16" s="1"/>
  <c r="AA510" i="16"/>
  <c r="AG510" i="16" s="1"/>
  <c r="AA530" i="16"/>
  <c r="AG530" i="16" s="1"/>
  <c r="AA447" i="16"/>
  <c r="AG447" i="16" s="1"/>
  <c r="AA471" i="16"/>
  <c r="AG471" i="16" s="1"/>
  <c r="AA491" i="16"/>
  <c r="AG491" i="16" s="1"/>
  <c r="AA511" i="16"/>
  <c r="AG511" i="16" s="1"/>
  <c r="AA535" i="16"/>
  <c r="AG535" i="16" s="1"/>
  <c r="AA233" i="17"/>
  <c r="AA238" i="17"/>
  <c r="AA248" i="17"/>
  <c r="AA258" i="17"/>
  <c r="AA269" i="17"/>
  <c r="AA280" i="17"/>
  <c r="AA292" i="17"/>
  <c r="AA213" i="16"/>
  <c r="L213" i="23" s="1"/>
  <c r="O213" i="23" s="1"/>
  <c r="AA307" i="17"/>
  <c r="S29" i="24"/>
  <c r="S22" i="24"/>
  <c r="S10" i="24"/>
  <c r="AA185" i="17"/>
  <c r="S6" i="24"/>
  <c r="S13" i="24"/>
  <c r="S31" i="24"/>
  <c r="S19" i="24"/>
  <c r="S8" i="24"/>
  <c r="AA153" i="17"/>
  <c r="AA154" i="17"/>
  <c r="AA552" i="16"/>
  <c r="L552" i="23" s="1"/>
  <c r="O552" i="23" s="1"/>
  <c r="AA557" i="16"/>
  <c r="L557" i="23" s="1"/>
  <c r="O557" i="23" s="1"/>
  <c r="AA554" i="16"/>
  <c r="L554" i="23" s="1"/>
  <c r="O554" i="23" s="1"/>
  <c r="AA618" i="16"/>
  <c r="L618" i="23" s="1"/>
  <c r="O618" i="23" s="1"/>
  <c r="AA462" i="16"/>
  <c r="AG462" i="16" s="1"/>
  <c r="AA496" i="16"/>
  <c r="AG496" i="16" s="1"/>
  <c r="AA206" i="17"/>
  <c r="AA219" i="17"/>
  <c r="AA442" i="16"/>
  <c r="AG442" i="16" s="1"/>
  <c r="AA464" i="16"/>
  <c r="AG464" i="16" s="1"/>
  <c r="AA488" i="16"/>
  <c r="AG488" i="16" s="1"/>
  <c r="AA199" i="17"/>
  <c r="AA212" i="17"/>
  <c r="AA224" i="17"/>
  <c r="AA454" i="16"/>
  <c r="AG454" i="16" s="1"/>
  <c r="AA476" i="16"/>
  <c r="AG476" i="16" s="1"/>
  <c r="AA520" i="16"/>
  <c r="AG520" i="16" s="1"/>
  <c r="AA486" i="16"/>
  <c r="AG486" i="16" s="1"/>
  <c r="AA204" i="17"/>
  <c r="AA214" i="17"/>
  <c r="AA226" i="17"/>
  <c r="AA450" i="16"/>
  <c r="AG450" i="16" s="1"/>
  <c r="AA477" i="16"/>
  <c r="AG477" i="16" s="1"/>
  <c r="AA481" i="16"/>
  <c r="AG481" i="16" s="1"/>
  <c r="AA501" i="16"/>
  <c r="AG501" i="16" s="1"/>
  <c r="AA521" i="16"/>
  <c r="AG521" i="16" s="1"/>
  <c r="AA494" i="16"/>
  <c r="AG494" i="16" s="1"/>
  <c r="AA514" i="16"/>
  <c r="AG514" i="16" s="1"/>
  <c r="AA534" i="16"/>
  <c r="AG534" i="16" s="1"/>
  <c r="AA455" i="16"/>
  <c r="AG455" i="16" s="1"/>
  <c r="AA475" i="16"/>
  <c r="AG475" i="16" s="1"/>
  <c r="AA495" i="16"/>
  <c r="AG495" i="16" s="1"/>
  <c r="AA519" i="16"/>
  <c r="AG519" i="16" s="1"/>
  <c r="AA539" i="16"/>
  <c r="AG539" i="16" s="1"/>
  <c r="AA234" i="17"/>
  <c r="AA240" i="17"/>
  <c r="AA250" i="17"/>
  <c r="AA261" i="17"/>
  <c r="AA272" i="17"/>
  <c r="AA282" i="17"/>
  <c r="AA125" i="16"/>
  <c r="L125" i="23" s="1"/>
  <c r="O125" i="23" s="1"/>
  <c r="U12" i="26"/>
  <c r="U57" i="26" s="1"/>
  <c r="U32" i="26"/>
  <c r="U77" i="26" s="1"/>
  <c r="U36" i="26"/>
  <c r="U81" i="26" s="1"/>
  <c r="U6" i="26"/>
  <c r="U51" i="26" s="1"/>
  <c r="U30" i="26"/>
  <c r="U75" i="26" s="1"/>
  <c r="U28" i="26"/>
  <c r="U73" i="26" s="1"/>
  <c r="U26" i="26"/>
  <c r="U71" i="26" s="1"/>
  <c r="U35" i="26"/>
  <c r="U80" i="26" s="1"/>
  <c r="U27" i="26"/>
  <c r="U72" i="26" s="1"/>
  <c r="U25" i="26"/>
  <c r="U70" i="26" s="1"/>
  <c r="U21" i="26"/>
  <c r="U66" i="26" s="1"/>
  <c r="AA398" i="16"/>
  <c r="AG398" i="16" s="1"/>
  <c r="AA156" i="17"/>
  <c r="AA399" i="16"/>
  <c r="AG399" i="16" s="1"/>
  <c r="AA158" i="17"/>
  <c r="AA400" i="16"/>
  <c r="AG400" i="16" s="1"/>
  <c r="AA157" i="17"/>
  <c r="AA422" i="16"/>
  <c r="AG422" i="16" s="1"/>
  <c r="AA174" i="17"/>
  <c r="AA415" i="16"/>
  <c r="AG415" i="16" s="1"/>
  <c r="AA178" i="17"/>
  <c r="AA420" i="16"/>
  <c r="AG420" i="16" s="1"/>
  <c r="AA179" i="17"/>
  <c r="AA421" i="16"/>
  <c r="AG421" i="16" s="1"/>
  <c r="AA410" i="16"/>
  <c r="AG410" i="16" s="1"/>
  <c r="AA403" i="16"/>
  <c r="AG403" i="16" s="1"/>
  <c r="AA164" i="17"/>
  <c r="AA408" i="16"/>
  <c r="AG408" i="16" s="1"/>
  <c r="AA165" i="17"/>
  <c r="AA401" i="16"/>
  <c r="AG401" i="16" s="1"/>
  <c r="AA576" i="16"/>
  <c r="L576" i="23" s="1"/>
  <c r="O576" i="23" s="1"/>
  <c r="AA580" i="16"/>
  <c r="L580" i="23" s="1"/>
  <c r="O580" i="23" s="1"/>
  <c r="AA568" i="16"/>
  <c r="L568" i="23" s="1"/>
  <c r="O568" i="23" s="1"/>
  <c r="AA544" i="16"/>
  <c r="L544" i="23" s="1"/>
  <c r="O544" i="23" s="1"/>
  <c r="AA572" i="16"/>
  <c r="L572" i="23" s="1"/>
  <c r="O572" i="23" s="1"/>
  <c r="AA545" i="16"/>
  <c r="L545" i="23" s="1"/>
  <c r="O545" i="23" s="1"/>
  <c r="AA561" i="16"/>
  <c r="L561" i="23" s="1"/>
  <c r="O561" i="23" s="1"/>
  <c r="AA577" i="16"/>
  <c r="L577" i="23" s="1"/>
  <c r="O577" i="23" s="1"/>
  <c r="AA593" i="16"/>
  <c r="L593" i="23" s="1"/>
  <c r="O593" i="23" s="1"/>
  <c r="AA609" i="16"/>
  <c r="L609" i="23" s="1"/>
  <c r="O609" i="23" s="1"/>
  <c r="AA542" i="16"/>
  <c r="L542" i="23" s="1"/>
  <c r="O542" i="23" s="1"/>
  <c r="AA558" i="16"/>
  <c r="L558" i="23" s="1"/>
  <c r="O558" i="23" s="1"/>
  <c r="AA574" i="16"/>
  <c r="L574" i="23" s="1"/>
  <c r="O574" i="23" s="1"/>
  <c r="AA590" i="16"/>
  <c r="L590" i="23" s="1"/>
  <c r="O590" i="23" s="1"/>
  <c r="AA606" i="16"/>
  <c r="L606" i="23" s="1"/>
  <c r="O606" i="23" s="1"/>
  <c r="AA555" i="16"/>
  <c r="L555" i="23" s="1"/>
  <c r="O555" i="23" s="1"/>
  <c r="AA571" i="16"/>
  <c r="L571" i="23" s="1"/>
  <c r="O571" i="23" s="1"/>
  <c r="AA587" i="16"/>
  <c r="L587" i="23" s="1"/>
  <c r="O587" i="23" s="1"/>
  <c r="AA603" i="16"/>
  <c r="L603" i="23" s="1"/>
  <c r="O603" i="23" s="1"/>
  <c r="AA619" i="16"/>
  <c r="L619" i="23" s="1"/>
  <c r="O619" i="23" s="1"/>
  <c r="AA241" i="17"/>
  <c r="AA246" i="17"/>
  <c r="AA252" i="17"/>
  <c r="AA257" i="17"/>
  <c r="AA262" i="17"/>
  <c r="AA268" i="17"/>
  <c r="AA273" i="17"/>
  <c r="AA278" i="17"/>
  <c r="AA284" i="17"/>
  <c r="AA290" i="17"/>
  <c r="AA298" i="17"/>
  <c r="AA120" i="16"/>
  <c r="L120" i="23" s="1"/>
  <c r="O120" i="23" s="1"/>
  <c r="AA222" i="16"/>
  <c r="L222" i="23" s="1"/>
  <c r="O222" i="23" s="1"/>
  <c r="AA622" i="16"/>
  <c r="AG622" i="16" s="1"/>
  <c r="AA2" i="17"/>
  <c r="AA12" i="17"/>
  <c r="AA159" i="17"/>
  <c r="AA148" i="17"/>
  <c r="AA177" i="17"/>
  <c r="AA424" i="16"/>
  <c r="AG424" i="16" s="1"/>
  <c r="AA425" i="16"/>
  <c r="AG425" i="16" s="1"/>
  <c r="AA407" i="16"/>
  <c r="AG407" i="16" s="1"/>
  <c r="AA412" i="16"/>
  <c r="AG412" i="16" s="1"/>
  <c r="AA405" i="16"/>
  <c r="AG405" i="16" s="1"/>
  <c r="AA608" i="16"/>
  <c r="L608" i="23" s="1"/>
  <c r="O608" i="23" s="1"/>
  <c r="AA596" i="16"/>
  <c r="L596" i="23" s="1"/>
  <c r="O596" i="23" s="1"/>
  <c r="AA560" i="16"/>
  <c r="L560" i="23" s="1"/>
  <c r="O560" i="23" s="1"/>
  <c r="AA588" i="16"/>
  <c r="L588" i="23" s="1"/>
  <c r="O588" i="23" s="1"/>
  <c r="AA549" i="16"/>
  <c r="L549" i="23" s="1"/>
  <c r="O549" i="23" s="1"/>
  <c r="AA565" i="16"/>
  <c r="L565" i="23" s="1"/>
  <c r="O565" i="23" s="1"/>
  <c r="AA581" i="16"/>
  <c r="L581" i="23" s="1"/>
  <c r="O581" i="23" s="1"/>
  <c r="AA597" i="16"/>
  <c r="L597" i="23" s="1"/>
  <c r="O597" i="23" s="1"/>
  <c r="AA613" i="16"/>
  <c r="L613" i="23" s="1"/>
  <c r="O613" i="23" s="1"/>
  <c r="AA546" i="16"/>
  <c r="L546" i="23" s="1"/>
  <c r="O546" i="23" s="1"/>
  <c r="AA562" i="16"/>
  <c r="L562" i="23" s="1"/>
  <c r="O562" i="23" s="1"/>
  <c r="AA578" i="16"/>
  <c r="L578" i="23" s="1"/>
  <c r="O578" i="23" s="1"/>
  <c r="AA594" i="16"/>
  <c r="L594" i="23" s="1"/>
  <c r="O594" i="23" s="1"/>
  <c r="AA543" i="16"/>
  <c r="L543" i="23" s="1"/>
  <c r="O543" i="23" s="1"/>
  <c r="AA559" i="16"/>
  <c r="L559" i="23" s="1"/>
  <c r="O559" i="23" s="1"/>
  <c r="AA575" i="16"/>
  <c r="L575" i="23" s="1"/>
  <c r="O575" i="23" s="1"/>
  <c r="AA591" i="16"/>
  <c r="L591" i="23" s="1"/>
  <c r="O591" i="23" s="1"/>
  <c r="AA607" i="16"/>
  <c r="L607" i="23" s="1"/>
  <c r="O607" i="23" s="1"/>
  <c r="AA621" i="16"/>
  <c r="AG621" i="16" s="1"/>
  <c r="AA147" i="17"/>
  <c r="AA149" i="17"/>
  <c r="AA388" i="16"/>
  <c r="AG388" i="16" s="1"/>
  <c r="AA389" i="16"/>
  <c r="AG389" i="16" s="1"/>
  <c r="AA426" i="16"/>
  <c r="AG426" i="16" s="1"/>
  <c r="AA419" i="16"/>
  <c r="AG419" i="16" s="1"/>
  <c r="AA181" i="17"/>
  <c r="AA182" i="17"/>
  <c r="AA162" i="17"/>
  <c r="AA168" i="17"/>
  <c r="AA167" i="17"/>
  <c r="AA584" i="16"/>
  <c r="L584" i="23" s="1"/>
  <c r="O584" i="23" s="1"/>
  <c r="AA610" i="16"/>
  <c r="L610" i="23" s="1"/>
  <c r="O610" i="23" s="1"/>
  <c r="AA390" i="16"/>
  <c r="AG390" i="16" s="1"/>
  <c r="AA150" i="17"/>
  <c r="AA391" i="16"/>
  <c r="AG391" i="16" s="1"/>
  <c r="AA152" i="17"/>
  <c r="AA392" i="16"/>
  <c r="AG392" i="16" s="1"/>
  <c r="AA151" i="17"/>
  <c r="AA393" i="16"/>
  <c r="AG393" i="16" s="1"/>
  <c r="AA418" i="16"/>
  <c r="AG418" i="16" s="1"/>
  <c r="AA180" i="17"/>
  <c r="AA423" i="16"/>
  <c r="AG423" i="16" s="1"/>
  <c r="AA184" i="17"/>
  <c r="AA173" i="17"/>
  <c r="AA402" i="16"/>
  <c r="AG402" i="16" s="1"/>
  <c r="AA166" i="17"/>
  <c r="AA411" i="16"/>
  <c r="AG411" i="16" s="1"/>
  <c r="AA172" i="17"/>
  <c r="AA160" i="17"/>
  <c r="AA169" i="17"/>
  <c r="AA548" i="16"/>
  <c r="L548" i="23" s="1"/>
  <c r="O548" i="23" s="1"/>
  <c r="AA612" i="16"/>
  <c r="L612" i="23" s="1"/>
  <c r="O612" i="23" s="1"/>
  <c r="AA600" i="16"/>
  <c r="L600" i="23" s="1"/>
  <c r="O600" i="23" s="1"/>
  <c r="AA592" i="16"/>
  <c r="L592" i="23" s="1"/>
  <c r="O592" i="23" s="1"/>
  <c r="AA604" i="16"/>
  <c r="L604" i="23" s="1"/>
  <c r="O604" i="23" s="1"/>
  <c r="AA553" i="16"/>
  <c r="L553" i="23" s="1"/>
  <c r="O553" i="23" s="1"/>
  <c r="AA569" i="16"/>
  <c r="L569" i="23" s="1"/>
  <c r="O569" i="23" s="1"/>
  <c r="AA585" i="16"/>
  <c r="L585" i="23" s="1"/>
  <c r="O585" i="23" s="1"/>
  <c r="AA601" i="16"/>
  <c r="L601" i="23" s="1"/>
  <c r="O601" i="23" s="1"/>
  <c r="AA617" i="16"/>
  <c r="L617" i="23" s="1"/>
  <c r="O617" i="23" s="1"/>
  <c r="AA550" i="16"/>
  <c r="L550" i="23" s="1"/>
  <c r="O550" i="23" s="1"/>
  <c r="AA566" i="16"/>
  <c r="L566" i="23" s="1"/>
  <c r="O566" i="23" s="1"/>
  <c r="AA582" i="16"/>
  <c r="L582" i="23" s="1"/>
  <c r="O582" i="23" s="1"/>
  <c r="AA598" i="16"/>
  <c r="L598" i="23" s="1"/>
  <c r="O598" i="23" s="1"/>
  <c r="AA614" i="16"/>
  <c r="L614" i="23" s="1"/>
  <c r="O614" i="23" s="1"/>
  <c r="AA547" i="16"/>
  <c r="L547" i="23" s="1"/>
  <c r="O547" i="23" s="1"/>
  <c r="AA563" i="16"/>
  <c r="L563" i="23" s="1"/>
  <c r="O563" i="23" s="1"/>
  <c r="AA579" i="16"/>
  <c r="L579" i="23" s="1"/>
  <c r="O579" i="23" s="1"/>
  <c r="AA595" i="16"/>
  <c r="L595" i="23" s="1"/>
  <c r="O595" i="23" s="1"/>
  <c r="AA611" i="16"/>
  <c r="L611" i="23" s="1"/>
  <c r="O611" i="23" s="1"/>
  <c r="AA244" i="17"/>
  <c r="AA249" i="17"/>
  <c r="AA254" i="17"/>
  <c r="AA260" i="17"/>
  <c r="AA265" i="17"/>
  <c r="AA270" i="17"/>
  <c r="AA276" i="17"/>
  <c r="AA281" i="17"/>
  <c r="AA286" i="17"/>
  <c r="AA293" i="17"/>
  <c r="AA224" i="16"/>
  <c r="L224" i="23" s="1"/>
  <c r="O224" i="23" s="1"/>
  <c r="AA287" i="16"/>
  <c r="L287" i="23" s="1"/>
  <c r="O287" i="23" s="1"/>
  <c r="AA126" i="16"/>
  <c r="L126" i="23" s="1"/>
  <c r="O126" i="23" s="1"/>
  <c r="AA310" i="17"/>
  <c r="AA7" i="17"/>
  <c r="S26" i="24"/>
  <c r="AA289" i="17"/>
  <c r="AA294" i="17"/>
  <c r="AA300" i="17"/>
  <c r="AA216" i="16"/>
  <c r="L216" i="23" s="1"/>
  <c r="O216" i="23" s="1"/>
  <c r="AA132" i="16"/>
  <c r="L132" i="23" s="1"/>
  <c r="O132" i="23" s="1"/>
  <c r="AA113" i="16"/>
  <c r="L113" i="23" s="1"/>
  <c r="O113" i="23" s="1"/>
  <c r="AA284" i="16"/>
  <c r="L284" i="23" s="1"/>
  <c r="O284" i="23" s="1"/>
  <c r="AA215" i="16"/>
  <c r="L215" i="23" s="1"/>
  <c r="O215" i="23" s="1"/>
  <c r="AA308" i="17"/>
  <c r="AA629" i="16"/>
  <c r="AG629" i="16" s="1"/>
  <c r="AA627" i="16"/>
  <c r="AG627" i="16" s="1"/>
  <c r="AA320" i="16"/>
  <c r="AG320" i="16" s="1"/>
  <c r="AA10" i="17"/>
  <c r="AA321" i="16"/>
  <c r="AG321" i="16" s="1"/>
  <c r="AA297" i="17"/>
  <c r="AA228" i="16"/>
  <c r="L228" i="23" s="1"/>
  <c r="O228" i="23" s="1"/>
  <c r="AA294" i="16"/>
  <c r="L323" i="23" s="1"/>
  <c r="AA225" i="16"/>
  <c r="L225" i="23" s="1"/>
  <c r="O225" i="23" s="1"/>
  <c r="AA210" i="16"/>
  <c r="L210" i="23" s="1"/>
  <c r="O210" i="23" s="1"/>
  <c r="AA114" i="16"/>
  <c r="L114" i="23" s="1"/>
  <c r="O114" i="23" s="1"/>
  <c r="AA285" i="16"/>
  <c r="L285" i="23" s="1"/>
  <c r="O285" i="23" s="1"/>
  <c r="AA301" i="17"/>
  <c r="AA632" i="16"/>
  <c r="AG632" i="16" s="1"/>
  <c r="AA4" i="17"/>
  <c r="AA116" i="17"/>
  <c r="AA322" i="16"/>
  <c r="AG322" i="16" s="1"/>
  <c r="S20" i="24"/>
  <c r="AA212" i="16"/>
  <c r="L212" i="23" s="1"/>
  <c r="O212" i="23" s="1"/>
  <c r="AA131" i="16"/>
  <c r="L131" i="23" s="1"/>
  <c r="O131" i="23" s="1"/>
  <c r="AA220" i="16"/>
  <c r="L220" i="23" s="1"/>
  <c r="O220" i="23" s="1"/>
  <c r="AA124" i="16"/>
  <c r="L124" i="23" s="1"/>
  <c r="O124" i="23" s="1"/>
  <c r="AA221" i="16"/>
  <c r="L221" i="23" s="1"/>
  <c r="O221" i="23" s="1"/>
  <c r="AA291" i="16"/>
  <c r="L291" i="23" s="1"/>
  <c r="O291" i="23" s="1"/>
  <c r="AA129" i="16"/>
  <c r="L129" i="23" s="1"/>
  <c r="O129" i="23" s="1"/>
  <c r="AA226" i="16"/>
  <c r="L226" i="23" s="1"/>
  <c r="O226" i="23" s="1"/>
  <c r="AA110" i="16"/>
  <c r="L110" i="23" s="1"/>
  <c r="O110" i="23" s="1"/>
  <c r="AA130" i="16"/>
  <c r="L130" i="23" s="1"/>
  <c r="O130" i="23" s="1"/>
  <c r="AA231" i="16"/>
  <c r="L231" i="23" s="1"/>
  <c r="O231" i="23" s="1"/>
  <c r="AA630" i="16"/>
  <c r="AG630" i="16" s="1"/>
  <c r="AA625" i="16"/>
  <c r="AG625" i="16" s="1"/>
  <c r="AA624" i="16"/>
  <c r="AG624" i="16" s="1"/>
  <c r="AA623" i="16"/>
  <c r="AG623" i="16" s="1"/>
  <c r="AA3" i="16"/>
  <c r="AG3" i="16" s="1"/>
  <c r="AA115" i="17"/>
  <c r="AA8" i="16"/>
  <c r="AG8" i="16" s="1"/>
  <c r="AA9" i="16"/>
  <c r="AG9" i="16" s="1"/>
  <c r="AA113" i="17"/>
  <c r="AA110" i="17"/>
  <c r="S21" i="24"/>
  <c r="AA123" i="16"/>
  <c r="L123" i="23" s="1"/>
  <c r="O123" i="23" s="1"/>
  <c r="AA232" i="16"/>
  <c r="L232" i="23" s="1"/>
  <c r="O232" i="23" s="1"/>
  <c r="AA116" i="16"/>
  <c r="L116" i="23" s="1"/>
  <c r="O116" i="23" s="1"/>
  <c r="AA209" i="16"/>
  <c r="L209" i="23" s="1"/>
  <c r="O209" i="23" s="1"/>
  <c r="AA229" i="16"/>
  <c r="L229" i="23" s="1"/>
  <c r="O229" i="23" s="1"/>
  <c r="AA117" i="16"/>
  <c r="L117" i="23" s="1"/>
  <c r="O117" i="23" s="1"/>
  <c r="AA218" i="16"/>
  <c r="L218" i="23" s="1"/>
  <c r="O218" i="23" s="1"/>
  <c r="AA288" i="16"/>
  <c r="L288" i="23" s="1"/>
  <c r="O288" i="23" s="1"/>
  <c r="AA122" i="16"/>
  <c r="L122" i="23" s="1"/>
  <c r="O122" i="23" s="1"/>
  <c r="AA219" i="16"/>
  <c r="L219" i="23" s="1"/>
  <c r="O219" i="23" s="1"/>
  <c r="AA289" i="16"/>
  <c r="L289" i="23" s="1"/>
  <c r="O289" i="23" s="1"/>
  <c r="AA312" i="17"/>
  <c r="AA305" i="17"/>
  <c r="AA306" i="17"/>
  <c r="AA303" i="17"/>
  <c r="AA631" i="16"/>
  <c r="AG631" i="16" s="1"/>
  <c r="AA5" i="16"/>
  <c r="AG5" i="16" s="1"/>
  <c r="AA324" i="16"/>
  <c r="AG324" i="16" s="1"/>
  <c r="AA120" i="17"/>
  <c r="AA11" i="16"/>
  <c r="AA326" i="16"/>
  <c r="AG326" i="16" s="1"/>
  <c r="AA325" i="16"/>
  <c r="AG325" i="16" s="1"/>
  <c r="AA461" i="16"/>
  <c r="AG461" i="16" s="1"/>
  <c r="AA484" i="16"/>
  <c r="AG484" i="16" s="1"/>
  <c r="AA540" i="16"/>
  <c r="AG540" i="16" s="1"/>
  <c r="AA493" i="16"/>
  <c r="AG493" i="16" s="1"/>
  <c r="AA509" i="16"/>
  <c r="AG509" i="16" s="1"/>
  <c r="AA525" i="16"/>
  <c r="AG525" i="16" s="1"/>
  <c r="AA541" i="16"/>
  <c r="AG541" i="16" s="1"/>
  <c r="AA506" i="16"/>
  <c r="AG506" i="16" s="1"/>
  <c r="AA522" i="16"/>
  <c r="AG522" i="16" s="1"/>
  <c r="AA538" i="16"/>
  <c r="AG538" i="16" s="1"/>
  <c r="AA451" i="16"/>
  <c r="AG451" i="16" s="1"/>
  <c r="AA467" i="16"/>
  <c r="AG467" i="16" s="1"/>
  <c r="AA483" i="16"/>
  <c r="AG483" i="16" s="1"/>
  <c r="AA499" i="16"/>
  <c r="AG499" i="16" s="1"/>
  <c r="AA515" i="16"/>
  <c r="AG515" i="16" s="1"/>
  <c r="AA531" i="16"/>
  <c r="AG531" i="16" s="1"/>
  <c r="AA231" i="17"/>
  <c r="AA235" i="17"/>
  <c r="AA239" i="17"/>
  <c r="AA243" i="17"/>
  <c r="AA247" i="17"/>
  <c r="AA251" i="17"/>
  <c r="AA255" i="17"/>
  <c r="AA259" i="17"/>
  <c r="AA263" i="17"/>
  <c r="AA267" i="17"/>
  <c r="AA271" i="17"/>
  <c r="AA275" i="17"/>
  <c r="AA279" i="17"/>
  <c r="AA283" i="17"/>
  <c r="AA287" i="17"/>
  <c r="AA291" i="17"/>
  <c r="AA295" i="17"/>
  <c r="AA299" i="17"/>
  <c r="AA111" i="16"/>
  <c r="L111" i="23" s="1"/>
  <c r="O111" i="23" s="1"/>
  <c r="AA286" i="16"/>
  <c r="L286" i="23" s="1"/>
  <c r="O286" i="23" s="1"/>
  <c r="AA115" i="16"/>
  <c r="L115" i="23" s="1"/>
  <c r="O115" i="23" s="1"/>
  <c r="AA290" i="16"/>
  <c r="L290" i="23" s="1"/>
  <c r="O290" i="23" s="1"/>
  <c r="AA112" i="16"/>
  <c r="L112" i="23" s="1"/>
  <c r="O112" i="23" s="1"/>
  <c r="AA128" i="16"/>
  <c r="L128" i="23" s="1"/>
  <c r="O128" i="23" s="1"/>
  <c r="AA217" i="16"/>
  <c r="L217" i="23" s="1"/>
  <c r="O217" i="23" s="1"/>
  <c r="AA283" i="16"/>
  <c r="L283" i="23" s="1"/>
  <c r="O283" i="23" s="1"/>
  <c r="AA121" i="16"/>
  <c r="L121" i="23" s="1"/>
  <c r="O121" i="23" s="1"/>
  <c r="AA214" i="16"/>
  <c r="L214" i="23" s="1"/>
  <c r="O214" i="23" s="1"/>
  <c r="AA230" i="16"/>
  <c r="L230" i="23" s="1"/>
  <c r="O230" i="23" s="1"/>
  <c r="AA118" i="16"/>
  <c r="L118" i="23" s="1"/>
  <c r="O118" i="23" s="1"/>
  <c r="AA211" i="16"/>
  <c r="L211" i="23" s="1"/>
  <c r="O211" i="23" s="1"/>
  <c r="AA227" i="16"/>
  <c r="L227" i="23" s="1"/>
  <c r="O227" i="23" s="1"/>
  <c r="AA293" i="16"/>
  <c r="L293" i="23" s="1"/>
  <c r="O293" i="23" s="1"/>
  <c r="AA304" i="17"/>
  <c r="AA626" i="16"/>
  <c r="AG626" i="16" s="1"/>
  <c r="AA309" i="17"/>
  <c r="AA302" i="17"/>
  <c r="AA628" i="16"/>
  <c r="AG628" i="16" s="1"/>
  <c r="AA311" i="17"/>
  <c r="AA2" i="16"/>
  <c r="AG2" i="16" s="1"/>
  <c r="AA4" i="16"/>
  <c r="AG4" i="16" s="1"/>
  <c r="AA6" i="16"/>
  <c r="AA111" i="17"/>
  <c r="AA7" i="16"/>
  <c r="AG7" i="16" s="1"/>
  <c r="AA112" i="17"/>
  <c r="AA323" i="16"/>
  <c r="AG323" i="16" s="1"/>
  <c r="AA10" i="16"/>
  <c r="AG10" i="16" s="1"/>
  <c r="AA12" i="16"/>
  <c r="AG12" i="16" s="1"/>
  <c r="AA121" i="17"/>
  <c r="AA13" i="16"/>
  <c r="AA118" i="17"/>
  <c r="G11" i="24"/>
  <c r="AA3" i="17"/>
  <c r="AA5" i="17"/>
  <c r="AA119" i="17"/>
  <c r="AA328" i="16"/>
  <c r="AG328" i="16" s="1"/>
  <c r="AA8" i="17"/>
  <c r="AA319" i="16"/>
  <c r="AG319" i="16" s="1"/>
  <c r="AA9" i="17"/>
  <c r="AA11" i="17"/>
  <c r="AA117" i="17"/>
  <c r="AA330" i="16"/>
  <c r="AG330" i="16" s="1"/>
  <c r="AA114" i="17"/>
  <c r="AA329" i="16"/>
  <c r="AG329" i="16" s="1"/>
  <c r="L630" i="23"/>
  <c r="L425" i="23"/>
  <c r="L393" i="23"/>
  <c r="L432" i="23"/>
  <c r="O432" i="23" s="1"/>
  <c r="L537" i="23"/>
  <c r="O537" i="23" s="1"/>
  <c r="L541" i="23"/>
  <c r="L527" i="23"/>
  <c r="L519" i="23"/>
  <c r="O519" i="23" s="1"/>
  <c r="L511" i="23"/>
  <c r="L503" i="23"/>
  <c r="O503" i="23" s="1"/>
  <c r="L532" i="23"/>
  <c r="O532" i="23" s="1"/>
  <c r="L524" i="23"/>
  <c r="L516" i="23"/>
  <c r="L508" i="23"/>
  <c r="O508" i="23" s="1"/>
  <c r="L500" i="23"/>
  <c r="L492" i="23"/>
  <c r="L484" i="23"/>
  <c r="L491" i="23"/>
  <c r="L487" i="23"/>
  <c r="O487" i="23" s="1"/>
  <c r="L479" i="23"/>
  <c r="L471" i="23"/>
  <c r="O471" i="23" s="1"/>
  <c r="L463" i="23"/>
  <c r="O463" i="23" s="1"/>
  <c r="L455" i="23"/>
  <c r="L447" i="23"/>
  <c r="O447" i="23" s="1"/>
  <c r="L439" i="23"/>
  <c r="L444" i="23"/>
  <c r="O444" i="23" s="1"/>
  <c r="L462" i="23"/>
  <c r="O462" i="23" s="1"/>
  <c r="L476" i="23"/>
  <c r="O476" i="23" s="1"/>
  <c r="L448" i="23"/>
  <c r="O448" i="23" s="1"/>
  <c r="L458" i="23"/>
  <c r="AG370" i="16"/>
  <c r="AG365" i="16"/>
  <c r="AG590" i="16"/>
  <c r="AG599" i="16"/>
  <c r="AG633" i="16"/>
  <c r="AG643" i="16"/>
  <c r="AG287" i="16"/>
  <c r="AG218" i="16"/>
  <c r="AG358" i="16"/>
  <c r="AG368" i="16"/>
  <c r="AG384" i="16"/>
  <c r="AG385" i="16"/>
  <c r="AG605" i="16"/>
  <c r="AG546" i="16"/>
  <c r="AG594" i="16"/>
  <c r="AG587" i="16"/>
  <c r="AG637" i="16"/>
  <c r="AG222" i="16"/>
  <c r="AG215" i="16"/>
  <c r="AG362" i="16"/>
  <c r="AG380" i="16"/>
  <c r="AG583" i="16"/>
  <c r="AG125" i="16"/>
  <c r="AG379" i="16"/>
  <c r="AG427" i="16"/>
  <c r="AG545" i="16"/>
  <c r="AG577" i="16"/>
  <c r="AG609" i="16"/>
  <c r="AG543" i="16"/>
  <c r="AG607" i="16"/>
  <c r="AG641" i="16"/>
  <c r="AG635" i="16"/>
  <c r="AG210" i="16"/>
  <c r="AG110" i="16"/>
  <c r="AG355" i="16"/>
  <c r="AG364" i="16"/>
  <c r="AG580" i="16"/>
  <c r="AG585" i="16"/>
  <c r="AG615" i="16"/>
  <c r="AG638" i="16"/>
  <c r="AG366" i="16"/>
  <c r="AG363" i="16"/>
  <c r="AG357" i="16"/>
  <c r="AG382" i="16"/>
  <c r="AG383" i="16"/>
  <c r="AG376" i="16"/>
  <c r="AG377" i="16"/>
  <c r="AG552" i="16"/>
  <c r="AG616" i="16"/>
  <c r="AG592" i="16"/>
  <c r="AG565" i="16"/>
  <c r="AG586" i="16"/>
  <c r="AG602" i="16"/>
  <c r="AG547" i="16"/>
  <c r="AG634" i="16"/>
  <c r="AG639" i="16"/>
  <c r="AG123" i="16"/>
  <c r="AG223" i="16"/>
  <c r="AM60" i="6"/>
  <c r="AM58" i="9"/>
  <c r="AM58" i="8"/>
  <c r="AM58" i="7"/>
  <c r="Y5" i="13"/>
  <c r="X46" i="13"/>
  <c r="AB48" i="13"/>
  <c r="AB48" i="12"/>
  <c r="AB48" i="11"/>
  <c r="AB48" i="10"/>
  <c r="Y5" i="12"/>
  <c r="X46" i="12"/>
  <c r="AG114" i="16" l="1"/>
  <c r="AG566" i="16"/>
  <c r="AG216" i="16"/>
  <c r="AG611" i="16"/>
  <c r="AG596" i="16"/>
  <c r="K11" i="28"/>
  <c r="M11" i="28" s="1"/>
  <c r="AG373" i="16"/>
  <c r="L327" i="23"/>
  <c r="O327" i="23" s="1"/>
  <c r="O479" i="23"/>
  <c r="O492" i="23"/>
  <c r="L390" i="23"/>
  <c r="L402" i="23"/>
  <c r="L401" i="23"/>
  <c r="L433" i="23"/>
  <c r="O433" i="23" s="1"/>
  <c r="T12" i="23"/>
  <c r="L400" i="23"/>
  <c r="O400" i="23" s="1"/>
  <c r="L624" i="23"/>
  <c r="AG372" i="16"/>
  <c r="O455" i="23"/>
  <c r="L418" i="23"/>
  <c r="L409" i="23"/>
  <c r="O409" i="23" s="1"/>
  <c r="AG130" i="16"/>
  <c r="AG620" i="16"/>
  <c r="O491" i="23"/>
  <c r="L416" i="23"/>
  <c r="O416" i="23" s="1"/>
  <c r="L434" i="23"/>
  <c r="O434" i="23" s="1"/>
  <c r="L417" i="23"/>
  <c r="L627" i="23"/>
  <c r="AG214" i="16"/>
  <c r="AG612" i="16"/>
  <c r="S5" i="25"/>
  <c r="S60" i="25" s="1"/>
  <c r="S56" i="9"/>
  <c r="C15" i="27"/>
  <c r="C14" i="27"/>
  <c r="N11" i="27"/>
  <c r="N7" i="27"/>
  <c r="N13" i="27" s="1"/>
  <c r="N9" i="27"/>
  <c r="H15" i="27"/>
  <c r="H14" i="27"/>
  <c r="AB56" i="8"/>
  <c r="K15" i="27"/>
  <c r="K14" i="27"/>
  <c r="K9" i="28"/>
  <c r="O629" i="23"/>
  <c r="O431" i="23"/>
  <c r="O500" i="23"/>
  <c r="O527" i="23"/>
  <c r="L388" i="23"/>
  <c r="O388" i="23" s="1"/>
  <c r="L404" i="23"/>
  <c r="O404" i="23" s="1"/>
  <c r="L420" i="23"/>
  <c r="O420" i="23" s="1"/>
  <c r="L436" i="23"/>
  <c r="O436" i="23" s="1"/>
  <c r="L406" i="23"/>
  <c r="O406" i="23" s="1"/>
  <c r="L422" i="23"/>
  <c r="O422" i="23" s="1"/>
  <c r="L438" i="23"/>
  <c r="O438" i="23" s="1"/>
  <c r="L395" i="23"/>
  <c r="O395" i="23" s="1"/>
  <c r="L403" i="23"/>
  <c r="O403" i="23" s="1"/>
  <c r="L411" i="23"/>
  <c r="O411" i="23" s="1"/>
  <c r="L419" i="23"/>
  <c r="L427" i="23"/>
  <c r="O427" i="23" s="1"/>
  <c r="L435" i="23"/>
  <c r="O435" i="23" s="1"/>
  <c r="L628" i="23"/>
  <c r="O628" i="23" s="1"/>
  <c r="L631" i="23"/>
  <c r="O631" i="23" s="1"/>
  <c r="L621" i="23"/>
  <c r="AG564" i="16"/>
  <c r="AG356" i="16"/>
  <c r="AG213" i="16"/>
  <c r="AG294" i="16"/>
  <c r="AG387" i="16"/>
  <c r="AG551" i="16"/>
  <c r="L294" i="23"/>
  <c r="O294" i="23" s="1"/>
  <c r="AG618" i="16"/>
  <c r="AG367" i="16"/>
  <c r="AG119" i="16"/>
  <c r="AG644" i="16"/>
  <c r="AG572" i="16"/>
  <c r="AG640" i="16"/>
  <c r="AG375" i="16"/>
  <c r="L322" i="23"/>
  <c r="L392" i="23"/>
  <c r="O392" i="23" s="1"/>
  <c r="L408" i="23"/>
  <c r="O408" i="23" s="1"/>
  <c r="L424" i="23"/>
  <c r="O424" i="23" s="1"/>
  <c r="L394" i="23"/>
  <c r="O394" i="23" s="1"/>
  <c r="L410" i="23"/>
  <c r="O410" i="23" s="1"/>
  <c r="L426" i="23"/>
  <c r="L389" i="23"/>
  <c r="O389" i="23" s="1"/>
  <c r="L397" i="23"/>
  <c r="O397" i="23" s="1"/>
  <c r="L405" i="23"/>
  <c r="O405" i="23" s="1"/>
  <c r="L413" i="23"/>
  <c r="O413" i="23" s="1"/>
  <c r="L421" i="23"/>
  <c r="O421" i="23" s="1"/>
  <c r="L429" i="23"/>
  <c r="O429" i="23" s="1"/>
  <c r="L437" i="23"/>
  <c r="O437" i="23" s="1"/>
  <c r="L632" i="23"/>
  <c r="O632" i="23" s="1"/>
  <c r="L622" i="23"/>
  <c r="O622" i="23" s="1"/>
  <c r="L625" i="23"/>
  <c r="O625" i="23" s="1"/>
  <c r="AG636" i="16"/>
  <c r="AG361" i="16"/>
  <c r="AG131" i="16"/>
  <c r="AG593" i="16"/>
  <c r="AG381" i="16"/>
  <c r="AG589" i="16"/>
  <c r="AG369" i="16"/>
  <c r="L324" i="23"/>
  <c r="O324" i="23" s="1"/>
  <c r="L396" i="23"/>
  <c r="O396" i="23" s="1"/>
  <c r="L412" i="23"/>
  <c r="O412" i="23" s="1"/>
  <c r="L428" i="23"/>
  <c r="O428" i="23" s="1"/>
  <c r="L398" i="23"/>
  <c r="O398" i="23" s="1"/>
  <c r="L414" i="23"/>
  <c r="O414" i="23" s="1"/>
  <c r="L430" i="23"/>
  <c r="O430" i="23" s="1"/>
  <c r="L391" i="23"/>
  <c r="O391" i="23" s="1"/>
  <c r="L399" i="23"/>
  <c r="L407" i="23"/>
  <c r="O407" i="23" s="1"/>
  <c r="L415" i="23"/>
  <c r="O415" i="23" s="1"/>
  <c r="L423" i="23"/>
  <c r="O423" i="23" s="1"/>
  <c r="L620" i="23"/>
  <c r="O620" i="23" s="1"/>
  <c r="L623" i="23"/>
  <c r="O623" i="23" s="1"/>
  <c r="L626" i="23"/>
  <c r="AG126" i="16"/>
  <c r="AG561" i="16"/>
  <c r="O516" i="23"/>
  <c r="AG581" i="16"/>
  <c r="AG286" i="16"/>
  <c r="O524" i="23"/>
  <c r="O458" i="23"/>
  <c r="O426" i="23"/>
  <c r="AG289" i="16"/>
  <c r="AG230" i="16"/>
  <c r="AG292" i="16"/>
  <c r="AG374" i="16"/>
  <c r="AG578" i="16"/>
  <c r="AG371" i="16"/>
  <c r="AG570" i="16"/>
  <c r="AG228" i="16"/>
  <c r="AG115" i="16"/>
  <c r="AG556" i="16"/>
  <c r="AG359" i="16"/>
  <c r="O511" i="23"/>
  <c r="AG217" i="16"/>
  <c r="AG554" i="16"/>
  <c r="AG575" i="16"/>
  <c r="AG293" i="16"/>
  <c r="AG555" i="16"/>
  <c r="AG544" i="16"/>
  <c r="AG558" i="16"/>
  <c r="O417" i="23"/>
  <c r="AG113" i="16"/>
  <c r="AG111" i="16"/>
  <c r="AG225" i="16"/>
  <c r="O535" i="23"/>
  <c r="AG563" i="16"/>
  <c r="AG360" i="16"/>
  <c r="AG386" i="16"/>
  <c r="AG567" i="16"/>
  <c r="AG604" i="16"/>
  <c r="AG117" i="16"/>
  <c r="AG559" i="16"/>
  <c r="AG548" i="16"/>
  <c r="AG603" i="16"/>
  <c r="AG227" i="16"/>
  <c r="L466" i="23"/>
  <c r="O466" i="23" s="1"/>
  <c r="L456" i="23"/>
  <c r="O456" i="23" s="1"/>
  <c r="L355" i="23"/>
  <c r="L470" i="23"/>
  <c r="O470" i="23" s="1"/>
  <c r="L452" i="23"/>
  <c r="O452" i="23" s="1"/>
  <c r="L441" i="23"/>
  <c r="O441" i="23" s="1"/>
  <c r="L449" i="23"/>
  <c r="O449" i="23" s="1"/>
  <c r="L457" i="23"/>
  <c r="O457" i="23" s="1"/>
  <c r="L465" i="23"/>
  <c r="O465" i="23" s="1"/>
  <c r="L473" i="23"/>
  <c r="O473" i="23" s="1"/>
  <c r="L481" i="23"/>
  <c r="O481" i="23" s="1"/>
  <c r="L495" i="23"/>
  <c r="O495" i="23" s="1"/>
  <c r="L499" i="23"/>
  <c r="O499" i="23" s="1"/>
  <c r="L486" i="23"/>
  <c r="O486" i="23" s="1"/>
  <c r="L494" i="23"/>
  <c r="O494" i="23" s="1"/>
  <c r="L502" i="23"/>
  <c r="O502" i="23" s="1"/>
  <c r="L510" i="23"/>
  <c r="O510" i="23" s="1"/>
  <c r="L518" i="23"/>
  <c r="O518" i="23" s="1"/>
  <c r="L526" i="23"/>
  <c r="O526" i="23" s="1"/>
  <c r="L534" i="23"/>
  <c r="O534" i="23" s="1"/>
  <c r="L505" i="23"/>
  <c r="O505" i="23" s="1"/>
  <c r="L513" i="23"/>
  <c r="O513" i="23" s="1"/>
  <c r="L521" i="23"/>
  <c r="O521" i="23" s="1"/>
  <c r="L529" i="23"/>
  <c r="O529" i="23" s="1"/>
  <c r="L536" i="23"/>
  <c r="O536" i="23" s="1"/>
  <c r="L539" i="23"/>
  <c r="O539" i="23" s="1"/>
  <c r="AG128" i="16"/>
  <c r="AG232" i="16"/>
  <c r="AG606" i="16"/>
  <c r="AG284" i="16"/>
  <c r="AG642" i="16"/>
  <c r="AG562" i="16"/>
  <c r="AG573" i="16"/>
  <c r="AG601" i="16"/>
  <c r="L442" i="23"/>
  <c r="O442" i="23" s="1"/>
  <c r="L474" i="23"/>
  <c r="O474" i="23" s="1"/>
  <c r="L464" i="23"/>
  <c r="O464" i="23" s="1"/>
  <c r="L446" i="23"/>
  <c r="O446" i="23" s="1"/>
  <c r="L485" i="23"/>
  <c r="O485" i="23" s="1"/>
  <c r="L460" i="23"/>
  <c r="O460" i="23" s="1"/>
  <c r="L443" i="23"/>
  <c r="O443" i="23" s="1"/>
  <c r="L451" i="23"/>
  <c r="O451" i="23" s="1"/>
  <c r="L459" i="23"/>
  <c r="O459" i="23" s="1"/>
  <c r="L467" i="23"/>
  <c r="O467" i="23" s="1"/>
  <c r="L475" i="23"/>
  <c r="O475" i="23" s="1"/>
  <c r="L489" i="23"/>
  <c r="O489" i="23" s="1"/>
  <c r="L477" i="23"/>
  <c r="O477" i="23" s="1"/>
  <c r="L480" i="23"/>
  <c r="O480" i="23" s="1"/>
  <c r="L488" i="23"/>
  <c r="O488" i="23" s="1"/>
  <c r="L496" i="23"/>
  <c r="O496" i="23" s="1"/>
  <c r="L504" i="23"/>
  <c r="O504" i="23" s="1"/>
  <c r="L512" i="23"/>
  <c r="O512" i="23" s="1"/>
  <c r="L520" i="23"/>
  <c r="O520" i="23" s="1"/>
  <c r="L528" i="23"/>
  <c r="O528" i="23" s="1"/>
  <c r="L538" i="23"/>
  <c r="O538" i="23" s="1"/>
  <c r="L507" i="23"/>
  <c r="O507" i="23" s="1"/>
  <c r="L515" i="23"/>
  <c r="O515" i="23" s="1"/>
  <c r="L523" i="23"/>
  <c r="O523" i="23" s="1"/>
  <c r="L531" i="23"/>
  <c r="O531" i="23" s="1"/>
  <c r="L540" i="23"/>
  <c r="O540" i="23" s="1"/>
  <c r="O393" i="23"/>
  <c r="O627" i="23"/>
  <c r="O630" i="23"/>
  <c r="AG542" i="16"/>
  <c r="AG219" i="16"/>
  <c r="AG226" i="16"/>
  <c r="AG124" i="16"/>
  <c r="AG127" i="16"/>
  <c r="AG582" i="16"/>
  <c r="AG560" i="16"/>
  <c r="AG557" i="16"/>
  <c r="AG584" i="16"/>
  <c r="AG378" i="16"/>
  <c r="AG568" i="16"/>
  <c r="W12" i="23"/>
  <c r="Z12" i="23" s="1"/>
  <c r="L450" i="23"/>
  <c r="O450" i="23" s="1"/>
  <c r="L440" i="23"/>
  <c r="O440" i="23" s="1"/>
  <c r="L468" i="23"/>
  <c r="O468" i="23" s="1"/>
  <c r="L454" i="23"/>
  <c r="O454" i="23" s="1"/>
  <c r="L493" i="23"/>
  <c r="O493" i="23" s="1"/>
  <c r="L472" i="23"/>
  <c r="O472" i="23" s="1"/>
  <c r="L445" i="23"/>
  <c r="O445" i="23" s="1"/>
  <c r="L453" i="23"/>
  <c r="O453" i="23" s="1"/>
  <c r="L461" i="23"/>
  <c r="O461" i="23" s="1"/>
  <c r="L469" i="23"/>
  <c r="O469" i="23" s="1"/>
  <c r="L478" i="23"/>
  <c r="O478" i="23" s="1"/>
  <c r="L497" i="23"/>
  <c r="O497" i="23" s="1"/>
  <c r="L483" i="23"/>
  <c r="O483" i="23" s="1"/>
  <c r="L482" i="23"/>
  <c r="O482" i="23" s="1"/>
  <c r="L490" i="23"/>
  <c r="O490" i="23" s="1"/>
  <c r="L498" i="23"/>
  <c r="O498" i="23" s="1"/>
  <c r="L506" i="23"/>
  <c r="O506" i="23" s="1"/>
  <c r="L514" i="23"/>
  <c r="O514" i="23" s="1"/>
  <c r="L522" i="23"/>
  <c r="O522" i="23" s="1"/>
  <c r="L530" i="23"/>
  <c r="O530" i="23" s="1"/>
  <c r="L501" i="23"/>
  <c r="O501" i="23" s="1"/>
  <c r="L509" i="23"/>
  <c r="O509" i="23" s="1"/>
  <c r="L517" i="23"/>
  <c r="O517" i="23" s="1"/>
  <c r="L525" i="23"/>
  <c r="O525" i="23" s="1"/>
  <c r="L533" i="23"/>
  <c r="O533" i="23" s="1"/>
  <c r="O621" i="23"/>
  <c r="AG121" i="16"/>
  <c r="AG220" i="16"/>
  <c r="AG112" i="16"/>
  <c r="AG211" i="16"/>
  <c r="AG122" i="16"/>
  <c r="AG229" i="16"/>
  <c r="AG231" i="16"/>
  <c r="AG129" i="16"/>
  <c r="O322" i="23"/>
  <c r="O541" i="23"/>
  <c r="K7" i="28"/>
  <c r="M7" i="28" s="1"/>
  <c r="M13" i="28" s="1"/>
  <c r="AG212" i="16"/>
  <c r="AG588" i="16"/>
  <c r="AG619" i="16"/>
  <c r="AG610" i="16"/>
  <c r="O399" i="23"/>
  <c r="AG579" i="16"/>
  <c r="AG597" i="16"/>
  <c r="AG221" i="16"/>
  <c r="AG598" i="16"/>
  <c r="AG617" i="16"/>
  <c r="AG120" i="16"/>
  <c r="AG116" i="16"/>
  <c r="AG553" i="16"/>
  <c r="O418" i="23"/>
  <c r="O401" i="23"/>
  <c r="AC10" i="23"/>
  <c r="O626" i="23"/>
  <c r="AP4" i="16"/>
  <c r="AQ4" i="16" s="1"/>
  <c r="O323" i="23"/>
  <c r="AG283" i="16"/>
  <c r="AG595" i="16"/>
  <c r="AG569" i="16"/>
  <c r="AG209" i="16"/>
  <c r="AG571" i="16"/>
  <c r="AG608" i="16"/>
  <c r="L321" i="23"/>
  <c r="O321" i="23" s="1"/>
  <c r="L326" i="23"/>
  <c r="O326" i="23" s="1"/>
  <c r="L328" i="23"/>
  <c r="O328" i="23" s="1"/>
  <c r="O390" i="23"/>
  <c r="O402" i="23"/>
  <c r="O425" i="23"/>
  <c r="O624" i="23"/>
  <c r="AG11" i="16"/>
  <c r="AG613" i="16"/>
  <c r="AG614" i="16"/>
  <c r="AG576" i="16"/>
  <c r="AG6" i="16"/>
  <c r="L325" i="23"/>
  <c r="O325" i="23" s="1"/>
  <c r="L330" i="23"/>
  <c r="O330" i="23" s="1"/>
  <c r="L319" i="23"/>
  <c r="O319" i="23" s="1"/>
  <c r="O484" i="23"/>
  <c r="O419" i="23"/>
  <c r="AG549" i="16"/>
  <c r="AG591" i="16"/>
  <c r="AG550" i="16"/>
  <c r="AG600" i="16"/>
  <c r="AG13" i="16"/>
  <c r="AG285" i="16"/>
  <c r="AG132" i="16"/>
  <c r="AG574" i="16"/>
  <c r="AG288" i="16"/>
  <c r="AG291" i="16"/>
  <c r="AG290" i="16"/>
  <c r="AG118" i="16"/>
  <c r="AG224" i="16"/>
  <c r="L329" i="23"/>
  <c r="O329" i="23" s="1"/>
  <c r="L320" i="23"/>
  <c r="O320" i="23" s="1"/>
  <c r="M9" i="28"/>
  <c r="K15" i="28"/>
  <c r="K14" i="28"/>
  <c r="O439" i="23"/>
  <c r="O355" i="23"/>
  <c r="Y46" i="12"/>
  <c r="AB5" i="12"/>
  <c r="Y46" i="13"/>
  <c r="AB5" i="13"/>
  <c r="T11" i="23" l="1"/>
  <c r="AP6" i="16"/>
  <c r="AQ6" i="16" s="1"/>
  <c r="I11" i="27"/>
  <c r="I7" i="27"/>
  <c r="I13" i="27" s="1"/>
  <c r="I9" i="27"/>
  <c r="N14" i="27"/>
  <c r="N15" i="27"/>
  <c r="AC9" i="23"/>
  <c r="T9" i="23"/>
  <c r="AC12" i="23"/>
  <c r="AH12" i="23" s="1"/>
  <c r="AP3" i="16"/>
  <c r="AQ3" i="16" s="1"/>
  <c r="W11" i="23"/>
  <c r="Z11" i="23" s="1"/>
  <c r="AP5" i="16"/>
  <c r="AQ5" i="16" s="1"/>
  <c r="T10" i="23"/>
  <c r="K13" i="28"/>
  <c r="W10" i="23"/>
  <c r="AC11" i="23"/>
  <c r="AB46" i="12"/>
  <c r="L12" i="23"/>
  <c r="O12" i="23" s="1"/>
  <c r="L5" i="23"/>
  <c r="O5" i="23" s="1"/>
  <c r="L21" i="23"/>
  <c r="L14" i="23"/>
  <c r="L3" i="23"/>
  <c r="O3" i="23" s="1"/>
  <c r="L19" i="23"/>
  <c r="L16" i="23"/>
  <c r="L9" i="23"/>
  <c r="O9" i="23" s="1"/>
  <c r="L25" i="23"/>
  <c r="L18" i="23"/>
  <c r="L7" i="23"/>
  <c r="O7" i="23" s="1"/>
  <c r="L23" i="23"/>
  <c r="L4" i="23"/>
  <c r="O4" i="23" s="1"/>
  <c r="L20" i="23"/>
  <c r="L13" i="23"/>
  <c r="O13" i="23" s="1"/>
  <c r="L6" i="23"/>
  <c r="L22" i="23"/>
  <c r="L11" i="23"/>
  <c r="O11" i="23" s="1"/>
  <c r="L8" i="23"/>
  <c r="O8" i="23" s="1"/>
  <c r="L24" i="23"/>
  <c r="L17" i="23"/>
  <c r="L10" i="23"/>
  <c r="O10" i="23" s="1"/>
  <c r="L2" i="23"/>
  <c r="O2" i="23" s="1"/>
  <c r="L15" i="23"/>
  <c r="W9" i="23"/>
  <c r="M15" i="28"/>
  <c r="M14" i="28"/>
  <c r="G10" i="24"/>
  <c r="G5" i="24"/>
  <c r="AA353" i="16"/>
  <c r="AG353" i="16" s="1"/>
  <c r="AA349" i="16"/>
  <c r="AG349" i="16" s="1"/>
  <c r="AA345" i="16"/>
  <c r="AG345" i="16" s="1"/>
  <c r="AA144" i="17"/>
  <c r="AA140" i="17"/>
  <c r="AA136" i="17"/>
  <c r="AA16" i="17"/>
  <c r="AA16" i="16"/>
  <c r="AA15" i="17"/>
  <c r="AA15" i="16"/>
  <c r="AA14" i="17"/>
  <c r="AA14" i="16"/>
  <c r="AA354" i="16"/>
  <c r="AG354" i="16" s="1"/>
  <c r="AA350" i="16"/>
  <c r="AG350" i="16" s="1"/>
  <c r="AA346" i="16"/>
  <c r="AG346" i="16" s="1"/>
  <c r="AA143" i="17"/>
  <c r="AA139" i="17"/>
  <c r="AA135" i="17"/>
  <c r="AA351" i="16"/>
  <c r="AG351" i="16" s="1"/>
  <c r="AA347" i="16"/>
  <c r="AG347" i="16" s="1"/>
  <c r="AA343" i="16"/>
  <c r="AG343" i="16" s="1"/>
  <c r="AA142" i="17"/>
  <c r="AA138" i="17"/>
  <c r="AA134" i="17"/>
  <c r="AA352" i="16"/>
  <c r="AG352" i="16" s="1"/>
  <c r="AA348" i="16"/>
  <c r="AG348" i="16" s="1"/>
  <c r="AA344" i="16"/>
  <c r="AG344" i="16" s="1"/>
  <c r="AA145" i="17"/>
  <c r="AA141" i="17"/>
  <c r="AA137" i="17"/>
  <c r="AA25" i="17"/>
  <c r="AA25" i="16"/>
  <c r="AA24" i="17"/>
  <c r="AA24" i="16"/>
  <c r="AA23" i="17"/>
  <c r="AA23" i="16"/>
  <c r="AA22" i="17"/>
  <c r="AA22" i="16"/>
  <c r="AA21" i="17"/>
  <c r="AA21" i="16"/>
  <c r="AA20" i="17"/>
  <c r="AA20" i="16"/>
  <c r="AA19" i="17"/>
  <c r="AA19" i="16"/>
  <c r="AA18" i="17"/>
  <c r="AA18" i="16"/>
  <c r="AA17" i="17"/>
  <c r="AA17" i="16"/>
  <c r="AB46" i="13"/>
  <c r="AA317" i="16"/>
  <c r="L317" i="23" s="1"/>
  <c r="O317" i="23" s="1"/>
  <c r="AA313" i="16"/>
  <c r="L313" i="23" s="1"/>
  <c r="O313" i="23" s="1"/>
  <c r="AA309" i="16"/>
  <c r="L309" i="23" s="1"/>
  <c r="O309" i="23" s="1"/>
  <c r="AA281" i="16"/>
  <c r="L281" i="23" s="1"/>
  <c r="O281" i="23" s="1"/>
  <c r="AA277" i="16"/>
  <c r="L277" i="23" s="1"/>
  <c r="O277" i="23" s="1"/>
  <c r="AA273" i="16"/>
  <c r="L273" i="23" s="1"/>
  <c r="O273" i="23" s="1"/>
  <c r="AA269" i="16"/>
  <c r="L269" i="23" s="1"/>
  <c r="O269" i="23" s="1"/>
  <c r="AA265" i="16"/>
  <c r="L265" i="23" s="1"/>
  <c r="O265" i="23" s="1"/>
  <c r="AA261" i="16"/>
  <c r="L261" i="23" s="1"/>
  <c r="O261" i="23" s="1"/>
  <c r="AA177" i="16"/>
  <c r="L177" i="23" s="1"/>
  <c r="O177" i="23" s="1"/>
  <c r="AA173" i="16"/>
  <c r="L173" i="23" s="1"/>
  <c r="O173" i="23" s="1"/>
  <c r="AA169" i="16"/>
  <c r="L169" i="23" s="1"/>
  <c r="O169" i="23" s="1"/>
  <c r="AA165" i="16"/>
  <c r="L165" i="23" s="1"/>
  <c r="O165" i="23" s="1"/>
  <c r="AA161" i="16"/>
  <c r="L161" i="23" s="1"/>
  <c r="O161" i="23" s="1"/>
  <c r="AA157" i="16"/>
  <c r="L157" i="23" s="1"/>
  <c r="O157" i="23" s="1"/>
  <c r="AA316" i="16"/>
  <c r="L316" i="23" s="1"/>
  <c r="O316" i="23" s="1"/>
  <c r="AA312" i="16"/>
  <c r="L312" i="23" s="1"/>
  <c r="O312" i="23" s="1"/>
  <c r="AA308" i="16"/>
  <c r="L308" i="23" s="1"/>
  <c r="O308" i="23" s="1"/>
  <c r="AA280" i="16"/>
  <c r="L280" i="23" s="1"/>
  <c r="O280" i="23" s="1"/>
  <c r="AA276" i="16"/>
  <c r="L276" i="23" s="1"/>
  <c r="O276" i="23" s="1"/>
  <c r="AA272" i="16"/>
  <c r="L272" i="23" s="1"/>
  <c r="O272" i="23" s="1"/>
  <c r="AA268" i="16"/>
  <c r="L268" i="23" s="1"/>
  <c r="O268" i="23" s="1"/>
  <c r="AA264" i="16"/>
  <c r="L264" i="23" s="1"/>
  <c r="O264" i="23" s="1"/>
  <c r="AA260" i="16"/>
  <c r="L260" i="23" s="1"/>
  <c r="O260" i="23" s="1"/>
  <c r="AA176" i="16"/>
  <c r="L176" i="23" s="1"/>
  <c r="O176" i="23" s="1"/>
  <c r="AA172" i="16"/>
  <c r="L172" i="23" s="1"/>
  <c r="O172" i="23" s="1"/>
  <c r="AA168" i="16"/>
  <c r="L168" i="23" s="1"/>
  <c r="O168" i="23" s="1"/>
  <c r="AA164" i="16"/>
  <c r="L164" i="23" s="1"/>
  <c r="O164" i="23" s="1"/>
  <c r="AA160" i="16"/>
  <c r="L160" i="23" s="1"/>
  <c r="O160" i="23" s="1"/>
  <c r="AA156" i="16"/>
  <c r="L156" i="23" s="1"/>
  <c r="O156" i="23" s="1"/>
  <c r="AA315" i="16"/>
  <c r="L315" i="23" s="1"/>
  <c r="O315" i="23" s="1"/>
  <c r="AA311" i="16"/>
  <c r="L311" i="23" s="1"/>
  <c r="O311" i="23" s="1"/>
  <c r="AA307" i="16"/>
  <c r="L307" i="23" s="1"/>
  <c r="O307" i="23" s="1"/>
  <c r="AA279" i="16"/>
  <c r="L279" i="23" s="1"/>
  <c r="O279" i="23" s="1"/>
  <c r="AA275" i="16"/>
  <c r="L275" i="23" s="1"/>
  <c r="O275" i="23" s="1"/>
  <c r="AA271" i="16"/>
  <c r="L271" i="23" s="1"/>
  <c r="O271" i="23" s="1"/>
  <c r="AA267" i="16"/>
  <c r="L267" i="23" s="1"/>
  <c r="O267" i="23" s="1"/>
  <c r="AA263" i="16"/>
  <c r="L263" i="23" s="1"/>
  <c r="O263" i="23" s="1"/>
  <c r="AA259" i="16"/>
  <c r="L259" i="23" s="1"/>
  <c r="O259" i="23" s="1"/>
  <c r="AA175" i="16"/>
  <c r="L175" i="23" s="1"/>
  <c r="O175" i="23" s="1"/>
  <c r="AA171" i="16"/>
  <c r="L171" i="23" s="1"/>
  <c r="O171" i="23" s="1"/>
  <c r="AA167" i="16"/>
  <c r="L167" i="23" s="1"/>
  <c r="O167" i="23" s="1"/>
  <c r="AA163" i="16"/>
  <c r="L163" i="23" s="1"/>
  <c r="O163" i="23" s="1"/>
  <c r="AA159" i="16"/>
  <c r="L159" i="23" s="1"/>
  <c r="O159" i="23" s="1"/>
  <c r="AA278" i="16"/>
  <c r="L278" i="23" s="1"/>
  <c r="O278" i="23" s="1"/>
  <c r="AA262" i="16"/>
  <c r="L262" i="23" s="1"/>
  <c r="O262" i="23" s="1"/>
  <c r="AA174" i="16"/>
  <c r="L174" i="23" s="1"/>
  <c r="O174" i="23" s="1"/>
  <c r="AA158" i="16"/>
  <c r="L158" i="23" s="1"/>
  <c r="O158" i="23" s="1"/>
  <c r="AA282" i="16"/>
  <c r="L282" i="23" s="1"/>
  <c r="O282" i="23" s="1"/>
  <c r="AA178" i="16"/>
  <c r="L178" i="23" s="1"/>
  <c r="O178" i="23" s="1"/>
  <c r="AA318" i="16"/>
  <c r="AA274" i="16"/>
  <c r="L274" i="23" s="1"/>
  <c r="O274" i="23" s="1"/>
  <c r="AA170" i="16"/>
  <c r="L170" i="23" s="1"/>
  <c r="O170" i="23" s="1"/>
  <c r="AA310" i="16"/>
  <c r="L310" i="23" s="1"/>
  <c r="O310" i="23" s="1"/>
  <c r="AA314" i="16"/>
  <c r="L314" i="23" s="1"/>
  <c r="O314" i="23" s="1"/>
  <c r="AA270" i="16"/>
  <c r="L270" i="23" s="1"/>
  <c r="O270" i="23" s="1"/>
  <c r="AA166" i="16"/>
  <c r="L166" i="23" s="1"/>
  <c r="O166" i="23" s="1"/>
  <c r="AA266" i="16"/>
  <c r="L266" i="23" s="1"/>
  <c r="O266" i="23" s="1"/>
  <c r="AA162" i="16"/>
  <c r="L162" i="23" s="1"/>
  <c r="O162" i="23" s="1"/>
  <c r="Z9" i="23" l="1"/>
  <c r="I15" i="27"/>
  <c r="I14" i="27"/>
  <c r="AH11" i="23"/>
  <c r="AH9" i="23"/>
  <c r="O24" i="23"/>
  <c r="O15" i="23"/>
  <c r="Z10" i="23"/>
  <c r="AH10" i="23" s="1"/>
  <c r="O17" i="23"/>
  <c r="O25" i="23"/>
  <c r="AP8" i="16"/>
  <c r="AQ8" i="16" s="1"/>
  <c r="AG15" i="16"/>
  <c r="O23" i="23"/>
  <c r="O14" i="23"/>
  <c r="O19" i="23"/>
  <c r="O21" i="23"/>
  <c r="O16" i="23"/>
  <c r="O18" i="23"/>
  <c r="O20" i="23"/>
  <c r="O22" i="23"/>
  <c r="O6" i="23"/>
  <c r="L351" i="23"/>
  <c r="O351" i="23" s="1"/>
  <c r="L347" i="23"/>
  <c r="O347" i="23" s="1"/>
  <c r="L343" i="23"/>
  <c r="O343" i="23" s="1"/>
  <c r="L352" i="23"/>
  <c r="O352" i="23" s="1"/>
  <c r="L348" i="23"/>
  <c r="O348" i="23" s="1"/>
  <c r="L344" i="23"/>
  <c r="O344" i="23" s="1"/>
  <c r="L353" i="23"/>
  <c r="O353" i="23" s="1"/>
  <c r="L349" i="23"/>
  <c r="O349" i="23" s="1"/>
  <c r="L345" i="23"/>
  <c r="O345" i="23" s="1"/>
  <c r="L354" i="23"/>
  <c r="O354" i="23" s="1"/>
  <c r="L350" i="23"/>
  <c r="O350" i="23" s="1"/>
  <c r="L346" i="23"/>
  <c r="O346" i="23" s="1"/>
  <c r="L318" i="23"/>
  <c r="O318" i="23" s="1"/>
  <c r="AG23" i="16"/>
  <c r="AG176" i="16"/>
  <c r="AG312" i="16"/>
  <c r="AG161" i="16"/>
  <c r="AG273" i="16"/>
  <c r="AG313" i="16"/>
  <c r="AG170" i="16"/>
  <c r="AG314" i="16"/>
  <c r="AG282" i="16"/>
  <c r="AG24" i="16"/>
  <c r="AG171" i="16"/>
  <c r="AG267" i="16"/>
  <c r="AG307" i="16"/>
  <c r="AG168" i="16"/>
  <c r="AG264" i="16"/>
  <c r="AG280" i="16"/>
  <c r="AG22" i="16"/>
  <c r="AG169" i="16"/>
  <c r="AG265" i="16"/>
  <c r="AG281" i="16"/>
  <c r="AG17" i="16"/>
  <c r="AG19" i="16"/>
  <c r="AG21" i="16"/>
  <c r="AG25" i="16"/>
  <c r="AG14" i="16"/>
  <c r="AG16" i="16"/>
  <c r="AG166" i="16"/>
  <c r="AG158" i="16"/>
  <c r="AG259" i="16"/>
  <c r="AG275" i="16"/>
  <c r="AG160" i="16"/>
  <c r="AG272" i="16"/>
  <c r="AG177" i="16"/>
  <c r="AG270" i="16"/>
  <c r="AG178" i="16"/>
  <c r="AG162" i="16"/>
  <c r="AG274" i="16"/>
  <c r="AG262" i="16"/>
  <c r="AG266" i="16"/>
  <c r="AG310" i="16"/>
  <c r="AG318" i="16"/>
  <c r="AG278" i="16"/>
  <c r="AG159" i="16"/>
  <c r="AG175" i="16"/>
  <c r="AG271" i="16"/>
  <c r="AG311" i="16"/>
  <c r="AG156" i="16"/>
  <c r="AG172" i="16"/>
  <c r="AG268" i="16"/>
  <c r="AG308" i="16"/>
  <c r="AG157" i="16"/>
  <c r="AG173" i="16"/>
  <c r="AG269" i="16"/>
  <c r="AG309" i="16"/>
  <c r="AG163" i="16"/>
  <c r="AG315" i="16"/>
  <c r="AG174" i="16"/>
  <c r="AG20" i="16"/>
  <c r="AG167" i="16"/>
  <c r="AG263" i="16"/>
  <c r="AG279" i="16"/>
  <c r="AG164" i="16"/>
  <c r="AG260" i="16"/>
  <c r="AG276" i="16"/>
  <c r="AG316" i="16"/>
  <c r="AG18" i="16"/>
  <c r="AG165" i="16"/>
  <c r="AG261" i="16"/>
  <c r="AG277" i="16"/>
  <c r="AG317" i="16"/>
  <c r="W7" i="23" l="1"/>
  <c r="T7" i="23"/>
  <c r="AC7" i="23"/>
  <c r="AP2" i="16"/>
  <c r="AQ2" i="16" s="1"/>
  <c r="Z7" i="23" l="1"/>
  <c r="AH7" i="23" s="1"/>
  <c r="AP7" i="16"/>
  <c r="AQ7" i="16" s="1"/>
  <c r="AP9" i="16" l="1"/>
  <c r="AQ9" i="16" s="1"/>
  <c r="J2" i="23"/>
  <c r="K2" i="23"/>
  <c r="M2" i="23"/>
  <c r="N2" i="23"/>
  <c r="J3" i="23"/>
  <c r="K3" i="23"/>
  <c r="M3" i="23"/>
  <c r="N3" i="23"/>
  <c r="J4" i="23"/>
  <c r="K4" i="23"/>
  <c r="M4" i="23"/>
  <c r="N4" i="23"/>
  <c r="J5" i="23"/>
  <c r="K5" i="23"/>
  <c r="M5" i="23"/>
  <c r="N5" i="23"/>
  <c r="J6" i="23"/>
  <c r="K6" i="23"/>
  <c r="M6" i="23"/>
  <c r="N6" i="23"/>
  <c r="J7" i="23"/>
  <c r="K7" i="23"/>
  <c r="M7" i="23"/>
  <c r="N7" i="23"/>
  <c r="R7" i="23"/>
  <c r="S7" i="23"/>
  <c r="U7" i="23"/>
  <c r="V7" i="23"/>
  <c r="X7" i="23"/>
  <c r="Y7" i="23"/>
  <c r="AA7" i="23"/>
  <c r="AB7" i="23"/>
  <c r="AD7" i="23"/>
  <c r="AE7" i="23"/>
  <c r="AF7" i="23"/>
  <c r="AG7" i="23"/>
  <c r="AI7" i="23"/>
  <c r="AJ7" i="23"/>
  <c r="J8" i="23"/>
  <c r="K8" i="23"/>
  <c r="M8" i="23"/>
  <c r="N8" i="23"/>
  <c r="J9" i="23"/>
  <c r="K9" i="23"/>
  <c r="M9" i="23"/>
  <c r="N9" i="23"/>
  <c r="S9" i="23"/>
  <c r="V9" i="23"/>
  <c r="Y9" i="23"/>
  <c r="AB9" i="23"/>
  <c r="AE9" i="23"/>
  <c r="AG9" i="23"/>
  <c r="AJ9" i="23"/>
  <c r="J10" i="23"/>
  <c r="K10" i="23"/>
  <c r="M10" i="23"/>
  <c r="N10" i="23"/>
  <c r="S10" i="23"/>
  <c r="V10" i="23"/>
  <c r="Y10" i="23"/>
  <c r="AB10" i="23"/>
  <c r="AE10" i="23"/>
  <c r="AG10" i="23"/>
  <c r="AJ10" i="23"/>
  <c r="J11" i="23"/>
  <c r="K11" i="23"/>
  <c r="M11" i="23"/>
  <c r="N11" i="23"/>
  <c r="S11" i="23"/>
  <c r="V11" i="23"/>
  <c r="Y11" i="23"/>
  <c r="AB11" i="23"/>
  <c r="AE11" i="23"/>
  <c r="AG11" i="23"/>
  <c r="AJ11" i="23"/>
  <c r="J12" i="23"/>
  <c r="K12" i="23"/>
  <c r="M12" i="23"/>
  <c r="N12" i="23"/>
  <c r="S12" i="23"/>
  <c r="V12" i="23"/>
  <c r="Y12" i="23"/>
  <c r="AB12" i="23"/>
  <c r="AG12" i="23"/>
  <c r="AJ12" i="23"/>
  <c r="J13" i="23"/>
  <c r="K13" i="23"/>
  <c r="M13" i="23"/>
  <c r="N13" i="23"/>
  <c r="J14" i="23"/>
  <c r="K14" i="23"/>
  <c r="M14" i="23"/>
  <c r="N14" i="23"/>
  <c r="J15" i="23"/>
  <c r="K15" i="23"/>
  <c r="M15" i="23"/>
  <c r="N15" i="23"/>
  <c r="J16" i="23"/>
  <c r="K16" i="23"/>
  <c r="M16" i="23"/>
  <c r="N16" i="23"/>
  <c r="J17" i="23"/>
  <c r="K17" i="23"/>
  <c r="M17" i="23"/>
  <c r="N17" i="23"/>
  <c r="J18" i="23"/>
  <c r="K18" i="23"/>
  <c r="M18" i="23"/>
  <c r="N18" i="23"/>
  <c r="J19" i="23"/>
  <c r="K19" i="23"/>
  <c r="M19" i="23"/>
  <c r="N19" i="23"/>
  <c r="J20" i="23"/>
  <c r="K20" i="23"/>
  <c r="M20" i="23"/>
  <c r="N20" i="23"/>
  <c r="J21" i="23"/>
  <c r="K21" i="23"/>
  <c r="M21" i="23"/>
  <c r="N21" i="23"/>
  <c r="J22" i="23"/>
  <c r="K22" i="23"/>
  <c r="M22" i="23"/>
  <c r="N22" i="23"/>
  <c r="J23" i="23"/>
  <c r="K23" i="23"/>
  <c r="M23" i="23"/>
  <c r="N23" i="23"/>
  <c r="J24" i="23"/>
  <c r="K24" i="23"/>
  <c r="M24" i="23"/>
  <c r="N24" i="23"/>
  <c r="J25" i="23"/>
  <c r="K25" i="23"/>
  <c r="M25" i="23"/>
  <c r="N25" i="23"/>
  <c r="J26" i="23"/>
  <c r="K26" i="23"/>
  <c r="M26" i="23"/>
  <c r="N26" i="23"/>
  <c r="J27" i="23"/>
  <c r="K27" i="23"/>
  <c r="M27" i="23"/>
  <c r="N27" i="23"/>
  <c r="J28" i="23"/>
  <c r="K28" i="23"/>
  <c r="M28" i="23"/>
  <c r="N28" i="23"/>
  <c r="J29" i="23"/>
  <c r="K29" i="23"/>
  <c r="M29" i="23"/>
  <c r="N29" i="23"/>
  <c r="J30" i="23"/>
  <c r="K30" i="23"/>
  <c r="M30" i="23"/>
  <c r="N30" i="23"/>
  <c r="J31" i="23"/>
  <c r="K31" i="23"/>
  <c r="M31" i="23"/>
  <c r="N31" i="23"/>
  <c r="J32" i="23"/>
  <c r="K32" i="23"/>
  <c r="M32" i="23"/>
  <c r="N32" i="23"/>
  <c r="J33" i="23"/>
  <c r="K33" i="23"/>
  <c r="M33" i="23"/>
  <c r="N33" i="23"/>
  <c r="J34" i="23"/>
  <c r="K34" i="23"/>
  <c r="M34" i="23"/>
  <c r="N34" i="23"/>
  <c r="J35" i="23"/>
  <c r="K35" i="23"/>
  <c r="M35" i="23"/>
  <c r="N35" i="23"/>
  <c r="J36" i="23"/>
  <c r="K36" i="23"/>
  <c r="M36" i="23"/>
  <c r="N36" i="23"/>
  <c r="J37" i="23"/>
  <c r="K37" i="23"/>
  <c r="M37" i="23"/>
  <c r="N37" i="23"/>
  <c r="J38" i="23"/>
  <c r="K38" i="23"/>
  <c r="M38" i="23"/>
  <c r="N38" i="23"/>
  <c r="J39" i="23"/>
  <c r="K39" i="23"/>
  <c r="M39" i="23"/>
  <c r="N39" i="23"/>
  <c r="J40" i="23"/>
  <c r="K40" i="23"/>
  <c r="M40" i="23"/>
  <c r="N40" i="23"/>
  <c r="J41" i="23"/>
  <c r="K41" i="23"/>
  <c r="M41" i="23"/>
  <c r="N41" i="23"/>
  <c r="J42" i="23"/>
  <c r="K42" i="23"/>
  <c r="M42" i="23"/>
  <c r="N42" i="23"/>
  <c r="J43" i="23"/>
  <c r="K43" i="23"/>
  <c r="M43" i="23"/>
  <c r="N43" i="23"/>
  <c r="J44" i="23"/>
  <c r="K44" i="23"/>
  <c r="M44" i="23"/>
  <c r="N44" i="23"/>
  <c r="J45" i="23"/>
  <c r="K45" i="23"/>
  <c r="M45" i="23"/>
  <c r="N45" i="23"/>
  <c r="J46" i="23"/>
  <c r="K46" i="23"/>
  <c r="M46" i="23"/>
  <c r="N46" i="23"/>
  <c r="J47" i="23"/>
  <c r="K47" i="23"/>
  <c r="M47" i="23"/>
  <c r="N47" i="23"/>
  <c r="J48" i="23"/>
  <c r="K48" i="23"/>
  <c r="M48" i="23"/>
  <c r="N48" i="23"/>
  <c r="J49" i="23"/>
  <c r="K49" i="23"/>
  <c r="M49" i="23"/>
  <c r="N49" i="23"/>
  <c r="J50" i="23"/>
  <c r="K50" i="23"/>
  <c r="M50" i="23"/>
  <c r="N50" i="23"/>
  <c r="J51" i="23"/>
  <c r="K51" i="23"/>
  <c r="M51" i="23"/>
  <c r="N51" i="23"/>
  <c r="J52" i="23"/>
  <c r="K52" i="23"/>
  <c r="M52" i="23"/>
  <c r="N52" i="23"/>
  <c r="J53" i="23"/>
  <c r="K53" i="23"/>
  <c r="M53" i="23"/>
  <c r="N53" i="23"/>
  <c r="J54" i="23"/>
  <c r="K54" i="23"/>
  <c r="M54" i="23"/>
  <c r="N54" i="23"/>
  <c r="J55" i="23"/>
  <c r="K55" i="23"/>
  <c r="M55" i="23"/>
  <c r="N55" i="23"/>
  <c r="J56" i="23"/>
  <c r="K56" i="23"/>
  <c r="M56" i="23"/>
  <c r="N56" i="23"/>
  <c r="J57" i="23"/>
  <c r="K57" i="23"/>
  <c r="M57" i="23"/>
  <c r="N57" i="23"/>
  <c r="J58" i="23"/>
  <c r="K58" i="23"/>
  <c r="M58" i="23"/>
  <c r="N58" i="23"/>
  <c r="J59" i="23"/>
  <c r="K59" i="23"/>
  <c r="M59" i="23"/>
  <c r="N59" i="23"/>
  <c r="J60" i="23"/>
  <c r="K60" i="23"/>
  <c r="M60" i="23"/>
  <c r="N60" i="23"/>
  <c r="J61" i="23"/>
  <c r="K61" i="23"/>
  <c r="M61" i="23"/>
  <c r="N61" i="23"/>
  <c r="J62" i="23"/>
  <c r="M62" i="23"/>
  <c r="J63" i="23"/>
  <c r="M63" i="23"/>
  <c r="J64" i="23"/>
  <c r="M64" i="23"/>
  <c r="J65" i="23"/>
  <c r="M65" i="23"/>
  <c r="J66" i="23"/>
  <c r="M66" i="23"/>
  <c r="J67" i="23"/>
  <c r="M67" i="23"/>
  <c r="J68" i="23"/>
  <c r="M68" i="23"/>
  <c r="J69" i="23"/>
  <c r="M69" i="23"/>
  <c r="J70" i="23"/>
  <c r="M70" i="23"/>
  <c r="J71" i="23"/>
  <c r="M71" i="23"/>
  <c r="J72" i="23"/>
  <c r="M72" i="23"/>
  <c r="J73" i="23"/>
  <c r="M73" i="23"/>
  <c r="J74" i="23"/>
  <c r="M74" i="23"/>
  <c r="J75" i="23"/>
  <c r="M75" i="23"/>
  <c r="J76" i="23"/>
  <c r="M76" i="23"/>
  <c r="J77" i="23"/>
  <c r="M77" i="23"/>
  <c r="J78" i="23"/>
  <c r="M78" i="23"/>
  <c r="J79" i="23"/>
  <c r="M79" i="23"/>
  <c r="J80" i="23"/>
  <c r="M80" i="23"/>
  <c r="J81" i="23"/>
  <c r="M81" i="23"/>
  <c r="J82" i="23"/>
  <c r="M82" i="23"/>
  <c r="J83" i="23"/>
  <c r="M83" i="23"/>
  <c r="J84" i="23"/>
  <c r="M84" i="23"/>
  <c r="J85" i="23"/>
  <c r="M85" i="23"/>
  <c r="J86" i="23"/>
  <c r="M86" i="23"/>
  <c r="J87" i="23"/>
  <c r="M87" i="23"/>
  <c r="J88" i="23"/>
  <c r="M88" i="23"/>
  <c r="J89" i="23"/>
  <c r="M89" i="23"/>
  <c r="J90" i="23"/>
  <c r="M90" i="23"/>
  <c r="J91" i="23"/>
  <c r="M91" i="23"/>
  <c r="J92" i="23"/>
  <c r="M92" i="23"/>
  <c r="J93" i="23"/>
  <c r="M93" i="23"/>
  <c r="J94" i="23"/>
  <c r="M94" i="23"/>
  <c r="J95" i="23"/>
  <c r="M95" i="23"/>
  <c r="J96" i="23"/>
  <c r="M96" i="23"/>
  <c r="J97" i="23"/>
  <c r="M97" i="23"/>
  <c r="J98" i="23"/>
  <c r="M98" i="23"/>
  <c r="J99" i="23"/>
  <c r="M99" i="23"/>
  <c r="J100" i="23"/>
  <c r="M100" i="23"/>
  <c r="J101" i="23"/>
  <c r="M101" i="23"/>
  <c r="J102" i="23"/>
  <c r="M102" i="23"/>
  <c r="J103" i="23"/>
  <c r="M103" i="23"/>
  <c r="J104" i="23"/>
  <c r="M104" i="23"/>
  <c r="J105" i="23"/>
  <c r="M105" i="23"/>
  <c r="J106" i="23"/>
  <c r="M106" i="23"/>
  <c r="J107" i="23"/>
  <c r="M107" i="23"/>
  <c r="J108" i="23"/>
  <c r="M108" i="23"/>
  <c r="J109" i="23"/>
  <c r="M109" i="23"/>
  <c r="K110" i="23"/>
  <c r="N110" i="23"/>
  <c r="K111" i="23"/>
  <c r="N111" i="23"/>
  <c r="K112" i="23"/>
  <c r="N112" i="23"/>
  <c r="K113" i="23"/>
  <c r="N113" i="23"/>
  <c r="K114" i="23"/>
  <c r="N114" i="23"/>
  <c r="K115" i="23"/>
  <c r="N115" i="23"/>
  <c r="K116" i="23"/>
  <c r="N116" i="23"/>
  <c r="K117" i="23"/>
  <c r="N117" i="23"/>
  <c r="K118" i="23"/>
  <c r="N118" i="23"/>
  <c r="K119" i="23"/>
  <c r="N119" i="23"/>
  <c r="K120" i="23"/>
  <c r="N120" i="23"/>
  <c r="K121" i="23"/>
  <c r="N121" i="23"/>
  <c r="K122" i="23"/>
  <c r="N122" i="23"/>
  <c r="K123" i="23"/>
  <c r="N123" i="23"/>
  <c r="K124" i="23"/>
  <c r="N124" i="23"/>
  <c r="K125" i="23"/>
  <c r="N125" i="23"/>
  <c r="K126" i="23"/>
  <c r="N126" i="23"/>
  <c r="K127" i="23"/>
  <c r="N127" i="23"/>
  <c r="K128" i="23"/>
  <c r="N128" i="23"/>
  <c r="K129" i="23"/>
  <c r="N129" i="23"/>
  <c r="K130" i="23"/>
  <c r="N130" i="23"/>
  <c r="K131" i="23"/>
  <c r="N131" i="23"/>
  <c r="K132" i="23"/>
  <c r="N132" i="23"/>
  <c r="J133" i="23"/>
  <c r="M133" i="23"/>
  <c r="J134" i="23"/>
  <c r="M134" i="23"/>
  <c r="J135" i="23"/>
  <c r="M135" i="23"/>
  <c r="J136" i="23"/>
  <c r="M136" i="23"/>
  <c r="J137" i="23"/>
  <c r="M137" i="23"/>
  <c r="J138" i="23"/>
  <c r="M138" i="23"/>
  <c r="J139" i="23"/>
  <c r="M139" i="23"/>
  <c r="J140" i="23"/>
  <c r="M140" i="23"/>
  <c r="J141" i="23"/>
  <c r="M141" i="23"/>
  <c r="J142" i="23"/>
  <c r="M142" i="23"/>
  <c r="J143" i="23"/>
  <c r="M143" i="23"/>
  <c r="J144" i="23"/>
  <c r="M144" i="23"/>
  <c r="J145" i="23"/>
  <c r="M145" i="23"/>
  <c r="J146" i="23"/>
  <c r="M146" i="23"/>
  <c r="J147" i="23"/>
  <c r="M147" i="23"/>
  <c r="J148" i="23"/>
  <c r="M148" i="23"/>
  <c r="J149" i="23"/>
  <c r="M149" i="23"/>
  <c r="J150" i="23"/>
  <c r="M150" i="23"/>
  <c r="J151" i="23"/>
  <c r="M151" i="23"/>
  <c r="J152" i="23"/>
  <c r="M152" i="23"/>
  <c r="J153" i="23"/>
  <c r="M153" i="23"/>
  <c r="J154" i="23"/>
  <c r="M154" i="23"/>
  <c r="J155" i="23"/>
  <c r="M155" i="23"/>
  <c r="K156" i="23"/>
  <c r="N156" i="23"/>
  <c r="K157" i="23"/>
  <c r="N157" i="23"/>
  <c r="K158" i="23"/>
  <c r="N158" i="23"/>
  <c r="K159" i="23"/>
  <c r="N159" i="23"/>
  <c r="K160" i="23"/>
  <c r="N160" i="23"/>
  <c r="K161" i="23"/>
  <c r="N161" i="23"/>
  <c r="K162" i="23"/>
  <c r="N162" i="23"/>
  <c r="K163" i="23"/>
  <c r="N163" i="23"/>
  <c r="K164" i="23"/>
  <c r="N164" i="23"/>
  <c r="K165" i="23"/>
  <c r="N165" i="23"/>
  <c r="K166" i="23"/>
  <c r="N166" i="23"/>
  <c r="K167" i="23"/>
  <c r="N167" i="23"/>
  <c r="K168" i="23"/>
  <c r="N168" i="23"/>
  <c r="K169" i="23"/>
  <c r="N169" i="23"/>
  <c r="K170" i="23"/>
  <c r="N170" i="23"/>
  <c r="K171" i="23"/>
  <c r="N171" i="23"/>
  <c r="K172" i="23"/>
  <c r="N172" i="23"/>
  <c r="K173" i="23"/>
  <c r="N173" i="23"/>
  <c r="K174" i="23"/>
  <c r="N174" i="23"/>
  <c r="K175" i="23"/>
  <c r="N175" i="23"/>
  <c r="K176" i="23"/>
  <c r="N176" i="23"/>
  <c r="K177" i="23"/>
  <c r="N177" i="23"/>
  <c r="K178" i="23"/>
  <c r="N178" i="23"/>
  <c r="K179" i="23"/>
  <c r="N179" i="23"/>
  <c r="K180" i="23"/>
  <c r="N180" i="23"/>
  <c r="K181" i="23"/>
  <c r="N181" i="23"/>
  <c r="K182" i="23"/>
  <c r="N182" i="23"/>
  <c r="K183" i="23"/>
  <c r="N183" i="23"/>
  <c r="K184" i="23"/>
  <c r="N184" i="23"/>
  <c r="K185" i="23"/>
  <c r="N185" i="23"/>
  <c r="K186" i="23"/>
  <c r="N186" i="23"/>
  <c r="K187" i="23"/>
  <c r="N187" i="23"/>
  <c r="K188" i="23"/>
  <c r="N188" i="23"/>
  <c r="K189" i="23"/>
  <c r="N189" i="23"/>
  <c r="K190" i="23"/>
  <c r="N190" i="23"/>
  <c r="J191" i="23"/>
  <c r="M191" i="23"/>
  <c r="J192" i="23"/>
  <c r="M192" i="23"/>
  <c r="J193" i="23"/>
  <c r="M193" i="23"/>
  <c r="J194" i="23"/>
  <c r="M194" i="23"/>
  <c r="J195" i="23"/>
  <c r="M195" i="23"/>
  <c r="J196" i="23"/>
  <c r="M196" i="23"/>
  <c r="J197" i="23"/>
  <c r="M197" i="23"/>
  <c r="J198" i="23"/>
  <c r="M198" i="23"/>
  <c r="J199" i="23"/>
  <c r="M199" i="23"/>
  <c r="J200" i="23"/>
  <c r="M200" i="23"/>
  <c r="J201" i="23"/>
  <c r="M201" i="23"/>
  <c r="J202" i="23"/>
  <c r="M202" i="23"/>
  <c r="K203" i="23"/>
  <c r="N203" i="23"/>
  <c r="K204" i="23"/>
  <c r="N204" i="23"/>
  <c r="K205" i="23"/>
  <c r="N205" i="23"/>
  <c r="K206" i="23"/>
  <c r="N206" i="23"/>
  <c r="K207" i="23"/>
  <c r="N207" i="23"/>
  <c r="K208" i="23"/>
  <c r="N208" i="23"/>
  <c r="K209" i="23"/>
  <c r="N209" i="23"/>
  <c r="K210" i="23"/>
  <c r="N210" i="23"/>
  <c r="K211" i="23"/>
  <c r="N211" i="23"/>
  <c r="K212" i="23"/>
  <c r="N212" i="23"/>
  <c r="K213" i="23"/>
  <c r="N213" i="23"/>
  <c r="K214" i="23"/>
  <c r="N214" i="23"/>
  <c r="K215" i="23"/>
  <c r="N215" i="23"/>
  <c r="K216" i="23"/>
  <c r="N216" i="23"/>
  <c r="K217" i="23"/>
  <c r="N217" i="23"/>
  <c r="K218" i="23"/>
  <c r="N218" i="23"/>
  <c r="K219" i="23"/>
  <c r="N219" i="23"/>
  <c r="K220" i="23"/>
  <c r="N220" i="23"/>
  <c r="K221" i="23"/>
  <c r="N221" i="23"/>
  <c r="K222" i="23"/>
  <c r="N222" i="23"/>
  <c r="K223" i="23"/>
  <c r="N223" i="23"/>
  <c r="K224" i="23"/>
  <c r="N224" i="23"/>
  <c r="K225" i="23"/>
  <c r="N225" i="23"/>
  <c r="K226" i="23"/>
  <c r="N226" i="23"/>
  <c r="K227" i="23"/>
  <c r="N227" i="23"/>
  <c r="K228" i="23"/>
  <c r="N228" i="23"/>
  <c r="K229" i="23"/>
  <c r="N229" i="23"/>
  <c r="K230" i="23"/>
  <c r="N230" i="23"/>
  <c r="K231" i="23"/>
  <c r="N231" i="23"/>
  <c r="K232" i="23"/>
  <c r="N232" i="23"/>
  <c r="J233" i="23"/>
  <c r="M233" i="23"/>
  <c r="J234" i="23"/>
  <c r="M234" i="23"/>
  <c r="J235" i="23"/>
  <c r="M235" i="23"/>
  <c r="J236" i="23"/>
  <c r="M236" i="23"/>
  <c r="J237" i="23"/>
  <c r="M237" i="23"/>
  <c r="J238" i="23"/>
  <c r="M238" i="23"/>
  <c r="J239" i="23"/>
  <c r="M239" i="23"/>
  <c r="J240" i="23"/>
  <c r="M240" i="23"/>
  <c r="J241" i="23"/>
  <c r="M241" i="23"/>
  <c r="J242" i="23"/>
  <c r="M242" i="23"/>
  <c r="J243" i="23"/>
  <c r="M243" i="23"/>
  <c r="J244" i="23"/>
  <c r="M244" i="23"/>
  <c r="J245" i="23"/>
  <c r="M245" i="23"/>
  <c r="J246" i="23"/>
  <c r="M246" i="23"/>
  <c r="J247" i="23"/>
  <c r="M247" i="23"/>
  <c r="J248" i="23"/>
  <c r="M248" i="23"/>
  <c r="J249" i="23"/>
  <c r="M249" i="23"/>
  <c r="J250" i="23"/>
  <c r="M250" i="23"/>
  <c r="J251" i="23"/>
  <c r="M251" i="23"/>
  <c r="J252" i="23"/>
  <c r="M252" i="23"/>
  <c r="J253" i="23"/>
  <c r="M253" i="23"/>
  <c r="J254" i="23"/>
  <c r="M254" i="23"/>
  <c r="J255" i="23"/>
  <c r="M255" i="23"/>
  <c r="J256" i="23"/>
  <c r="M256" i="23"/>
  <c r="J257" i="23"/>
  <c r="M257" i="23"/>
  <c r="J258" i="23"/>
  <c r="M258" i="23"/>
  <c r="K259" i="23"/>
  <c r="N259" i="23"/>
  <c r="K260" i="23"/>
  <c r="N260" i="23"/>
  <c r="K261" i="23"/>
  <c r="N261" i="23"/>
  <c r="K262" i="23"/>
  <c r="N262" i="23"/>
  <c r="K263" i="23"/>
  <c r="N263" i="23"/>
  <c r="K264" i="23"/>
  <c r="N264" i="23"/>
  <c r="K265" i="23"/>
  <c r="N265" i="23"/>
  <c r="K266" i="23"/>
  <c r="N266" i="23"/>
  <c r="K267" i="23"/>
  <c r="N267" i="23"/>
  <c r="K268" i="23"/>
  <c r="N268" i="23"/>
  <c r="K269" i="23"/>
  <c r="N269" i="23"/>
  <c r="K270" i="23"/>
  <c r="N270" i="23"/>
  <c r="K271" i="23"/>
  <c r="N271" i="23"/>
  <c r="K272" i="23"/>
  <c r="N272" i="23"/>
  <c r="K273" i="23"/>
  <c r="N273" i="23"/>
  <c r="K274" i="23"/>
  <c r="N274" i="23"/>
  <c r="K275" i="23"/>
  <c r="N275" i="23"/>
  <c r="K276" i="23"/>
  <c r="N276" i="23"/>
  <c r="K277" i="23"/>
  <c r="N277" i="23"/>
  <c r="K278" i="23"/>
  <c r="N278" i="23"/>
  <c r="K279" i="23"/>
  <c r="N279" i="23"/>
  <c r="K280" i="23"/>
  <c r="N280" i="23"/>
  <c r="K281" i="23"/>
  <c r="N281" i="23"/>
  <c r="K282" i="23"/>
  <c r="N282" i="23"/>
  <c r="K283" i="23"/>
  <c r="N283" i="23"/>
  <c r="K284" i="23"/>
  <c r="N284" i="23"/>
  <c r="K285" i="23"/>
  <c r="N285" i="23"/>
  <c r="K286" i="23"/>
  <c r="N286" i="23"/>
  <c r="K287" i="23"/>
  <c r="N287" i="23"/>
  <c r="K288" i="23"/>
  <c r="N288" i="23"/>
  <c r="K289" i="23"/>
  <c r="N289" i="23"/>
  <c r="K290" i="23"/>
  <c r="N290" i="23"/>
  <c r="K291" i="23"/>
  <c r="N291" i="23"/>
  <c r="K292" i="23"/>
  <c r="N292" i="23"/>
  <c r="K293" i="23"/>
  <c r="N293" i="23"/>
  <c r="K294" i="23"/>
  <c r="N294" i="23"/>
  <c r="J295" i="23"/>
  <c r="M295" i="23"/>
  <c r="J296" i="23"/>
  <c r="M296" i="23"/>
  <c r="J297" i="23"/>
  <c r="M297" i="23"/>
  <c r="J298" i="23"/>
  <c r="M298" i="23"/>
  <c r="J299" i="23"/>
  <c r="M299" i="23"/>
  <c r="J300" i="23"/>
  <c r="M300" i="23"/>
  <c r="J301" i="23"/>
  <c r="M301" i="23"/>
  <c r="J302" i="23"/>
  <c r="M302" i="23"/>
  <c r="J303" i="23"/>
  <c r="M303" i="23"/>
  <c r="J304" i="23"/>
  <c r="M304" i="23"/>
  <c r="J305" i="23"/>
  <c r="M305" i="23"/>
  <c r="J306" i="23"/>
  <c r="M306" i="23"/>
  <c r="K307" i="23"/>
  <c r="N307" i="23"/>
  <c r="K308" i="23"/>
  <c r="N308" i="23"/>
  <c r="K309" i="23"/>
  <c r="N309" i="23"/>
  <c r="K310" i="23"/>
  <c r="N310" i="23"/>
  <c r="K311" i="23"/>
  <c r="N311" i="23"/>
  <c r="K312" i="23"/>
  <c r="N312" i="23"/>
  <c r="K313" i="23"/>
  <c r="N313" i="23"/>
  <c r="K314" i="23"/>
  <c r="N314" i="23"/>
  <c r="K315" i="23"/>
  <c r="N315" i="23"/>
  <c r="K316" i="23"/>
  <c r="N316" i="23"/>
  <c r="K317" i="23"/>
  <c r="N317" i="23"/>
  <c r="K318" i="23"/>
  <c r="N318" i="23"/>
  <c r="K319" i="23"/>
  <c r="N319" i="23"/>
  <c r="K320" i="23"/>
  <c r="N320" i="23"/>
  <c r="K321" i="23"/>
  <c r="N321" i="23"/>
  <c r="K322" i="23"/>
  <c r="N322" i="23"/>
  <c r="K323" i="23"/>
  <c r="N323" i="23"/>
  <c r="K324" i="23"/>
  <c r="N324" i="23"/>
  <c r="K325" i="23"/>
  <c r="N325" i="23"/>
  <c r="K326" i="23"/>
  <c r="N326" i="23"/>
  <c r="K327" i="23"/>
  <c r="N327" i="23"/>
  <c r="K328" i="23"/>
  <c r="N328" i="23"/>
  <c r="K329" i="23"/>
  <c r="N329" i="23"/>
  <c r="K330" i="23"/>
  <c r="N330" i="23"/>
  <c r="J331" i="23"/>
  <c r="M331" i="23"/>
  <c r="J332" i="23"/>
  <c r="M332" i="23"/>
  <c r="J333" i="23"/>
  <c r="M333" i="23"/>
  <c r="J334" i="23"/>
  <c r="M334" i="23"/>
  <c r="J335" i="23"/>
  <c r="M335" i="23"/>
  <c r="J336" i="23"/>
  <c r="M336" i="23"/>
  <c r="J337" i="23"/>
  <c r="M337" i="23"/>
  <c r="J338" i="23"/>
  <c r="M338" i="23"/>
  <c r="J339" i="23"/>
  <c r="M339" i="23"/>
  <c r="J340" i="23"/>
  <c r="M340" i="23"/>
  <c r="J341" i="23"/>
  <c r="M341" i="23"/>
  <c r="J342" i="23"/>
  <c r="M342" i="23"/>
  <c r="K343" i="23"/>
  <c r="N343" i="23"/>
  <c r="K344" i="23"/>
  <c r="N344" i="23"/>
  <c r="K345" i="23"/>
  <c r="N345" i="23"/>
  <c r="K346" i="23"/>
  <c r="N346" i="23"/>
  <c r="K347" i="23"/>
  <c r="N347" i="23"/>
  <c r="K348" i="23"/>
  <c r="N348" i="23"/>
  <c r="K349" i="23"/>
  <c r="N349" i="23"/>
  <c r="K350" i="23"/>
  <c r="N350" i="23"/>
  <c r="K351" i="23"/>
  <c r="N351" i="23"/>
  <c r="K352" i="23"/>
  <c r="N352" i="23"/>
  <c r="K353" i="23"/>
  <c r="N353" i="23"/>
  <c r="K354" i="23"/>
  <c r="N354" i="23"/>
  <c r="K355" i="23"/>
  <c r="N355" i="23"/>
  <c r="K356" i="23"/>
  <c r="N356" i="23"/>
  <c r="K357" i="23"/>
  <c r="N357" i="23"/>
  <c r="K358" i="23"/>
  <c r="N358" i="23"/>
  <c r="K359" i="23"/>
  <c r="N359" i="23"/>
  <c r="K360" i="23"/>
  <c r="N360" i="23"/>
  <c r="K361" i="23"/>
  <c r="N361" i="23"/>
  <c r="K362" i="23"/>
  <c r="N362" i="23"/>
  <c r="K363" i="23"/>
  <c r="N363" i="23"/>
  <c r="K364" i="23"/>
  <c r="N364" i="23"/>
  <c r="K365" i="23"/>
  <c r="N365" i="23"/>
  <c r="K366" i="23"/>
  <c r="N366" i="23"/>
  <c r="K367" i="23"/>
  <c r="N367" i="23"/>
  <c r="K368" i="23"/>
  <c r="N368" i="23"/>
  <c r="K369" i="23"/>
  <c r="N369" i="23"/>
  <c r="K370" i="23"/>
  <c r="N370" i="23"/>
  <c r="K371" i="23"/>
  <c r="N371" i="23"/>
  <c r="K372" i="23"/>
  <c r="N372" i="23"/>
  <c r="K373" i="23"/>
  <c r="N373" i="23"/>
  <c r="K374" i="23"/>
  <c r="N374" i="23"/>
  <c r="K375" i="23"/>
  <c r="N375" i="23"/>
  <c r="K376" i="23"/>
  <c r="N376" i="23"/>
  <c r="K377" i="23"/>
  <c r="N377" i="23"/>
  <c r="K378" i="23"/>
  <c r="N378" i="23"/>
  <c r="K379" i="23"/>
  <c r="N379" i="23"/>
  <c r="K380" i="23"/>
  <c r="N380" i="23"/>
  <c r="K381" i="23"/>
  <c r="N381" i="23"/>
  <c r="K382" i="23"/>
  <c r="N382" i="23"/>
  <c r="K383" i="23"/>
  <c r="N383" i="23"/>
  <c r="K384" i="23"/>
  <c r="N384" i="23"/>
  <c r="K385" i="23"/>
  <c r="N385" i="23"/>
  <c r="K386" i="23"/>
  <c r="N386" i="23"/>
  <c r="K387" i="23"/>
  <c r="N387" i="23"/>
  <c r="K388" i="23"/>
  <c r="N388" i="23"/>
  <c r="K389" i="23"/>
  <c r="N389" i="23"/>
  <c r="K390" i="23"/>
  <c r="N390" i="23"/>
  <c r="K391" i="23"/>
  <c r="N391" i="23"/>
  <c r="K392" i="23"/>
  <c r="N392" i="23"/>
  <c r="K393" i="23"/>
  <c r="N393" i="23"/>
  <c r="K394" i="23"/>
  <c r="N394" i="23"/>
  <c r="K395" i="23"/>
  <c r="N395" i="23"/>
  <c r="K396" i="23"/>
  <c r="N396" i="23"/>
  <c r="K397" i="23"/>
  <c r="N397" i="23"/>
  <c r="K398" i="23"/>
  <c r="N398" i="23"/>
  <c r="K399" i="23"/>
  <c r="N399" i="23"/>
  <c r="K400" i="23"/>
  <c r="N400" i="23"/>
  <c r="K401" i="23"/>
  <c r="N401" i="23"/>
  <c r="K402" i="23"/>
  <c r="N402" i="23"/>
  <c r="K403" i="23"/>
  <c r="N403" i="23"/>
  <c r="K404" i="23"/>
  <c r="N404" i="23"/>
  <c r="K405" i="23"/>
  <c r="N405" i="23"/>
  <c r="K406" i="23"/>
  <c r="N406" i="23"/>
  <c r="K407" i="23"/>
  <c r="N407" i="23"/>
  <c r="K408" i="23"/>
  <c r="N408" i="23"/>
  <c r="K409" i="23"/>
  <c r="N409" i="23"/>
  <c r="K410" i="23"/>
  <c r="N410" i="23"/>
  <c r="K411" i="23"/>
  <c r="N411" i="23"/>
  <c r="K412" i="23"/>
  <c r="N412" i="23"/>
  <c r="K413" i="23"/>
  <c r="N413" i="23"/>
  <c r="K414" i="23"/>
  <c r="N414" i="23"/>
  <c r="K415" i="23"/>
  <c r="N415" i="23"/>
  <c r="K416" i="23"/>
  <c r="N416" i="23"/>
  <c r="K417" i="23"/>
  <c r="N417" i="23"/>
  <c r="K418" i="23"/>
  <c r="N418" i="23"/>
  <c r="K419" i="23"/>
  <c r="N419" i="23"/>
  <c r="K420" i="23"/>
  <c r="N420" i="23"/>
  <c r="K421" i="23"/>
  <c r="N421" i="23"/>
  <c r="K422" i="23"/>
  <c r="N422" i="23"/>
  <c r="K423" i="23"/>
  <c r="N423" i="23"/>
  <c r="K424" i="23"/>
  <c r="N424" i="23"/>
  <c r="K425" i="23"/>
  <c r="N425" i="23"/>
  <c r="K426" i="23"/>
  <c r="N426" i="23"/>
  <c r="K427" i="23"/>
  <c r="N427" i="23"/>
  <c r="K428" i="23"/>
  <c r="N428" i="23"/>
  <c r="K429" i="23"/>
  <c r="N429" i="23"/>
  <c r="K430" i="23"/>
  <c r="N430" i="23"/>
  <c r="K431" i="23"/>
  <c r="N431" i="23"/>
  <c r="K432" i="23"/>
  <c r="N432" i="23"/>
  <c r="K433" i="23"/>
  <c r="N433" i="23"/>
  <c r="K434" i="23"/>
  <c r="N434" i="23"/>
  <c r="K435" i="23"/>
  <c r="N435" i="23"/>
  <c r="K436" i="23"/>
  <c r="N436" i="23"/>
  <c r="K437" i="23"/>
  <c r="N437" i="23"/>
  <c r="K438" i="23"/>
  <c r="N438" i="23"/>
  <c r="K439" i="23"/>
  <c r="N439" i="23"/>
  <c r="K440" i="23"/>
  <c r="N440" i="23"/>
  <c r="K441" i="23"/>
  <c r="N441" i="23"/>
  <c r="K442" i="23"/>
  <c r="N442" i="23"/>
  <c r="K443" i="23"/>
  <c r="N443" i="23"/>
  <c r="K444" i="23"/>
  <c r="N444" i="23"/>
  <c r="K445" i="23"/>
  <c r="N445" i="23"/>
  <c r="K446" i="23"/>
  <c r="N446" i="23"/>
  <c r="K447" i="23"/>
  <c r="N447" i="23"/>
  <c r="K448" i="23"/>
  <c r="N448" i="23"/>
  <c r="K449" i="23"/>
  <c r="N449" i="23"/>
  <c r="K450" i="23"/>
  <c r="N450" i="23"/>
  <c r="K451" i="23"/>
  <c r="N451" i="23"/>
  <c r="K452" i="23"/>
  <c r="N452" i="23"/>
  <c r="K453" i="23"/>
  <c r="N453" i="23"/>
  <c r="K454" i="23"/>
  <c r="N454" i="23"/>
  <c r="K455" i="23"/>
  <c r="N455" i="23"/>
  <c r="K456" i="23"/>
  <c r="N456" i="23"/>
  <c r="K457" i="23"/>
  <c r="N457" i="23"/>
  <c r="K458" i="23"/>
  <c r="N458" i="23"/>
  <c r="K459" i="23"/>
  <c r="N459" i="23"/>
  <c r="K460" i="23"/>
  <c r="N460" i="23"/>
  <c r="K461" i="23"/>
  <c r="N461" i="23"/>
  <c r="K462" i="23"/>
  <c r="N462" i="23"/>
  <c r="K463" i="23"/>
  <c r="N463" i="23"/>
  <c r="K464" i="23"/>
  <c r="N464" i="23"/>
  <c r="K465" i="23"/>
  <c r="N465" i="23"/>
  <c r="K466" i="23"/>
  <c r="N466" i="23"/>
  <c r="K467" i="23"/>
  <c r="N467" i="23"/>
  <c r="K468" i="23"/>
  <c r="N468" i="23"/>
  <c r="K469" i="23"/>
  <c r="N469" i="23"/>
  <c r="K470" i="23"/>
  <c r="N470" i="23"/>
  <c r="K471" i="23"/>
  <c r="N471" i="23"/>
  <c r="K472" i="23"/>
  <c r="N472" i="23"/>
  <c r="K473" i="23"/>
  <c r="N473" i="23"/>
  <c r="K474" i="23"/>
  <c r="N474" i="23"/>
  <c r="K475" i="23"/>
  <c r="N475" i="23"/>
  <c r="K476" i="23"/>
  <c r="N476" i="23"/>
  <c r="K477" i="23"/>
  <c r="N477" i="23"/>
  <c r="K478" i="23"/>
  <c r="N478" i="23"/>
  <c r="K479" i="23"/>
  <c r="N479" i="23"/>
  <c r="K480" i="23"/>
  <c r="N480" i="23"/>
  <c r="K481" i="23"/>
  <c r="N481" i="23"/>
  <c r="K482" i="23"/>
  <c r="N482" i="23"/>
  <c r="K483" i="23"/>
  <c r="N483" i="23"/>
  <c r="K484" i="23"/>
  <c r="N484" i="23"/>
  <c r="K485" i="23"/>
  <c r="N485" i="23"/>
  <c r="K486" i="23"/>
  <c r="N486" i="23"/>
  <c r="K487" i="23"/>
  <c r="N487" i="23"/>
  <c r="K488" i="23"/>
  <c r="N488" i="23"/>
  <c r="K489" i="23"/>
  <c r="N489" i="23"/>
  <c r="K490" i="23"/>
  <c r="N490" i="23"/>
  <c r="K491" i="23"/>
  <c r="N491" i="23"/>
  <c r="K492" i="23"/>
  <c r="N492" i="23"/>
  <c r="K493" i="23"/>
  <c r="N493" i="23"/>
  <c r="K494" i="23"/>
  <c r="N494" i="23"/>
  <c r="K495" i="23"/>
  <c r="N495" i="23"/>
  <c r="K496" i="23"/>
  <c r="N496" i="23"/>
  <c r="K497" i="23"/>
  <c r="N497" i="23"/>
  <c r="K498" i="23"/>
  <c r="N498" i="23"/>
  <c r="K499" i="23"/>
  <c r="N499" i="23"/>
  <c r="K500" i="23"/>
  <c r="N500" i="23"/>
  <c r="K501" i="23"/>
  <c r="N501" i="23"/>
  <c r="K502" i="23"/>
  <c r="N502" i="23"/>
  <c r="K503" i="23"/>
  <c r="N503" i="23"/>
  <c r="K504" i="23"/>
  <c r="N504" i="23"/>
  <c r="K505" i="23"/>
  <c r="N505" i="23"/>
  <c r="K506" i="23"/>
  <c r="N506" i="23"/>
  <c r="K507" i="23"/>
  <c r="N507" i="23"/>
  <c r="K508" i="23"/>
  <c r="N508" i="23"/>
  <c r="K509" i="23"/>
  <c r="N509" i="23"/>
  <c r="K510" i="23"/>
  <c r="N510" i="23"/>
  <c r="K511" i="23"/>
  <c r="N511" i="23"/>
  <c r="K512" i="23"/>
  <c r="N512" i="23"/>
  <c r="K513" i="23"/>
  <c r="N513" i="23"/>
  <c r="K514" i="23"/>
  <c r="N514" i="23"/>
  <c r="K515" i="23"/>
  <c r="N515" i="23"/>
  <c r="K516" i="23"/>
  <c r="N516" i="23"/>
  <c r="K517" i="23"/>
  <c r="N517" i="23"/>
  <c r="K518" i="23"/>
  <c r="N518" i="23"/>
  <c r="K519" i="23"/>
  <c r="N519" i="23"/>
  <c r="K520" i="23"/>
  <c r="N520" i="23"/>
  <c r="K521" i="23"/>
  <c r="N521" i="23"/>
  <c r="K522" i="23"/>
  <c r="N522" i="23"/>
  <c r="K523" i="23"/>
  <c r="N523" i="23"/>
  <c r="K524" i="23"/>
  <c r="N524" i="23"/>
  <c r="K525" i="23"/>
  <c r="N525" i="23"/>
  <c r="K526" i="23"/>
  <c r="N526" i="23"/>
  <c r="K527" i="23"/>
  <c r="N527" i="23"/>
  <c r="K528" i="23"/>
  <c r="N528" i="23"/>
  <c r="K529" i="23"/>
  <c r="N529" i="23"/>
  <c r="K530" i="23"/>
  <c r="N530" i="23"/>
  <c r="K531" i="23"/>
  <c r="N531" i="23"/>
  <c r="K532" i="23"/>
  <c r="N532" i="23"/>
  <c r="K533" i="23"/>
  <c r="N533" i="23"/>
  <c r="K534" i="23"/>
  <c r="N534" i="23"/>
  <c r="K535" i="23"/>
  <c r="N535" i="23"/>
  <c r="K536" i="23"/>
  <c r="N536" i="23"/>
  <c r="K537" i="23"/>
  <c r="N537" i="23"/>
  <c r="K538" i="23"/>
  <c r="N538" i="23"/>
  <c r="K539" i="23"/>
  <c r="N539" i="23"/>
  <c r="K540" i="23"/>
  <c r="N540" i="23"/>
  <c r="K541" i="23"/>
  <c r="N541" i="23"/>
  <c r="K542" i="23"/>
  <c r="N542" i="23"/>
  <c r="K543" i="23"/>
  <c r="N543" i="23"/>
  <c r="K544" i="23"/>
  <c r="N544" i="23"/>
  <c r="K545" i="23"/>
  <c r="N545" i="23"/>
  <c r="K546" i="23"/>
  <c r="N546" i="23"/>
  <c r="K547" i="23"/>
  <c r="N547" i="23"/>
  <c r="K548" i="23"/>
  <c r="N548" i="23"/>
  <c r="K549" i="23"/>
  <c r="N549" i="23"/>
  <c r="K550" i="23"/>
  <c r="N550" i="23"/>
  <c r="K551" i="23"/>
  <c r="N551" i="23"/>
  <c r="K552" i="23"/>
  <c r="N552" i="23"/>
  <c r="K553" i="23"/>
  <c r="N553" i="23"/>
  <c r="K554" i="23"/>
  <c r="N554" i="23"/>
  <c r="K555" i="23"/>
  <c r="N555" i="23"/>
  <c r="K556" i="23"/>
  <c r="N556" i="23"/>
  <c r="K557" i="23"/>
  <c r="N557" i="23"/>
  <c r="K558" i="23"/>
  <c r="N558" i="23"/>
  <c r="K559" i="23"/>
  <c r="N559" i="23"/>
  <c r="K560" i="23"/>
  <c r="N560" i="23"/>
  <c r="K561" i="23"/>
  <c r="N561" i="23"/>
  <c r="K562" i="23"/>
  <c r="N562" i="23"/>
  <c r="K563" i="23"/>
  <c r="N563" i="23"/>
  <c r="K564" i="23"/>
  <c r="N564" i="23"/>
  <c r="K565" i="23"/>
  <c r="N565" i="23"/>
  <c r="K566" i="23"/>
  <c r="N566" i="23"/>
  <c r="K567" i="23"/>
  <c r="N567" i="23"/>
  <c r="K568" i="23"/>
  <c r="N568" i="23"/>
  <c r="K569" i="23"/>
  <c r="N569" i="23"/>
  <c r="K570" i="23"/>
  <c r="N570" i="23"/>
  <c r="K571" i="23"/>
  <c r="N571" i="23"/>
  <c r="K572" i="23"/>
  <c r="N572" i="23"/>
  <c r="K573" i="23"/>
  <c r="N573" i="23"/>
  <c r="K574" i="23"/>
  <c r="N574" i="23"/>
  <c r="K575" i="23"/>
  <c r="N575" i="23"/>
  <c r="K576" i="23"/>
  <c r="N576" i="23"/>
  <c r="K577" i="23"/>
  <c r="N577" i="23"/>
  <c r="K578" i="23"/>
  <c r="N578" i="23"/>
  <c r="K579" i="23"/>
  <c r="N579" i="23"/>
  <c r="K580" i="23"/>
  <c r="N580" i="23"/>
  <c r="K581" i="23"/>
  <c r="N581" i="23"/>
  <c r="K582" i="23"/>
  <c r="N582" i="23"/>
  <c r="K583" i="23"/>
  <c r="N583" i="23"/>
  <c r="K584" i="23"/>
  <c r="N584" i="23"/>
  <c r="K585" i="23"/>
  <c r="N585" i="23"/>
  <c r="K586" i="23"/>
  <c r="N586" i="23"/>
  <c r="K587" i="23"/>
  <c r="N587" i="23"/>
  <c r="K588" i="23"/>
  <c r="N588" i="23"/>
  <c r="K589" i="23"/>
  <c r="N589" i="23"/>
  <c r="K590" i="23"/>
  <c r="N590" i="23"/>
  <c r="K591" i="23"/>
  <c r="N591" i="23"/>
  <c r="K592" i="23"/>
  <c r="N592" i="23"/>
  <c r="K593" i="23"/>
  <c r="N593" i="23"/>
  <c r="K594" i="23"/>
  <c r="N594" i="23"/>
  <c r="K595" i="23"/>
  <c r="N595" i="23"/>
  <c r="K596" i="23"/>
  <c r="N596" i="23"/>
  <c r="K597" i="23"/>
  <c r="N597" i="23"/>
  <c r="K598" i="23"/>
  <c r="N598" i="23"/>
  <c r="K599" i="23"/>
  <c r="N599" i="23"/>
  <c r="K600" i="23"/>
  <c r="N600" i="23"/>
  <c r="K601" i="23"/>
  <c r="N601" i="23"/>
  <c r="K602" i="23"/>
  <c r="N602" i="23"/>
  <c r="K603" i="23"/>
  <c r="N603" i="23"/>
  <c r="K604" i="23"/>
  <c r="N604" i="23"/>
  <c r="K605" i="23"/>
  <c r="N605" i="23"/>
  <c r="K606" i="23"/>
  <c r="N606" i="23"/>
  <c r="K607" i="23"/>
  <c r="N607" i="23"/>
  <c r="K608" i="23"/>
  <c r="N608" i="23"/>
  <c r="K609" i="23"/>
  <c r="N609" i="23"/>
  <c r="K610" i="23"/>
  <c r="N610" i="23"/>
  <c r="K611" i="23"/>
  <c r="N611" i="23"/>
  <c r="K612" i="23"/>
  <c r="N612" i="23"/>
  <c r="K613" i="23"/>
  <c r="N613" i="23"/>
  <c r="K614" i="23"/>
  <c r="N614" i="23"/>
  <c r="K615" i="23"/>
  <c r="N615" i="23"/>
  <c r="K616" i="23"/>
  <c r="N616" i="23"/>
  <c r="K617" i="23"/>
  <c r="N617" i="23"/>
  <c r="K618" i="23"/>
  <c r="N618" i="23"/>
  <c r="K619" i="23"/>
  <c r="N619" i="23"/>
  <c r="K620" i="23"/>
  <c r="N620" i="23"/>
  <c r="K621" i="23"/>
  <c r="N621" i="23"/>
  <c r="K622" i="23"/>
  <c r="N622" i="23"/>
  <c r="K623" i="23"/>
  <c r="N623" i="23"/>
  <c r="K624" i="23"/>
  <c r="N624" i="23"/>
  <c r="K625" i="23"/>
  <c r="N625" i="23"/>
  <c r="K626" i="23"/>
  <c r="N626" i="23"/>
  <c r="K627" i="23"/>
  <c r="N627" i="23"/>
  <c r="K628" i="23"/>
  <c r="N628" i="23"/>
  <c r="K629" i="23"/>
  <c r="N629" i="23"/>
  <c r="K630" i="23"/>
  <c r="N630" i="23"/>
  <c r="K631" i="23"/>
  <c r="N631" i="23"/>
  <c r="K632" i="23"/>
  <c r="N632" i="23"/>
  <c r="K633" i="23"/>
  <c r="N633" i="23"/>
  <c r="K634" i="23"/>
  <c r="N634" i="23"/>
  <c r="K635" i="23"/>
  <c r="N635" i="23"/>
  <c r="K636" i="23"/>
  <c r="N636" i="23"/>
  <c r="K637" i="23"/>
  <c r="N637" i="23"/>
  <c r="K638" i="23"/>
  <c r="N638" i="23"/>
  <c r="K639" i="23"/>
  <c r="N639" i="23"/>
  <c r="K640" i="23"/>
  <c r="N640" i="23"/>
  <c r="K641" i="23"/>
  <c r="N641" i="23"/>
  <c r="K642" i="23"/>
  <c r="N642" i="23"/>
  <c r="K643" i="23"/>
  <c r="N643" i="23"/>
  <c r="K644" i="23"/>
  <c r="N644" i="23"/>
  <c r="D48" i="5"/>
  <c r="E48" i="5"/>
  <c r="F48" i="5"/>
  <c r="G48" i="5"/>
  <c r="D49" i="5"/>
  <c r="E49" i="5"/>
  <c r="F49" i="5"/>
  <c r="G51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AU11" i="16"/>
  <c r="Y12" i="16"/>
  <c r="Z12" i="16"/>
  <c r="AE12" i="16"/>
  <c r="AF12" i="16"/>
  <c r="Y13" i="16"/>
  <c r="Z13" i="16"/>
  <c r="AE13" i="16"/>
  <c r="AF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Y26" i="16"/>
  <c r="Z26" i="16"/>
  <c r="AE26" i="16"/>
  <c r="AF26" i="16"/>
  <c r="Y27" i="16"/>
  <c r="Z27" i="16"/>
  <c r="AE27" i="16"/>
  <c r="AF27" i="16"/>
  <c r="Y28" i="16"/>
  <c r="Z28" i="16"/>
  <c r="AE28" i="16"/>
  <c r="AF28" i="16"/>
  <c r="Y29" i="16"/>
  <c r="Z29" i="16"/>
  <c r="AE29" i="16"/>
  <c r="AF29" i="16"/>
  <c r="Y30" i="16"/>
  <c r="Z30" i="16"/>
  <c r="AE30" i="16"/>
  <c r="AF30" i="16"/>
  <c r="Y31" i="16"/>
  <c r="Z31" i="16"/>
  <c r="AE31" i="16"/>
  <c r="AF31" i="16"/>
  <c r="Y32" i="16"/>
  <c r="Z32" i="16"/>
  <c r="AE32" i="16"/>
  <c r="AF32" i="16"/>
  <c r="Y33" i="16"/>
  <c r="Z33" i="16"/>
  <c r="AE33" i="16"/>
  <c r="AF33" i="16"/>
  <c r="Y34" i="16"/>
  <c r="Z34" i="16"/>
  <c r="AE34" i="16"/>
  <c r="AF34" i="16"/>
  <c r="Y35" i="16"/>
  <c r="Z35" i="16"/>
  <c r="AE35" i="16"/>
  <c r="AF35" i="16"/>
  <c r="Y36" i="16"/>
  <c r="Z36" i="16"/>
  <c r="AE36" i="16"/>
  <c r="AF36" i="16"/>
  <c r="Y37" i="16"/>
  <c r="Z37" i="16"/>
  <c r="AE37" i="16"/>
  <c r="AF37" i="16"/>
  <c r="Y38" i="16"/>
  <c r="Z38" i="16"/>
  <c r="AE38" i="16"/>
  <c r="AF38" i="16"/>
  <c r="Y39" i="16"/>
  <c r="Z39" i="16"/>
  <c r="AE39" i="16"/>
  <c r="AF39" i="16"/>
  <c r="Y40" i="16"/>
  <c r="Z40" i="16"/>
  <c r="AE40" i="16"/>
  <c r="AF40" i="16"/>
  <c r="Y41" i="16"/>
  <c r="Z41" i="16"/>
  <c r="AE41" i="16"/>
  <c r="AF41" i="16"/>
  <c r="Y42" i="16"/>
  <c r="Z42" i="16"/>
  <c r="AE42" i="16"/>
  <c r="AF42" i="16"/>
  <c r="Y43" i="16"/>
  <c r="Z43" i="16"/>
  <c r="AE43" i="16"/>
  <c r="AF43" i="16"/>
  <c r="Y44" i="16"/>
  <c r="Z44" i="16"/>
  <c r="AE44" i="16"/>
  <c r="AF44" i="16"/>
  <c r="Y45" i="16"/>
  <c r="Z45" i="16"/>
  <c r="AE45" i="16"/>
  <c r="AF45" i="16"/>
  <c r="Y46" i="16"/>
  <c r="Z46" i="16"/>
  <c r="AE46" i="16"/>
  <c r="AF46" i="16"/>
  <c r="Y47" i="16"/>
  <c r="Z47" i="16"/>
  <c r="AE47" i="16"/>
  <c r="AF47" i="16"/>
  <c r="Y48" i="16"/>
  <c r="Z48" i="16"/>
  <c r="AE48" i="16"/>
  <c r="AF48" i="16"/>
  <c r="Y49" i="16"/>
  <c r="Z49" i="16"/>
  <c r="AE49" i="16"/>
  <c r="AF49" i="16"/>
  <c r="Y50" i="16"/>
  <c r="Z50" i="16"/>
  <c r="AE50" i="16"/>
  <c r="AF50" i="16"/>
  <c r="Y51" i="16"/>
  <c r="Z51" i="16"/>
  <c r="AE51" i="16"/>
  <c r="AF51" i="16"/>
  <c r="Y52" i="16"/>
  <c r="Z52" i="16"/>
  <c r="AE52" i="16"/>
  <c r="AF52" i="16"/>
  <c r="Y53" i="16"/>
  <c r="Z53" i="16"/>
  <c r="AE53" i="16"/>
  <c r="AF53" i="16"/>
  <c r="Y54" i="16"/>
  <c r="Z54" i="16"/>
  <c r="AE54" i="16"/>
  <c r="AF54" i="16"/>
  <c r="Y55" i="16"/>
  <c r="Z55" i="16"/>
  <c r="AE55" i="16"/>
  <c r="AF55" i="16"/>
  <c r="Y56" i="16"/>
  <c r="Z56" i="16"/>
  <c r="AE56" i="16"/>
  <c r="AF56" i="16"/>
  <c r="Y57" i="16"/>
  <c r="Z57" i="16"/>
  <c r="AE57" i="16"/>
  <c r="AF57" i="16"/>
  <c r="Y58" i="16"/>
  <c r="Z58" i="16"/>
  <c r="AE58" i="16"/>
  <c r="AF58" i="16"/>
  <c r="Y59" i="16"/>
  <c r="Z59" i="16"/>
  <c r="AE59" i="16"/>
  <c r="AF59" i="16"/>
  <c r="Y60" i="16"/>
  <c r="Z60" i="16"/>
  <c r="AE60" i="16"/>
  <c r="AF60" i="16"/>
  <c r="Y61" i="16"/>
  <c r="Z61" i="16"/>
  <c r="AE61" i="16"/>
  <c r="AF61" i="16"/>
  <c r="Y62" i="16"/>
  <c r="AE62" i="16"/>
  <c r="Y63" i="16"/>
  <c r="AE63" i="16"/>
  <c r="Y64" i="16"/>
  <c r="AE64" i="16"/>
  <c r="Y65" i="16"/>
  <c r="AE65" i="16"/>
  <c r="Y66" i="16"/>
  <c r="AE66" i="16"/>
  <c r="Y67" i="16"/>
  <c r="AE67" i="16"/>
  <c r="Y68" i="16"/>
  <c r="AE68" i="16"/>
  <c r="Y69" i="16"/>
  <c r="AE69" i="16"/>
  <c r="Y70" i="16"/>
  <c r="AE70" i="16"/>
  <c r="Y71" i="16"/>
  <c r="AE71" i="16"/>
  <c r="Y72" i="16"/>
  <c r="AE72" i="16"/>
  <c r="Y73" i="16"/>
  <c r="AE73" i="16"/>
  <c r="Y74" i="16"/>
  <c r="AE74" i="16"/>
  <c r="Y75" i="16"/>
  <c r="AE75" i="16"/>
  <c r="Y76" i="16"/>
  <c r="AE76" i="16"/>
  <c r="Y77" i="16"/>
  <c r="AE77" i="16"/>
  <c r="Y78" i="16"/>
  <c r="AE78" i="16"/>
  <c r="Y79" i="16"/>
  <c r="AE79" i="16"/>
  <c r="Y80" i="16"/>
  <c r="AE80" i="16"/>
  <c r="Y81" i="16"/>
  <c r="AE81" i="16"/>
  <c r="Y82" i="16"/>
  <c r="AE82" i="16"/>
  <c r="Y83" i="16"/>
  <c r="AE83" i="16"/>
  <c r="Y84" i="16"/>
  <c r="AE84" i="16"/>
  <c r="Y85" i="16"/>
  <c r="AE85" i="16"/>
  <c r="Y86" i="16"/>
  <c r="AE86" i="16"/>
  <c r="Y87" i="16"/>
  <c r="AE87" i="16"/>
  <c r="Y88" i="16"/>
  <c r="AE88" i="16"/>
  <c r="Y89" i="16"/>
  <c r="AE89" i="16"/>
  <c r="Y90" i="16"/>
  <c r="AE90" i="16"/>
  <c r="Y91" i="16"/>
  <c r="AE91" i="16"/>
  <c r="Y92" i="16"/>
  <c r="AE92" i="16"/>
  <c r="Y93" i="16"/>
  <c r="AE93" i="16"/>
  <c r="Y94" i="16"/>
  <c r="AE94" i="16"/>
  <c r="Y95" i="16"/>
  <c r="AE95" i="16"/>
  <c r="Y96" i="16"/>
  <c r="AE96" i="16"/>
  <c r="Y97" i="16"/>
  <c r="AE97" i="16"/>
  <c r="Y98" i="16"/>
  <c r="AE98" i="16"/>
  <c r="Y99" i="16"/>
  <c r="AE99" i="16"/>
  <c r="Y100" i="16"/>
  <c r="AE100" i="16"/>
  <c r="Y101" i="16"/>
  <c r="AE101" i="16"/>
  <c r="Y102" i="16"/>
  <c r="AE102" i="16"/>
  <c r="Y103" i="16"/>
  <c r="AE103" i="16"/>
  <c r="Y104" i="16"/>
  <c r="AE104" i="16"/>
  <c r="Y105" i="16"/>
  <c r="AE105" i="16"/>
  <c r="Y106" i="16"/>
  <c r="AE106" i="16"/>
  <c r="Y107" i="16"/>
  <c r="AE107" i="16"/>
  <c r="Y108" i="16"/>
  <c r="AE108" i="16"/>
  <c r="Y109" i="16"/>
  <c r="AE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Y133" i="16"/>
  <c r="AE133" i="16"/>
  <c r="Y134" i="16"/>
  <c r="AE134" i="16"/>
  <c r="Y135" i="16"/>
  <c r="AE135" i="16"/>
  <c r="Y136" i="16"/>
  <c r="AE136" i="16"/>
  <c r="Y137" i="16"/>
  <c r="AE137" i="16"/>
  <c r="Y138" i="16"/>
  <c r="AE138" i="16"/>
  <c r="Y139" i="16"/>
  <c r="AE139" i="16"/>
  <c r="Y140" i="16"/>
  <c r="AE140" i="16"/>
  <c r="Y141" i="16"/>
  <c r="AE141" i="16"/>
  <c r="Y142" i="16"/>
  <c r="AE142" i="16"/>
  <c r="Y143" i="16"/>
  <c r="AE143" i="16"/>
  <c r="Y144" i="16"/>
  <c r="AE144" i="16"/>
  <c r="Y145" i="16"/>
  <c r="AE145" i="16"/>
  <c r="Y146" i="16"/>
  <c r="AE146" i="16"/>
  <c r="Y147" i="16"/>
  <c r="AE147" i="16"/>
  <c r="Y148" i="16"/>
  <c r="AE148" i="16"/>
  <c r="Y149" i="16"/>
  <c r="AE149" i="16"/>
  <c r="Y150" i="16"/>
  <c r="AE150" i="16"/>
  <c r="Y151" i="16"/>
  <c r="AE151" i="16"/>
  <c r="Y152" i="16"/>
  <c r="AE152" i="16"/>
  <c r="Y153" i="16"/>
  <c r="AE153" i="16"/>
  <c r="Y154" i="16"/>
  <c r="AE154" i="16"/>
  <c r="Y155" i="16"/>
  <c r="AE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Y191" i="16"/>
  <c r="AE191" i="16"/>
  <c r="Y192" i="16"/>
  <c r="AE192" i="16"/>
  <c r="Y193" i="16"/>
  <c r="AE193" i="16"/>
  <c r="Y194" i="16"/>
  <c r="AE194" i="16"/>
  <c r="Y195" i="16"/>
  <c r="AE195" i="16"/>
  <c r="Y196" i="16"/>
  <c r="AE196" i="16"/>
  <c r="Y197" i="16"/>
  <c r="AE197" i="16"/>
  <c r="Y198" i="16"/>
  <c r="AE198" i="16"/>
  <c r="Y199" i="16"/>
  <c r="AE199" i="16"/>
  <c r="Y200" i="16"/>
  <c r="AE200" i="16"/>
  <c r="Y201" i="16"/>
  <c r="AE201" i="16"/>
  <c r="Y202" i="16"/>
  <c r="AE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Y233" i="16"/>
  <c r="AE233" i="16"/>
  <c r="Y234" i="16"/>
  <c r="AE234" i="16"/>
  <c r="Y235" i="16"/>
  <c r="AE235" i="16"/>
  <c r="Y236" i="16"/>
  <c r="AE236" i="16"/>
  <c r="Y237" i="16"/>
  <c r="AE237" i="16"/>
  <c r="Y238" i="16"/>
  <c r="AE238" i="16"/>
  <c r="Y239" i="16"/>
  <c r="AE239" i="16"/>
  <c r="Y240" i="16"/>
  <c r="AE240" i="16"/>
  <c r="Y241" i="16"/>
  <c r="AE241" i="16"/>
  <c r="Y242" i="16"/>
  <c r="AE242" i="16"/>
  <c r="Y243" i="16"/>
  <c r="AE243" i="16"/>
  <c r="Y244" i="16"/>
  <c r="AE244" i="16"/>
  <c r="Y245" i="16"/>
  <c r="AE245" i="16"/>
  <c r="Y246" i="16"/>
  <c r="AE246" i="16"/>
  <c r="Y247" i="16"/>
  <c r="AE247" i="16"/>
  <c r="Y248" i="16"/>
  <c r="AE248" i="16"/>
  <c r="Y249" i="16"/>
  <c r="AE249" i="16"/>
  <c r="Y250" i="16"/>
  <c r="AE250" i="16"/>
  <c r="Y251" i="16"/>
  <c r="AE251" i="16"/>
  <c r="Y252" i="16"/>
  <c r="AE252" i="16"/>
  <c r="Y253" i="16"/>
  <c r="AE253" i="16"/>
  <c r="Y254" i="16"/>
  <c r="AE254" i="16"/>
  <c r="Y255" i="16"/>
  <c r="AE255" i="16"/>
  <c r="Y256" i="16"/>
  <c r="AE256" i="16"/>
  <c r="Y257" i="16"/>
  <c r="AE257" i="16"/>
  <c r="Y258" i="16"/>
  <c r="AE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Y295" i="16"/>
  <c r="AE295" i="16"/>
  <c r="Y296" i="16"/>
  <c r="AE296" i="16"/>
  <c r="Y297" i="16"/>
  <c r="AE297" i="16"/>
  <c r="Y298" i="16"/>
  <c r="AE298" i="16"/>
  <c r="Y299" i="16"/>
  <c r="AE299" i="16"/>
  <c r="Y300" i="16"/>
  <c r="AE300" i="16"/>
  <c r="Y301" i="16"/>
  <c r="AE301" i="16"/>
  <c r="Y302" i="16"/>
  <c r="AE302" i="16"/>
  <c r="Y303" i="16"/>
  <c r="AE303" i="16"/>
  <c r="Y304" i="16"/>
  <c r="AE304" i="16"/>
  <c r="Y305" i="16"/>
  <c r="AE305" i="16"/>
  <c r="Y306" i="16"/>
  <c r="AE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Y331" i="16"/>
  <c r="AE331" i="16"/>
  <c r="Y332" i="16"/>
  <c r="AE332" i="16"/>
  <c r="Y333" i="16"/>
  <c r="AE333" i="16"/>
  <c r="Y334" i="16"/>
  <c r="AE334" i="16"/>
  <c r="Y335" i="16"/>
  <c r="AE335" i="16"/>
  <c r="Y336" i="16"/>
  <c r="AE336" i="16"/>
  <c r="Y337" i="16"/>
  <c r="AE337" i="16"/>
  <c r="Y338" i="16"/>
  <c r="AE338" i="16"/>
  <c r="Y339" i="16"/>
  <c r="AE339" i="16"/>
  <c r="Y340" i="16"/>
  <c r="AE340" i="16"/>
  <c r="Y341" i="16"/>
  <c r="AE341" i="16"/>
  <c r="Y342" i="16"/>
  <c r="AE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Z509" i="16"/>
  <c r="AF509" i="16"/>
  <c r="Z510" i="16"/>
  <c r="AF510" i="16"/>
  <c r="Z511" i="16"/>
  <c r="AF511" i="16"/>
  <c r="Z512" i="16"/>
  <c r="AF512" i="16"/>
  <c r="Z513" i="16"/>
  <c r="AF513" i="16"/>
  <c r="Z514" i="16"/>
  <c r="AF514" i="16"/>
  <c r="Z515" i="16"/>
  <c r="AF515" i="16"/>
  <c r="Z516" i="16"/>
  <c r="AF516" i="16"/>
  <c r="Z517" i="16"/>
  <c r="AF517" i="16"/>
  <c r="Z518" i="16"/>
  <c r="AF518" i="16"/>
  <c r="Z519" i="16"/>
  <c r="AF519" i="16"/>
  <c r="Z520" i="16"/>
  <c r="AF520" i="16"/>
  <c r="Z521" i="16"/>
  <c r="AF521" i="16"/>
  <c r="Z522" i="16"/>
  <c r="AF522" i="16"/>
  <c r="Z523" i="16"/>
  <c r="AF523" i="16"/>
  <c r="Z524" i="16"/>
  <c r="AF524" i="16"/>
  <c r="Z525" i="16"/>
  <c r="AF525" i="16"/>
  <c r="Z526" i="16"/>
  <c r="AF526" i="16"/>
  <c r="Z527" i="16"/>
  <c r="AF527" i="16"/>
  <c r="Z528" i="16"/>
  <c r="AF528" i="16"/>
  <c r="Z529" i="16"/>
  <c r="AF529" i="16"/>
  <c r="Z530" i="16"/>
  <c r="AF530" i="16"/>
  <c r="Z531" i="16"/>
  <c r="AF531" i="16"/>
  <c r="Z532" i="16"/>
  <c r="AF532" i="16"/>
  <c r="Z533" i="16"/>
  <c r="AF533" i="16"/>
  <c r="Z534" i="16"/>
  <c r="AF534" i="16"/>
  <c r="Z535" i="16"/>
  <c r="AF535" i="16"/>
  <c r="Z536" i="16"/>
  <c r="AF536" i="16"/>
  <c r="Z537" i="16"/>
  <c r="AF537" i="16"/>
  <c r="Z538" i="16"/>
  <c r="AF538" i="16"/>
  <c r="Z539" i="16"/>
  <c r="AF539" i="16"/>
  <c r="Z540" i="16"/>
  <c r="AF540" i="16"/>
  <c r="Z541" i="16"/>
  <c r="AF541" i="16"/>
  <c r="Z542" i="16"/>
  <c r="AF542" i="16"/>
  <c r="Z543" i="16"/>
  <c r="AF543" i="16"/>
  <c r="Z544" i="16"/>
  <c r="AF544" i="16"/>
  <c r="Z545" i="16"/>
  <c r="AF545" i="16"/>
  <c r="Z546" i="16"/>
  <c r="AF546" i="16"/>
  <c r="Z547" i="16"/>
  <c r="AF547" i="16"/>
  <c r="Z548" i="16"/>
  <c r="AF548" i="16"/>
  <c r="Z549" i="16"/>
  <c r="AF549" i="16"/>
  <c r="Z550" i="16"/>
  <c r="AF550" i="16"/>
  <c r="Z551" i="16"/>
  <c r="AF551" i="16"/>
  <c r="Z552" i="16"/>
  <c r="AF552" i="16"/>
  <c r="Z553" i="16"/>
  <c r="AF553" i="16"/>
  <c r="Z554" i="16"/>
  <c r="AF554" i="16"/>
  <c r="Z555" i="16"/>
  <c r="AF555" i="16"/>
  <c r="Z556" i="16"/>
  <c r="AF556" i="16"/>
  <c r="Z557" i="16"/>
  <c r="AF557" i="16"/>
  <c r="Z558" i="16"/>
  <c r="AF558" i="16"/>
  <c r="Z559" i="16"/>
  <c r="AF559" i="16"/>
  <c r="Z560" i="16"/>
  <c r="AF560" i="16"/>
  <c r="Z561" i="16"/>
  <c r="AF561" i="16"/>
  <c r="Z562" i="16"/>
  <c r="AF562" i="16"/>
  <c r="Z563" i="16"/>
  <c r="AF563" i="16"/>
  <c r="Z564" i="16"/>
  <c r="AF564" i="16"/>
  <c r="Z565" i="16"/>
  <c r="AF565" i="16"/>
  <c r="Z566" i="16"/>
  <c r="AF566" i="16"/>
  <c r="Z567" i="16"/>
  <c r="AF567" i="16"/>
  <c r="Z568" i="16"/>
  <c r="AF568" i="16"/>
  <c r="Z569" i="16"/>
  <c r="AF569" i="16"/>
  <c r="Z570" i="16"/>
  <c r="AF570" i="16"/>
  <c r="Z571" i="16"/>
  <c r="AF571" i="16"/>
  <c r="Z572" i="16"/>
  <c r="AF572" i="16"/>
  <c r="Z573" i="16"/>
  <c r="AF573" i="16"/>
  <c r="Z574" i="16"/>
  <c r="AF574" i="16"/>
  <c r="Z575" i="16"/>
  <c r="AF575" i="16"/>
  <c r="Z576" i="16"/>
  <c r="AF576" i="16"/>
  <c r="Z577" i="16"/>
  <c r="AF577" i="16"/>
  <c r="Z578" i="16"/>
  <c r="AF578" i="16"/>
  <c r="Z579" i="16"/>
  <c r="AF579" i="16"/>
  <c r="Z580" i="16"/>
  <c r="AF580" i="16"/>
  <c r="Z581" i="16"/>
  <c r="AF581" i="16"/>
  <c r="Z582" i="16"/>
  <c r="AF582" i="16"/>
  <c r="Z583" i="16"/>
  <c r="AF583" i="16"/>
  <c r="Z584" i="16"/>
  <c r="AF584" i="16"/>
  <c r="Z585" i="16"/>
  <c r="AF585" i="16"/>
  <c r="Z586" i="16"/>
  <c r="AF586" i="16"/>
  <c r="Z587" i="16"/>
  <c r="AF587" i="16"/>
  <c r="Z588" i="16"/>
  <c r="AF588" i="16"/>
  <c r="Z589" i="16"/>
  <c r="AF589" i="16"/>
  <c r="Z590" i="16"/>
  <c r="AF590" i="16"/>
  <c r="Z591" i="16"/>
  <c r="AF591" i="16"/>
  <c r="Z592" i="16"/>
  <c r="AF592" i="16"/>
  <c r="Z593" i="16"/>
  <c r="AF593" i="16"/>
  <c r="Z594" i="16"/>
  <c r="AF594" i="16"/>
  <c r="Z595" i="16"/>
  <c r="AF595" i="16"/>
  <c r="Z596" i="16"/>
  <c r="AF596" i="16"/>
  <c r="Z597" i="16"/>
  <c r="AF597" i="16"/>
  <c r="Z598" i="16"/>
  <c r="AF598" i="16"/>
  <c r="Z599" i="16"/>
  <c r="AF599" i="16"/>
  <c r="Z600" i="16"/>
  <c r="AF600" i="16"/>
  <c r="Z601" i="16"/>
  <c r="AF601" i="16"/>
  <c r="Z602" i="16"/>
  <c r="AF602" i="16"/>
  <c r="Z603" i="16"/>
  <c r="AF603" i="16"/>
  <c r="Z604" i="16"/>
  <c r="AF604" i="16"/>
  <c r="Z605" i="16"/>
  <c r="AF605" i="16"/>
  <c r="Z606" i="16"/>
  <c r="AF606" i="16"/>
  <c r="Z607" i="16"/>
  <c r="AF607" i="16"/>
  <c r="Z608" i="16"/>
  <c r="AF608" i="16"/>
  <c r="Z609" i="16"/>
  <c r="AF609" i="16"/>
  <c r="Z610" i="16"/>
  <c r="AF610" i="16"/>
  <c r="Z611" i="16"/>
  <c r="AF611" i="16"/>
  <c r="Z612" i="16"/>
  <c r="AF612" i="16"/>
  <c r="Z613" i="16"/>
  <c r="AF613" i="16"/>
  <c r="Z614" i="16"/>
  <c r="AF614" i="16"/>
  <c r="Z615" i="16"/>
  <c r="AF615" i="16"/>
  <c r="Z616" i="16"/>
  <c r="AF616" i="16"/>
  <c r="Z617" i="16"/>
  <c r="AF617" i="16"/>
  <c r="Z618" i="16"/>
  <c r="AF618" i="16"/>
  <c r="Z619" i="16"/>
  <c r="AF619" i="16"/>
  <c r="Z620" i="16"/>
  <c r="AF620" i="16"/>
  <c r="Z621" i="16"/>
  <c r="AF621" i="16"/>
  <c r="Z622" i="16"/>
  <c r="AF622" i="16"/>
  <c r="Z623" i="16"/>
  <c r="AF623" i="16"/>
  <c r="Z624" i="16"/>
  <c r="AF624" i="16"/>
  <c r="Z625" i="16"/>
  <c r="AF625" i="16"/>
  <c r="Z626" i="16"/>
  <c r="AF626" i="16"/>
  <c r="Z627" i="16"/>
  <c r="AF627" i="16"/>
  <c r="Z628" i="16"/>
  <c r="AF628" i="16"/>
  <c r="Z629" i="16"/>
  <c r="AF629" i="16"/>
  <c r="Z630" i="16"/>
  <c r="AF630" i="16"/>
  <c r="Z631" i="16"/>
  <c r="AF631" i="16"/>
  <c r="Z632" i="16"/>
  <c r="AF632" i="16"/>
  <c r="Z633" i="16"/>
  <c r="AF633" i="16"/>
  <c r="Z634" i="16"/>
  <c r="AF634" i="16"/>
  <c r="Z635" i="16"/>
  <c r="AF635" i="16"/>
  <c r="Z636" i="16"/>
  <c r="AF636" i="16"/>
  <c r="Z637" i="16"/>
  <c r="AF637" i="16"/>
  <c r="Z638" i="16"/>
  <c r="AF638" i="16"/>
  <c r="Z639" i="16"/>
  <c r="AF639" i="16"/>
  <c r="Z640" i="16"/>
  <c r="AF640" i="16"/>
  <c r="Z641" i="16"/>
  <c r="AF641" i="16"/>
  <c r="Z642" i="16"/>
  <c r="AF642" i="16"/>
  <c r="Z643" i="16"/>
  <c r="AF643" i="16"/>
  <c r="Z644" i="16"/>
  <c r="AF644" i="16"/>
  <c r="D7" i="27"/>
  <c r="R7" i="27"/>
  <c r="S7" i="27"/>
  <c r="V7" i="27"/>
  <c r="W7" i="27"/>
  <c r="X7" i="27"/>
  <c r="D9" i="27"/>
  <c r="R9" i="27"/>
  <c r="S9" i="27"/>
  <c r="V9" i="27"/>
  <c r="W9" i="27"/>
  <c r="X9" i="27"/>
  <c r="D11" i="27"/>
  <c r="R11" i="27"/>
  <c r="S11" i="27"/>
  <c r="V11" i="27"/>
  <c r="W11" i="27"/>
  <c r="X11" i="27"/>
  <c r="D13" i="27"/>
  <c r="R13" i="27"/>
  <c r="S13" i="27"/>
  <c r="V13" i="27"/>
  <c r="W13" i="27"/>
  <c r="X13" i="27"/>
  <c r="D14" i="27"/>
  <c r="R14" i="27"/>
  <c r="S14" i="27"/>
  <c r="V14" i="27"/>
  <c r="W14" i="27"/>
  <c r="X14" i="27"/>
  <c r="D15" i="27"/>
  <c r="R15" i="27"/>
  <c r="S15" i="27"/>
  <c r="V15" i="27"/>
  <c r="W15" i="27"/>
  <c r="X15" i="27"/>
  <c r="Y2" i="17"/>
  <c r="Z2" i="17"/>
  <c r="AD2" i="17"/>
  <c r="AE2" i="17"/>
  <c r="Y3" i="17"/>
  <c r="Z3" i="17"/>
  <c r="AD3" i="17"/>
  <c r="AE3" i="17"/>
  <c r="AJ3" i="17"/>
  <c r="Y4" i="17"/>
  <c r="Z4" i="17"/>
  <c r="AD4" i="17"/>
  <c r="AE4" i="17"/>
  <c r="AJ4" i="17"/>
  <c r="Y5" i="17"/>
  <c r="Z5" i="17"/>
  <c r="AD5" i="17"/>
  <c r="AE5" i="17"/>
  <c r="AJ5" i="17"/>
  <c r="Y6" i="17"/>
  <c r="Z6" i="17"/>
  <c r="AD6" i="17"/>
  <c r="AE6" i="17"/>
  <c r="AJ6" i="17"/>
  <c r="Y7" i="17"/>
  <c r="Z7" i="17"/>
  <c r="AD7" i="17"/>
  <c r="AE7" i="17"/>
  <c r="AJ7" i="17"/>
  <c r="Y8" i="17"/>
  <c r="Z8" i="17"/>
  <c r="AD8" i="17"/>
  <c r="AE8" i="17"/>
  <c r="AJ8" i="17"/>
  <c r="Y9" i="17"/>
  <c r="Z9" i="17"/>
  <c r="AD9" i="17"/>
  <c r="AE9" i="17"/>
  <c r="Y10" i="17"/>
  <c r="Z10" i="17"/>
  <c r="AD10" i="17"/>
  <c r="AE10" i="17"/>
  <c r="Y11" i="17"/>
  <c r="Z11" i="17"/>
  <c r="AD11" i="17"/>
  <c r="AE11" i="17"/>
  <c r="AJ11" i="17"/>
  <c r="Y12" i="17"/>
  <c r="Z12" i="17"/>
  <c r="AD12" i="17"/>
  <c r="AE12" i="17"/>
  <c r="Y13" i="17"/>
  <c r="Z13" i="17"/>
  <c r="AD13" i="17"/>
  <c r="AE13" i="17"/>
  <c r="Y14" i="17"/>
  <c r="Z14" i="17"/>
  <c r="AD14" i="17"/>
  <c r="AE14" i="17"/>
  <c r="Y15" i="17"/>
  <c r="Z15" i="17"/>
  <c r="AD15" i="17"/>
  <c r="AE15" i="17"/>
  <c r="Y16" i="17"/>
  <c r="Z16" i="17"/>
  <c r="AD16" i="17"/>
  <c r="AE16" i="17"/>
  <c r="Y17" i="17"/>
  <c r="Z17" i="17"/>
  <c r="AD17" i="17"/>
  <c r="AE17" i="17"/>
  <c r="Y18" i="17"/>
  <c r="Z18" i="17"/>
  <c r="AD18" i="17"/>
  <c r="AE18" i="17"/>
  <c r="Y19" i="17"/>
  <c r="Z19" i="17"/>
  <c r="AD19" i="17"/>
  <c r="AE19" i="17"/>
  <c r="Y20" i="17"/>
  <c r="Z20" i="17"/>
  <c r="AD20" i="17"/>
  <c r="AE20" i="17"/>
  <c r="Y21" i="17"/>
  <c r="Z21" i="17"/>
  <c r="AD21" i="17"/>
  <c r="AE21" i="17"/>
  <c r="Y22" i="17"/>
  <c r="Z22" i="17"/>
  <c r="AD22" i="17"/>
  <c r="AE22" i="17"/>
  <c r="Y23" i="17"/>
  <c r="Z23" i="17"/>
  <c r="AD23" i="17"/>
  <c r="AE23" i="17"/>
  <c r="Y24" i="17"/>
  <c r="Z24" i="17"/>
  <c r="AD24" i="17"/>
  <c r="AE24" i="17"/>
  <c r="Y25" i="17"/>
  <c r="Z25" i="17"/>
  <c r="AD25" i="17"/>
  <c r="AE25" i="17"/>
  <c r="Y26" i="17"/>
  <c r="Z26" i="17"/>
  <c r="AD26" i="17"/>
  <c r="AE26" i="17"/>
  <c r="Y27" i="17"/>
  <c r="Z27" i="17"/>
  <c r="AD27" i="17"/>
  <c r="AE27" i="17"/>
  <c r="Y28" i="17"/>
  <c r="Z28" i="17"/>
  <c r="AD28" i="17"/>
  <c r="AE28" i="17"/>
  <c r="Y29" i="17"/>
  <c r="Z29" i="17"/>
  <c r="AD29" i="17"/>
  <c r="AE29" i="17"/>
  <c r="Y30" i="17"/>
  <c r="Z30" i="17"/>
  <c r="AD30" i="17"/>
  <c r="AE30" i="17"/>
  <c r="Y31" i="17"/>
  <c r="Z31" i="17"/>
  <c r="AD31" i="17"/>
  <c r="AE31" i="17"/>
  <c r="Y32" i="17"/>
  <c r="Z32" i="17"/>
  <c r="AD32" i="17"/>
  <c r="AE32" i="17"/>
  <c r="Y33" i="17"/>
  <c r="Z33" i="17"/>
  <c r="AD33" i="17"/>
  <c r="AE33" i="17"/>
  <c r="Y34" i="17"/>
  <c r="Z34" i="17"/>
  <c r="AD34" i="17"/>
  <c r="AE34" i="17"/>
  <c r="Y35" i="17"/>
  <c r="Z35" i="17"/>
  <c r="AD35" i="17"/>
  <c r="AE35" i="17"/>
  <c r="Y36" i="17"/>
  <c r="Z36" i="17"/>
  <c r="AD36" i="17"/>
  <c r="AE36" i="17"/>
  <c r="Y37" i="17"/>
  <c r="Z37" i="17"/>
  <c r="AD37" i="17"/>
  <c r="AE37" i="17"/>
  <c r="Y38" i="17"/>
  <c r="Z38" i="17"/>
  <c r="AD38" i="17"/>
  <c r="AE38" i="17"/>
  <c r="Y39" i="17"/>
  <c r="Z39" i="17"/>
  <c r="AD39" i="17"/>
  <c r="AE39" i="17"/>
  <c r="Y40" i="17"/>
  <c r="Z40" i="17"/>
  <c r="AD40" i="17"/>
  <c r="AE40" i="17"/>
  <c r="Y41" i="17"/>
  <c r="Z41" i="17"/>
  <c r="AD41" i="17"/>
  <c r="AE41" i="17"/>
  <c r="Y42" i="17"/>
  <c r="Z42" i="17"/>
  <c r="AD42" i="17"/>
  <c r="AE42" i="17"/>
  <c r="Y43" i="17"/>
  <c r="Z43" i="17"/>
  <c r="AD43" i="17"/>
  <c r="AE43" i="17"/>
  <c r="Y44" i="17"/>
  <c r="Z44" i="17"/>
  <c r="AD44" i="17"/>
  <c r="AE44" i="17"/>
  <c r="Y45" i="17"/>
  <c r="Z45" i="17"/>
  <c r="AD45" i="17"/>
  <c r="AE45" i="17"/>
  <c r="Y46" i="17"/>
  <c r="Z46" i="17"/>
  <c r="AD46" i="17"/>
  <c r="AE46" i="17"/>
  <c r="Y47" i="17"/>
  <c r="Z47" i="17"/>
  <c r="AD47" i="17"/>
  <c r="AE47" i="17"/>
  <c r="Y48" i="17"/>
  <c r="Z48" i="17"/>
  <c r="AD48" i="17"/>
  <c r="AE48" i="17"/>
  <c r="Y49" i="17"/>
  <c r="Z49" i="17"/>
  <c r="AD49" i="17"/>
  <c r="AE49" i="17"/>
  <c r="Y50" i="17"/>
  <c r="Z50" i="17"/>
  <c r="AD50" i="17"/>
  <c r="AE50" i="17"/>
  <c r="Y51" i="17"/>
  <c r="Z51" i="17"/>
  <c r="AD51" i="17"/>
  <c r="AE51" i="17"/>
  <c r="Y52" i="17"/>
  <c r="Z52" i="17"/>
  <c r="AD52" i="17"/>
  <c r="AE52" i="17"/>
  <c r="Y53" i="17"/>
  <c r="Z53" i="17"/>
  <c r="AD53" i="17"/>
  <c r="AE53" i="17"/>
  <c r="Y54" i="17"/>
  <c r="Z54" i="17"/>
  <c r="AD54" i="17"/>
  <c r="AE54" i="17"/>
  <c r="Y55" i="17"/>
  <c r="Z55" i="17"/>
  <c r="AD55" i="17"/>
  <c r="AE55" i="17"/>
  <c r="Y56" i="17"/>
  <c r="Z56" i="17"/>
  <c r="AD56" i="17"/>
  <c r="AE56" i="17"/>
  <c r="Y57" i="17"/>
  <c r="Z57" i="17"/>
  <c r="AD57" i="17"/>
  <c r="AE57" i="17"/>
  <c r="Y58" i="17"/>
  <c r="Z58" i="17"/>
  <c r="AD58" i="17"/>
  <c r="AE58" i="17"/>
  <c r="Y59" i="17"/>
  <c r="Z59" i="17"/>
  <c r="AD59" i="17"/>
  <c r="AE59" i="17"/>
  <c r="Y60" i="17"/>
  <c r="Z60" i="17"/>
  <c r="AD60" i="17"/>
  <c r="AE60" i="17"/>
  <c r="Y61" i="17"/>
  <c r="Z61" i="17"/>
  <c r="AD61" i="17"/>
  <c r="AE61" i="17"/>
  <c r="Y62" i="17"/>
  <c r="AD62" i="17"/>
  <c r="Y63" i="17"/>
  <c r="AD63" i="17"/>
  <c r="Y64" i="17"/>
  <c r="AD64" i="17"/>
  <c r="Y65" i="17"/>
  <c r="AD65" i="17"/>
  <c r="Y66" i="17"/>
  <c r="AD66" i="17"/>
  <c r="Y67" i="17"/>
  <c r="AD67" i="17"/>
  <c r="Y68" i="17"/>
  <c r="AD68" i="17"/>
  <c r="Y69" i="17"/>
  <c r="AD69" i="17"/>
  <c r="Y70" i="17"/>
  <c r="AD70" i="17"/>
  <c r="Y71" i="17"/>
  <c r="AD71" i="17"/>
  <c r="Y72" i="17"/>
  <c r="AD72" i="17"/>
  <c r="Y73" i="17"/>
  <c r="AD73" i="17"/>
  <c r="Y74" i="17"/>
  <c r="AD74" i="17"/>
  <c r="Y75" i="17"/>
  <c r="AD75" i="17"/>
  <c r="Y76" i="17"/>
  <c r="AD76" i="17"/>
  <c r="Y77" i="17"/>
  <c r="AD77" i="17"/>
  <c r="Y78" i="17"/>
  <c r="AD78" i="17"/>
  <c r="Y79" i="17"/>
  <c r="AD79" i="17"/>
  <c r="Y80" i="17"/>
  <c r="AD80" i="17"/>
  <c r="Y81" i="17"/>
  <c r="AD81" i="17"/>
  <c r="Y82" i="17"/>
  <c r="AD82" i="17"/>
  <c r="Y83" i="17"/>
  <c r="AD83" i="17"/>
  <c r="Y84" i="17"/>
  <c r="AD84" i="17"/>
  <c r="Y85" i="17"/>
  <c r="AD85" i="17"/>
  <c r="Y86" i="17"/>
  <c r="AD86" i="17"/>
  <c r="Y87" i="17"/>
  <c r="AD87" i="17"/>
  <c r="Y88" i="17"/>
  <c r="AD88" i="17"/>
  <c r="Y89" i="17"/>
  <c r="AD89" i="17"/>
  <c r="Y90" i="17"/>
  <c r="AD90" i="17"/>
  <c r="Y91" i="17"/>
  <c r="AD91" i="17"/>
  <c r="Y92" i="17"/>
  <c r="AD92" i="17"/>
  <c r="Y93" i="17"/>
  <c r="AD93" i="17"/>
  <c r="Y94" i="17"/>
  <c r="AD94" i="17"/>
  <c r="Y95" i="17"/>
  <c r="AD95" i="17"/>
  <c r="Y96" i="17"/>
  <c r="AD96" i="17"/>
  <c r="Y97" i="17"/>
  <c r="AD97" i="17"/>
  <c r="Y98" i="17"/>
  <c r="AD98" i="17"/>
  <c r="Y99" i="17"/>
  <c r="AD99" i="17"/>
  <c r="Y100" i="17"/>
  <c r="AD100" i="17"/>
  <c r="Y101" i="17"/>
  <c r="AD101" i="17"/>
  <c r="Y102" i="17"/>
  <c r="AD102" i="17"/>
  <c r="Y103" i="17"/>
  <c r="AD103" i="17"/>
  <c r="Y104" i="17"/>
  <c r="AD104" i="17"/>
  <c r="Y105" i="17"/>
  <c r="AD105" i="17"/>
  <c r="Y106" i="17"/>
  <c r="AD106" i="17"/>
  <c r="Y107" i="17"/>
  <c r="AD107" i="17"/>
  <c r="Y108" i="17"/>
  <c r="AD108" i="17"/>
  <c r="Y109" i="17"/>
  <c r="AD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Y122" i="17"/>
  <c r="AD122" i="17"/>
  <c r="Y123" i="17"/>
  <c r="AD123" i="17"/>
  <c r="Y124" i="17"/>
  <c r="AD124" i="17"/>
  <c r="Y125" i="17"/>
  <c r="AD125" i="17"/>
  <c r="Y126" i="17"/>
  <c r="AD126" i="17"/>
  <c r="Y127" i="17"/>
  <c r="AD127" i="17"/>
  <c r="Y128" i="17"/>
  <c r="AD128" i="17"/>
  <c r="Y129" i="17"/>
  <c r="AD129" i="17"/>
  <c r="Y130" i="17"/>
  <c r="AD130" i="17"/>
  <c r="Y131" i="17"/>
  <c r="AD131" i="17"/>
  <c r="Y132" i="17"/>
  <c r="AD132" i="17"/>
  <c r="Y133" i="17"/>
  <c r="AD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Z233" i="17"/>
  <c r="AE233" i="17"/>
  <c r="Z234" i="17"/>
  <c r="AE234" i="17"/>
  <c r="Z235" i="17"/>
  <c r="AE235" i="17"/>
  <c r="Z236" i="17"/>
  <c r="AE236" i="17"/>
  <c r="Z237" i="17"/>
  <c r="AE237" i="17"/>
  <c r="Z238" i="17"/>
  <c r="AE238" i="17"/>
  <c r="Z239" i="17"/>
  <c r="AE239" i="17"/>
  <c r="Z240" i="17"/>
  <c r="AE240" i="17"/>
  <c r="Z241" i="17"/>
  <c r="AE241" i="17"/>
  <c r="Z242" i="17"/>
  <c r="AE242" i="17"/>
  <c r="Z243" i="17"/>
  <c r="AE243" i="17"/>
  <c r="Z244" i="17"/>
  <c r="AE244" i="17"/>
  <c r="Z245" i="17"/>
  <c r="AE245" i="17"/>
  <c r="Z246" i="17"/>
  <c r="AE246" i="17"/>
  <c r="Z247" i="17"/>
  <c r="AE247" i="17"/>
  <c r="Z248" i="17"/>
  <c r="AE248" i="17"/>
  <c r="Z249" i="17"/>
  <c r="AE249" i="17"/>
  <c r="Z250" i="17"/>
  <c r="AE250" i="17"/>
  <c r="Z251" i="17"/>
  <c r="AE251" i="17"/>
  <c r="Z252" i="17"/>
  <c r="AE252" i="17"/>
  <c r="Z253" i="17"/>
  <c r="AE253" i="17"/>
  <c r="Z254" i="17"/>
  <c r="AE254" i="17"/>
  <c r="Z255" i="17"/>
  <c r="AE255" i="17"/>
  <c r="Z256" i="17"/>
  <c r="AE256" i="17"/>
  <c r="Z257" i="17"/>
  <c r="AE257" i="17"/>
  <c r="Z258" i="17"/>
  <c r="AE258" i="17"/>
  <c r="Z259" i="17"/>
  <c r="AE259" i="17"/>
  <c r="Z260" i="17"/>
  <c r="AE260" i="17"/>
  <c r="Z261" i="17"/>
  <c r="AE261" i="17"/>
  <c r="Z262" i="17"/>
  <c r="AE262" i="17"/>
  <c r="Z263" i="17"/>
  <c r="AE263" i="17"/>
  <c r="Z264" i="17"/>
  <c r="AE264" i="17"/>
  <c r="Z265" i="17"/>
  <c r="AE265" i="17"/>
  <c r="Z266" i="17"/>
  <c r="AE266" i="17"/>
  <c r="Z267" i="17"/>
  <c r="AE267" i="17"/>
  <c r="Z268" i="17"/>
  <c r="AE268" i="17"/>
  <c r="Z269" i="17"/>
  <c r="AE269" i="17"/>
  <c r="Z270" i="17"/>
  <c r="AE270" i="17"/>
  <c r="Z271" i="17"/>
  <c r="AE271" i="17"/>
  <c r="Z272" i="17"/>
  <c r="AE272" i="17"/>
  <c r="Z273" i="17"/>
  <c r="AE273" i="17"/>
  <c r="Z274" i="17"/>
  <c r="AE274" i="17"/>
  <c r="Z275" i="17"/>
  <c r="AE275" i="17"/>
  <c r="Z276" i="17"/>
  <c r="AE276" i="17"/>
  <c r="Z277" i="17"/>
  <c r="AE277" i="17"/>
  <c r="Z278" i="17"/>
  <c r="AE278" i="17"/>
  <c r="Z279" i="17"/>
  <c r="AE279" i="17"/>
  <c r="Z280" i="17"/>
  <c r="AE280" i="17"/>
  <c r="Z281" i="17"/>
  <c r="AE281" i="17"/>
  <c r="Z282" i="17"/>
  <c r="AE282" i="17"/>
  <c r="Z283" i="17"/>
  <c r="AE283" i="17"/>
  <c r="Z284" i="17"/>
  <c r="AE284" i="17"/>
  <c r="Z285" i="17"/>
  <c r="AE285" i="17"/>
  <c r="Z286" i="17"/>
  <c r="AE286" i="17"/>
  <c r="Z287" i="17"/>
  <c r="AE287" i="17"/>
  <c r="Z288" i="17"/>
  <c r="AE288" i="17"/>
  <c r="Z289" i="17"/>
  <c r="AE289" i="17"/>
  <c r="Z290" i="17"/>
  <c r="AE290" i="17"/>
  <c r="Z291" i="17"/>
  <c r="AE291" i="17"/>
  <c r="Z292" i="17"/>
  <c r="AE292" i="17"/>
  <c r="Z293" i="17"/>
  <c r="AE293" i="17"/>
  <c r="Z294" i="17"/>
  <c r="AE294" i="17"/>
  <c r="Z295" i="17"/>
  <c r="AE295" i="17"/>
  <c r="Z296" i="17"/>
  <c r="AE296" i="17"/>
  <c r="Z297" i="17"/>
  <c r="AE297" i="17"/>
  <c r="Z298" i="17"/>
  <c r="AE298" i="17"/>
  <c r="Z299" i="17"/>
  <c r="AE299" i="17"/>
  <c r="Z300" i="17"/>
  <c r="AE300" i="17"/>
  <c r="Z301" i="17"/>
  <c r="AE301" i="17"/>
  <c r="Z302" i="17"/>
  <c r="AE302" i="17"/>
  <c r="Z303" i="17"/>
  <c r="AE303" i="17"/>
  <c r="Z304" i="17"/>
  <c r="AE304" i="17"/>
  <c r="Z305" i="17"/>
  <c r="AE305" i="17"/>
  <c r="Z306" i="17"/>
  <c r="AE306" i="17"/>
  <c r="Z307" i="17"/>
  <c r="AE307" i="17"/>
  <c r="Z308" i="17"/>
  <c r="AE308" i="17"/>
  <c r="Z309" i="17"/>
  <c r="AE309" i="17"/>
  <c r="Z310" i="17"/>
  <c r="AE310" i="17"/>
  <c r="Z311" i="17"/>
  <c r="AE311" i="17"/>
  <c r="Z312" i="17"/>
  <c r="AE312" i="17"/>
  <c r="E5" i="24"/>
  <c r="F5" i="24"/>
  <c r="H5" i="24"/>
  <c r="I5" i="24"/>
  <c r="R5" i="24"/>
  <c r="U5" i="24"/>
  <c r="E6" i="24"/>
  <c r="F6" i="24"/>
  <c r="H6" i="24"/>
  <c r="I6" i="24"/>
  <c r="R6" i="24"/>
  <c r="U6" i="24"/>
  <c r="E7" i="24"/>
  <c r="F7" i="24"/>
  <c r="H7" i="24"/>
  <c r="I7" i="24"/>
  <c r="R7" i="24"/>
  <c r="U7" i="24"/>
  <c r="E8" i="24"/>
  <c r="F8" i="24"/>
  <c r="H8" i="24"/>
  <c r="I8" i="24"/>
  <c r="R8" i="24"/>
  <c r="U8" i="24"/>
  <c r="E9" i="24"/>
  <c r="H9" i="24"/>
  <c r="R9" i="24"/>
  <c r="U9" i="24"/>
  <c r="F10" i="24"/>
  <c r="I10" i="24"/>
  <c r="R10" i="24"/>
  <c r="U10" i="24"/>
  <c r="F11" i="24"/>
  <c r="I11" i="24"/>
  <c r="R11" i="24"/>
  <c r="U11" i="24"/>
  <c r="E12" i="24"/>
  <c r="H12" i="24"/>
  <c r="R12" i="24"/>
  <c r="U12" i="24"/>
  <c r="F13" i="24"/>
  <c r="I13" i="24"/>
  <c r="R13" i="24"/>
  <c r="U13" i="24"/>
  <c r="F14" i="24"/>
  <c r="I14" i="24"/>
  <c r="R14" i="24"/>
  <c r="U14" i="24"/>
  <c r="E15" i="24"/>
  <c r="H15" i="24"/>
  <c r="R15" i="24"/>
  <c r="U15" i="24"/>
  <c r="R16" i="24"/>
  <c r="U16" i="24"/>
  <c r="R17" i="24"/>
  <c r="U17" i="24"/>
  <c r="R18" i="24"/>
  <c r="U18" i="24"/>
  <c r="R19" i="24"/>
  <c r="U19" i="24"/>
  <c r="R20" i="24"/>
  <c r="U20" i="24"/>
  <c r="R21" i="24"/>
  <c r="U21" i="24"/>
  <c r="R22" i="24"/>
  <c r="U22" i="24"/>
  <c r="R23" i="24"/>
  <c r="U23" i="24"/>
  <c r="R24" i="24"/>
  <c r="U24" i="24"/>
  <c r="R25" i="24"/>
  <c r="U25" i="24"/>
  <c r="R26" i="24"/>
  <c r="U26" i="24"/>
  <c r="R27" i="24"/>
  <c r="U27" i="24"/>
  <c r="R28" i="24"/>
  <c r="U28" i="24"/>
  <c r="R29" i="24"/>
  <c r="U29" i="24"/>
  <c r="R30" i="24"/>
  <c r="U30" i="24"/>
  <c r="R31" i="24"/>
  <c r="U31" i="24"/>
  <c r="R32" i="24"/>
  <c r="U32" i="24"/>
  <c r="R33" i="24"/>
  <c r="U33" i="24"/>
  <c r="Q34" i="24"/>
  <c r="T34" i="24"/>
  <c r="Q35" i="24"/>
  <c r="T35" i="24"/>
  <c r="N7" i="6"/>
  <c r="AJ7" i="6"/>
  <c r="AK7" i="6"/>
  <c r="N8" i="6"/>
  <c r="AJ8" i="6"/>
  <c r="AK8" i="6"/>
  <c r="N14" i="6"/>
  <c r="AJ14" i="6"/>
  <c r="AK14" i="6"/>
  <c r="N15" i="6"/>
  <c r="AJ15" i="6"/>
  <c r="AK15" i="6"/>
  <c r="N16" i="6"/>
  <c r="AJ16" i="6"/>
  <c r="AK16" i="6"/>
  <c r="N17" i="6"/>
  <c r="AJ17" i="6"/>
  <c r="AK17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2" i="6"/>
  <c r="AJ52" i="6"/>
  <c r="AK52" i="6"/>
  <c r="N53" i="6"/>
  <c r="AJ53" i="6"/>
  <c r="AK53" i="6"/>
  <c r="N54" i="6"/>
  <c r="AJ54" i="6"/>
  <c r="AK54" i="6"/>
  <c r="N58" i="6"/>
  <c r="AJ58" i="6"/>
  <c r="AK58" i="6"/>
  <c r="N63" i="6"/>
  <c r="AJ63" i="6"/>
  <c r="AK63" i="6"/>
  <c r="L66" i="6"/>
  <c r="N66" i="6"/>
  <c r="L67" i="6"/>
  <c r="N67" i="6"/>
  <c r="N68" i="6"/>
  <c r="L69" i="6"/>
  <c r="L70" i="6"/>
  <c r="L71" i="6"/>
  <c r="L72" i="6"/>
  <c r="L73" i="6"/>
  <c r="N5" i="25"/>
  <c r="AB5" i="25"/>
  <c r="AC5" i="25"/>
  <c r="AF5" i="25"/>
  <c r="AG5" i="25"/>
  <c r="N6" i="25"/>
  <c r="AB6" i="25"/>
  <c r="AC6" i="25"/>
  <c r="AF6" i="25"/>
  <c r="AG6" i="25"/>
  <c r="N7" i="25"/>
  <c r="AB7" i="25"/>
  <c r="AC7" i="25"/>
  <c r="AF7" i="25"/>
  <c r="AG7" i="25"/>
  <c r="N8" i="25"/>
  <c r="AB8" i="25"/>
  <c r="AC8" i="25"/>
  <c r="AF8" i="25"/>
  <c r="AG8" i="25"/>
  <c r="N9" i="25"/>
  <c r="AC9" i="25"/>
  <c r="AF9" i="25"/>
  <c r="AG9" i="25"/>
  <c r="N10" i="25"/>
  <c r="AC10" i="25"/>
  <c r="AF10" i="25"/>
  <c r="AG10" i="25"/>
  <c r="N11" i="25"/>
  <c r="AC11" i="25"/>
  <c r="AF11" i="25"/>
  <c r="AG11" i="25"/>
  <c r="N12" i="25"/>
  <c r="AB12" i="25"/>
  <c r="AC12" i="25"/>
  <c r="AF12" i="25"/>
  <c r="AG12" i="25"/>
  <c r="N13" i="25"/>
  <c r="AB13" i="25"/>
  <c r="AC13" i="25"/>
  <c r="AF13" i="25"/>
  <c r="AG13" i="25"/>
  <c r="N14" i="25"/>
  <c r="AB14" i="25"/>
  <c r="AC14" i="25"/>
  <c r="AF14" i="25"/>
  <c r="AG14" i="25"/>
  <c r="N15" i="25"/>
  <c r="AB15" i="25"/>
  <c r="AC15" i="25"/>
  <c r="AF15" i="25"/>
  <c r="AG15" i="25"/>
  <c r="N16" i="25"/>
  <c r="AB16" i="25"/>
  <c r="AC16" i="25"/>
  <c r="AF16" i="25"/>
  <c r="AG16" i="25"/>
  <c r="N17" i="25"/>
  <c r="AB17" i="25"/>
  <c r="AC17" i="25"/>
  <c r="AF17" i="25"/>
  <c r="AG17" i="25"/>
  <c r="N18" i="25"/>
  <c r="AB18" i="25"/>
  <c r="AC18" i="25"/>
  <c r="AF18" i="25"/>
  <c r="AG18" i="25"/>
  <c r="N19" i="25"/>
  <c r="AB19" i="25"/>
  <c r="AC19" i="25"/>
  <c r="AF19" i="25"/>
  <c r="AG19" i="25"/>
  <c r="N20" i="25"/>
  <c r="AB20" i="25"/>
  <c r="AC20" i="25"/>
  <c r="AF20" i="25"/>
  <c r="AG20" i="25"/>
  <c r="N21" i="25"/>
  <c r="AB21" i="25"/>
  <c r="AC21" i="25"/>
  <c r="AF21" i="25"/>
  <c r="AG21" i="25"/>
  <c r="N22" i="25"/>
  <c r="AB22" i="25"/>
  <c r="AC22" i="25"/>
  <c r="AF22" i="25"/>
  <c r="AG22" i="25"/>
  <c r="N23" i="25"/>
  <c r="AB23" i="25"/>
  <c r="AC23" i="25"/>
  <c r="AF23" i="25"/>
  <c r="AG23" i="25"/>
  <c r="N24" i="25"/>
  <c r="AB24" i="25"/>
  <c r="AC24" i="25"/>
  <c r="AF24" i="25"/>
  <c r="AG24" i="25"/>
  <c r="N25" i="25"/>
  <c r="AB25" i="25"/>
  <c r="AC25" i="25"/>
  <c r="AF25" i="25"/>
  <c r="AG25" i="25"/>
  <c r="N26" i="25"/>
  <c r="AB26" i="25"/>
  <c r="AC26" i="25"/>
  <c r="AF26" i="25"/>
  <c r="AG26" i="25"/>
  <c r="N27" i="25"/>
  <c r="AB27" i="25"/>
  <c r="AC27" i="25"/>
  <c r="AF27" i="25"/>
  <c r="AG27" i="25"/>
  <c r="N28" i="25"/>
  <c r="AB28" i="25"/>
  <c r="AC28" i="25"/>
  <c r="AF28" i="25"/>
  <c r="AG28" i="25"/>
  <c r="N29" i="25"/>
  <c r="AB29" i="25"/>
  <c r="AC29" i="25"/>
  <c r="AF29" i="25"/>
  <c r="AG29" i="25"/>
  <c r="N30" i="25"/>
  <c r="AB30" i="25"/>
  <c r="AC30" i="25"/>
  <c r="AF30" i="25"/>
  <c r="AG30" i="25"/>
  <c r="N31" i="25"/>
  <c r="AB31" i="25"/>
  <c r="AC31" i="25"/>
  <c r="AF31" i="25"/>
  <c r="AG31" i="25"/>
  <c r="N32" i="25"/>
  <c r="AB32" i="25"/>
  <c r="AC32" i="25"/>
  <c r="AF32" i="25"/>
  <c r="AG32" i="25"/>
  <c r="N33" i="25"/>
  <c r="AB33" i="25"/>
  <c r="AC33" i="25"/>
  <c r="AF33" i="25"/>
  <c r="AG33" i="25"/>
  <c r="N34" i="25"/>
  <c r="AB34" i="25"/>
  <c r="AC34" i="25"/>
  <c r="AF34" i="25"/>
  <c r="AG34" i="25"/>
  <c r="N35" i="25"/>
  <c r="AB35" i="25"/>
  <c r="AC35" i="25"/>
  <c r="AF35" i="25"/>
  <c r="AG35" i="25"/>
  <c r="N36" i="25"/>
  <c r="AB36" i="25"/>
  <c r="AC36" i="25"/>
  <c r="AF36" i="25"/>
  <c r="AG36" i="25"/>
  <c r="N37" i="25"/>
  <c r="AB37" i="25"/>
  <c r="AC37" i="25"/>
  <c r="AF37" i="25"/>
  <c r="AG37" i="25"/>
  <c r="N38" i="25"/>
  <c r="AB38" i="25"/>
  <c r="AC38" i="25"/>
  <c r="AF38" i="25"/>
  <c r="AG38" i="25"/>
  <c r="N39" i="25"/>
  <c r="AB39" i="25"/>
  <c r="AC39" i="25"/>
  <c r="AF39" i="25"/>
  <c r="AG39" i="25"/>
  <c r="N40" i="25"/>
  <c r="AB40" i="25"/>
  <c r="AC40" i="25"/>
  <c r="AF40" i="25"/>
  <c r="AG40" i="25"/>
  <c r="N41" i="25"/>
  <c r="AB41" i="25"/>
  <c r="AC41" i="25"/>
  <c r="AF41" i="25"/>
  <c r="AG41" i="25"/>
  <c r="N42" i="25"/>
  <c r="AB42" i="25"/>
  <c r="AC42" i="25"/>
  <c r="AF42" i="25"/>
  <c r="AG42" i="25"/>
  <c r="N43" i="25"/>
  <c r="AB43" i="25"/>
  <c r="AC43" i="25"/>
  <c r="AF43" i="25"/>
  <c r="AG43" i="25"/>
  <c r="N44" i="25"/>
  <c r="AB44" i="25"/>
  <c r="AC44" i="25"/>
  <c r="AF44" i="25"/>
  <c r="AG44" i="25"/>
  <c r="N45" i="25"/>
  <c r="AB45" i="25"/>
  <c r="AC45" i="25"/>
  <c r="AF45" i="25"/>
  <c r="AG45" i="25"/>
  <c r="N46" i="25"/>
  <c r="AB46" i="25"/>
  <c r="AC46" i="25"/>
  <c r="AF46" i="25"/>
  <c r="AG46" i="25"/>
  <c r="N47" i="25"/>
  <c r="AB47" i="25"/>
  <c r="AC47" i="25"/>
  <c r="AF47" i="25"/>
  <c r="AG47" i="25"/>
  <c r="N48" i="25"/>
  <c r="AB48" i="25"/>
  <c r="AC48" i="25"/>
  <c r="AF48" i="25"/>
  <c r="AG48" i="25"/>
  <c r="N49" i="25"/>
  <c r="AB49" i="25"/>
  <c r="AC49" i="25"/>
  <c r="AF49" i="25"/>
  <c r="AG49" i="25"/>
  <c r="N50" i="25"/>
  <c r="AB50" i="25"/>
  <c r="AC50" i="25"/>
  <c r="AF50" i="25"/>
  <c r="AG50" i="25"/>
  <c r="N51" i="25"/>
  <c r="AB51" i="25"/>
  <c r="AC51" i="25"/>
  <c r="AF51" i="25"/>
  <c r="AG51" i="25"/>
  <c r="N52" i="25"/>
  <c r="AB52" i="25"/>
  <c r="AC52" i="25"/>
  <c r="AF52" i="25"/>
  <c r="AG52" i="25"/>
  <c r="N53" i="25"/>
  <c r="AB53" i="25"/>
  <c r="AC53" i="25"/>
  <c r="AF53" i="25"/>
  <c r="AG53" i="25"/>
  <c r="N54" i="25"/>
  <c r="AB54" i="25"/>
  <c r="AC54" i="25"/>
  <c r="AF54" i="25"/>
  <c r="AG54" i="25"/>
  <c r="N60" i="25"/>
  <c r="AB60" i="25"/>
  <c r="AC60" i="25"/>
  <c r="AF60" i="25"/>
  <c r="AG60" i="25"/>
  <c r="N61" i="25"/>
  <c r="AB61" i="25"/>
  <c r="AC61" i="25"/>
  <c r="AF61" i="25"/>
  <c r="AG61" i="25"/>
  <c r="N62" i="25"/>
  <c r="AB62" i="25"/>
  <c r="AC62" i="25"/>
  <c r="AF62" i="25"/>
  <c r="AG62" i="25"/>
  <c r="N63" i="25"/>
  <c r="AB63" i="25"/>
  <c r="AC63" i="25"/>
  <c r="AF63" i="25"/>
  <c r="AG63" i="25"/>
  <c r="N64" i="25"/>
  <c r="AC64" i="25"/>
  <c r="AF64" i="25"/>
  <c r="AG64" i="25"/>
  <c r="N65" i="25"/>
  <c r="AC65" i="25"/>
  <c r="AF65" i="25"/>
  <c r="AG65" i="25"/>
  <c r="N66" i="25"/>
  <c r="AC66" i="25"/>
  <c r="AF66" i="25"/>
  <c r="AG66" i="25"/>
  <c r="N67" i="25"/>
  <c r="AB67" i="25"/>
  <c r="AC67" i="25"/>
  <c r="AF67" i="25"/>
  <c r="AG67" i="25"/>
  <c r="N68" i="25"/>
  <c r="AB68" i="25"/>
  <c r="AC68" i="25"/>
  <c r="AF68" i="25"/>
  <c r="AG68" i="25"/>
  <c r="N69" i="25"/>
  <c r="AB69" i="25"/>
  <c r="AC69" i="25"/>
  <c r="AF69" i="25"/>
  <c r="AG69" i="25"/>
  <c r="N70" i="25"/>
  <c r="AB70" i="25"/>
  <c r="AC70" i="25"/>
  <c r="AF70" i="25"/>
  <c r="AG70" i="25"/>
  <c r="N71" i="25"/>
  <c r="AB71" i="25"/>
  <c r="AC71" i="25"/>
  <c r="AF71" i="25"/>
  <c r="AG71" i="25"/>
  <c r="N72" i="25"/>
  <c r="AB72" i="25"/>
  <c r="AC72" i="25"/>
  <c r="AF72" i="25"/>
  <c r="AG72" i="25"/>
  <c r="N73" i="25"/>
  <c r="AB73" i="25"/>
  <c r="AC73" i="25"/>
  <c r="AF73" i="25"/>
  <c r="AG73" i="25"/>
  <c r="N74" i="25"/>
  <c r="AB74" i="25"/>
  <c r="AC74" i="25"/>
  <c r="AF74" i="25"/>
  <c r="AG74" i="25"/>
  <c r="N75" i="25"/>
  <c r="AB75" i="25"/>
  <c r="AC75" i="25"/>
  <c r="AF75" i="25"/>
  <c r="AG75" i="25"/>
  <c r="N76" i="25"/>
  <c r="AB76" i="25"/>
  <c r="AC76" i="25"/>
  <c r="AF76" i="25"/>
  <c r="AG76" i="25"/>
  <c r="N77" i="25"/>
  <c r="AB77" i="25"/>
  <c r="AC77" i="25"/>
  <c r="AF77" i="25"/>
  <c r="AG77" i="25"/>
  <c r="N78" i="25"/>
  <c r="AB78" i="25"/>
  <c r="AC78" i="25"/>
  <c r="AF78" i="25"/>
  <c r="AG78" i="25"/>
  <c r="N79" i="25"/>
  <c r="AB79" i="25"/>
  <c r="AC79" i="25"/>
  <c r="AF79" i="25"/>
  <c r="AG79" i="25"/>
  <c r="N80" i="25"/>
  <c r="AB80" i="25"/>
  <c r="AC80" i="25"/>
  <c r="AF80" i="25"/>
  <c r="AG80" i="25"/>
  <c r="N81" i="25"/>
  <c r="AB81" i="25"/>
  <c r="AC81" i="25"/>
  <c r="AF81" i="25"/>
  <c r="AG81" i="25"/>
  <c r="N82" i="25"/>
  <c r="AB82" i="25"/>
  <c r="AC82" i="25"/>
  <c r="AF82" i="25"/>
  <c r="AG82" i="25"/>
  <c r="N83" i="25"/>
  <c r="AB83" i="25"/>
  <c r="AC83" i="25"/>
  <c r="AF83" i="25"/>
  <c r="AG83" i="25"/>
  <c r="N84" i="25"/>
  <c r="AB84" i="25"/>
  <c r="AC84" i="25"/>
  <c r="AF84" i="25"/>
  <c r="AG84" i="25"/>
  <c r="N85" i="25"/>
  <c r="AB85" i="25"/>
  <c r="AC85" i="25"/>
  <c r="AF85" i="25"/>
  <c r="AG85" i="25"/>
  <c r="N86" i="25"/>
  <c r="AB86" i="25"/>
  <c r="AC86" i="25"/>
  <c r="AF86" i="25"/>
  <c r="AG86" i="25"/>
  <c r="N87" i="25"/>
  <c r="AB87" i="25"/>
  <c r="AC87" i="25"/>
  <c r="AF87" i="25"/>
  <c r="AG87" i="25"/>
  <c r="N88" i="25"/>
  <c r="AB88" i="25"/>
  <c r="AC88" i="25"/>
  <c r="AF88" i="25"/>
  <c r="AG88" i="25"/>
  <c r="N89" i="25"/>
  <c r="AB89" i="25"/>
  <c r="AC89" i="25"/>
  <c r="AF89" i="25"/>
  <c r="AG89" i="25"/>
  <c r="N90" i="25"/>
  <c r="AB90" i="25"/>
  <c r="AC90" i="25"/>
  <c r="AF90" i="25"/>
  <c r="AG90" i="25"/>
  <c r="N91" i="25"/>
  <c r="AB91" i="25"/>
  <c r="AC91" i="25"/>
  <c r="AF91" i="25"/>
  <c r="AG91" i="25"/>
  <c r="N92" i="25"/>
  <c r="AB92" i="25"/>
  <c r="AC92" i="25"/>
  <c r="AF92" i="25"/>
  <c r="AG92" i="25"/>
  <c r="N93" i="25"/>
  <c r="AB93" i="25"/>
  <c r="AC93" i="25"/>
  <c r="AF93" i="25"/>
  <c r="AG93" i="25"/>
  <c r="N94" i="25"/>
  <c r="AB94" i="25"/>
  <c r="AC94" i="25"/>
  <c r="AF94" i="25"/>
  <c r="AG94" i="25"/>
  <c r="N95" i="25"/>
  <c r="AB95" i="25"/>
  <c r="AC95" i="25"/>
  <c r="AF95" i="25"/>
  <c r="AG95" i="25"/>
  <c r="N96" i="25"/>
  <c r="AB96" i="25"/>
  <c r="AC96" i="25"/>
  <c r="AF96" i="25"/>
  <c r="AG96" i="25"/>
  <c r="N97" i="25"/>
  <c r="AB97" i="25"/>
  <c r="AC97" i="25"/>
  <c r="AF97" i="25"/>
  <c r="AG97" i="25"/>
  <c r="N98" i="25"/>
  <c r="AB98" i="25"/>
  <c r="AC98" i="25"/>
  <c r="AF98" i="25"/>
  <c r="AG98" i="25"/>
  <c r="N99" i="25"/>
  <c r="AB99" i="25"/>
  <c r="AC99" i="25"/>
  <c r="AF99" i="25"/>
  <c r="AG99" i="25"/>
  <c r="N100" i="25"/>
  <c r="AB100" i="25"/>
  <c r="AC100" i="25"/>
  <c r="AF100" i="25"/>
  <c r="AG100" i="25"/>
  <c r="N101" i="25"/>
  <c r="AB101" i="25"/>
  <c r="AC101" i="25"/>
  <c r="AF101" i="25"/>
  <c r="AG101" i="25"/>
  <c r="N102" i="25"/>
  <c r="AB102" i="25"/>
  <c r="AC102" i="25"/>
  <c r="AF102" i="25"/>
  <c r="AG102" i="25"/>
  <c r="N103" i="25"/>
  <c r="AB103" i="25"/>
  <c r="AC103" i="25"/>
  <c r="AF103" i="25"/>
  <c r="AG103" i="25"/>
  <c r="N104" i="25"/>
  <c r="AB104" i="25"/>
  <c r="AC104" i="25"/>
  <c r="AF104" i="25"/>
  <c r="AG104" i="25"/>
  <c r="N105" i="25"/>
  <c r="AB105" i="25"/>
  <c r="AC105" i="25"/>
  <c r="AF105" i="25"/>
  <c r="AG105" i="25"/>
  <c r="N106" i="25"/>
  <c r="AB106" i="25"/>
  <c r="AC106" i="25"/>
  <c r="AF106" i="25"/>
  <c r="AG106" i="25"/>
  <c r="N107" i="25"/>
  <c r="AB107" i="25"/>
  <c r="AC107" i="25"/>
  <c r="AF107" i="25"/>
  <c r="AG107" i="25"/>
  <c r="N108" i="25"/>
  <c r="AB108" i="25"/>
  <c r="AC108" i="25"/>
  <c r="AF108" i="25"/>
  <c r="AG108" i="25"/>
  <c r="N109" i="25"/>
  <c r="AB109" i="25"/>
  <c r="AC109" i="25"/>
  <c r="AF109" i="25"/>
  <c r="AG109" i="25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2" i="7"/>
  <c r="T52" i="7"/>
  <c r="AJ52" i="7"/>
  <c r="AK52" i="7"/>
  <c r="AL52" i="7"/>
  <c r="AM52" i="7"/>
  <c r="N53" i="7"/>
  <c r="T53" i="7"/>
  <c r="AJ53" i="7"/>
  <c r="AK53" i="7"/>
  <c r="AL53" i="7"/>
  <c r="AM53" i="7"/>
  <c r="N54" i="7"/>
  <c r="T54" i="7"/>
  <c r="AJ54" i="7"/>
  <c r="AK54" i="7"/>
  <c r="AL54" i="7"/>
  <c r="AM54" i="7"/>
  <c r="N56" i="7"/>
  <c r="T56" i="7"/>
  <c r="AJ56" i="7"/>
  <c r="AK56" i="7"/>
  <c r="AL56" i="7"/>
  <c r="AM56" i="7"/>
  <c r="N61" i="7"/>
  <c r="AE61" i="7"/>
  <c r="AF61" i="7"/>
  <c r="AJ61" i="7"/>
  <c r="AK61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F9" i="8"/>
  <c r="AG9" i="8"/>
  <c r="AJ9" i="8"/>
  <c r="AK9" i="8"/>
  <c r="AL9" i="8"/>
  <c r="AM9" i="8"/>
  <c r="AP9" i="8"/>
  <c r="N10" i="8"/>
  <c r="T10" i="8"/>
  <c r="AF10" i="8"/>
  <c r="AG10" i="8"/>
  <c r="AJ10" i="8"/>
  <c r="AK10" i="8"/>
  <c r="AL10" i="8"/>
  <c r="AM10" i="8"/>
  <c r="AP10" i="8"/>
  <c r="N11" i="8"/>
  <c r="T11" i="8"/>
  <c r="AF11" i="8"/>
  <c r="AG11" i="8"/>
  <c r="AJ11" i="8"/>
  <c r="AK11" i="8"/>
  <c r="AL11" i="8"/>
  <c r="AM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2" i="8"/>
  <c r="T52" i="8"/>
  <c r="AE52" i="8"/>
  <c r="AF52" i="8"/>
  <c r="AG52" i="8"/>
  <c r="AJ52" i="8"/>
  <c r="AK52" i="8"/>
  <c r="AL52" i="8"/>
  <c r="AM52" i="8"/>
  <c r="AO52" i="8"/>
  <c r="AP52" i="8"/>
  <c r="N53" i="8"/>
  <c r="T53" i="8"/>
  <c r="AE53" i="8"/>
  <c r="AF53" i="8"/>
  <c r="AG53" i="8"/>
  <c r="AJ53" i="8"/>
  <c r="AK53" i="8"/>
  <c r="AL53" i="8"/>
  <c r="AM53" i="8"/>
  <c r="AO53" i="8"/>
  <c r="AP53" i="8"/>
  <c r="N54" i="8"/>
  <c r="T54" i="8"/>
  <c r="AE54" i="8"/>
  <c r="AF54" i="8"/>
  <c r="AG54" i="8"/>
  <c r="AJ54" i="8"/>
  <c r="AK54" i="8"/>
  <c r="AL54" i="8"/>
  <c r="AM54" i="8"/>
  <c r="AO54" i="8"/>
  <c r="AP54" i="8"/>
  <c r="N56" i="8"/>
  <c r="T56" i="8"/>
  <c r="AE56" i="8"/>
  <c r="AF56" i="8"/>
  <c r="AG56" i="8"/>
  <c r="AJ56" i="8"/>
  <c r="AK56" i="8"/>
  <c r="AL56" i="8"/>
  <c r="AM56" i="8"/>
  <c r="AO56" i="8"/>
  <c r="AP56" i="8"/>
  <c r="AO58" i="8"/>
  <c r="AP58" i="8"/>
  <c r="AE61" i="8"/>
  <c r="AF61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F9" i="9"/>
  <c r="AG9" i="9"/>
  <c r="AJ9" i="9"/>
  <c r="AK9" i="9"/>
  <c r="AL9" i="9"/>
  <c r="AM9" i="9"/>
  <c r="AP9" i="9"/>
  <c r="N10" i="9"/>
  <c r="T10" i="9"/>
  <c r="AF10" i="9"/>
  <c r="AG10" i="9"/>
  <c r="AJ10" i="9"/>
  <c r="AK10" i="9"/>
  <c r="AL10" i="9"/>
  <c r="AM10" i="9"/>
  <c r="AP10" i="9"/>
  <c r="N11" i="9"/>
  <c r="T11" i="9"/>
  <c r="AF11" i="9"/>
  <c r="AG11" i="9"/>
  <c r="AJ11" i="9"/>
  <c r="AK11" i="9"/>
  <c r="AL11" i="9"/>
  <c r="AM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2" i="9"/>
  <c r="T52" i="9"/>
  <c r="AE52" i="9"/>
  <c r="AF52" i="9"/>
  <c r="AG52" i="9"/>
  <c r="AJ52" i="9"/>
  <c r="AK52" i="9"/>
  <c r="AL52" i="9"/>
  <c r="AM52" i="9"/>
  <c r="AO52" i="9"/>
  <c r="AP52" i="9"/>
  <c r="N53" i="9"/>
  <c r="T53" i="9"/>
  <c r="AE53" i="9"/>
  <c r="AF53" i="9"/>
  <c r="AG53" i="9"/>
  <c r="AJ53" i="9"/>
  <c r="AK53" i="9"/>
  <c r="AL53" i="9"/>
  <c r="AM53" i="9"/>
  <c r="AO53" i="9"/>
  <c r="AP53" i="9"/>
  <c r="N54" i="9"/>
  <c r="T54" i="9"/>
  <c r="AE54" i="9"/>
  <c r="AF54" i="9"/>
  <c r="AG54" i="9"/>
  <c r="AJ54" i="9"/>
  <c r="AK54" i="9"/>
  <c r="AL54" i="9"/>
  <c r="AM54" i="9"/>
  <c r="AO54" i="9"/>
  <c r="AP54" i="9"/>
  <c r="N56" i="9"/>
  <c r="T56" i="9"/>
  <c r="AE56" i="9"/>
  <c r="AF56" i="9"/>
  <c r="AG56" i="9"/>
  <c r="AJ56" i="9"/>
  <c r="AK56" i="9"/>
  <c r="AL56" i="9"/>
  <c r="AM56" i="9"/>
  <c r="AO56" i="9"/>
  <c r="AP56" i="9"/>
  <c r="AO58" i="9"/>
  <c r="AP5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A021424C-E836-46C3-B8AE-5C5DBC02115F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8F47A-7402-4AE8-AFDD-9ACEA2DF50DC}" name="Conexão" type="7" refreshedVersion="8" background="1" saveData="1"/>
  <connection id="2" xr16:uid="{3181797D-5072-40EC-8C08-C42E219E56B6}" name="Conexão1" type="7" refreshedVersion="8" background="1" saveData="1"/>
  <connection id="3" xr16:uid="{AA8374C2-810F-413A-BCF1-E812BC008FE5}" name="Conexão2" type="7" refreshedVersion="8" background="1" saveData="1"/>
</connections>
</file>

<file path=xl/sharedStrings.xml><?xml version="1.0" encoding="utf-8"?>
<sst xmlns="http://schemas.openxmlformats.org/spreadsheetml/2006/main" count="28710" uniqueCount="1150">
  <si>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</si>
  <si>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</si>
  <si>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</si>
  <si>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</si>
  <si>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</si>
  <si>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</si>
  <si>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</si>
  <si>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</si>
  <si>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</si>
  <si>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</si>
  <si>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</si>
  <si>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</si>
  <si>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</si>
  <si>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</si>
  <si>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</si>
  <si>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</si>
  <si>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</si>
  <si>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</si>
  <si>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</si>
  <si>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</si>
  <si>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</si>
  <si>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</si>
  <si>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</si>
  <si>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</si>
  <si>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</si>
  <si>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</si>
  <si>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</si>
  <si>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</si>
  <si>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</si>
  <si>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</si>
  <si>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</si>
  <si>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</si>
  <si>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</si>
  <si>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</si>
  <si>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</si>
  <si>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</si>
  <si>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</si>
  <si>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</si>
  <si>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</si>
  <si>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</si>
  <si>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</si>
  <si>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</si>
  <si>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</si>
  <si>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</si>
  <si>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</si>
  <si>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</si>
  <si>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</si>
  <si>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</si>
  <si>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Azul</t>
  </si>
  <si>
    <t>Consumo próprio</t>
  </si>
  <si>
    <t>Agropecuária rural</t>
  </si>
  <si>
    <t>IRRIG./AQUIC.</t>
  </si>
  <si>
    <t>IRRIG./AQUIC. PR</t>
  </si>
  <si>
    <t>Aquicultura</t>
  </si>
  <si>
    <t>APE</t>
  </si>
  <si>
    <t>LIVRE APE</t>
  </si>
  <si>
    <t>Distribuição</t>
  </si>
  <si>
    <t>&lt;500</t>
  </si>
  <si>
    <t>Ceral Anitápolis</t>
  </si>
  <si>
    <t>SUPRIMENTO</t>
  </si>
  <si>
    <t>Geração</t>
  </si>
  <si>
    <t>SÃO MAURÍCIO</t>
  </si>
  <si>
    <t>GERAÇÃO</t>
  </si>
  <si>
    <t>CGH WIGGERSWIGGERS</t>
  </si>
  <si>
    <t>RIO CHAPÉU</t>
  </si>
  <si>
    <t>CGH TEODORO SCHLICKMANN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</si>
  <si>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</si>
  <si>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</si>
  <si>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</si>
  <si>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</si>
  <si>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</si>
  <si>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</si>
  <si>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</si>
  <si>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</si>
  <si>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</si>
  <si>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</si>
  <si>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</si>
  <si>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</si>
  <si>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</si>
  <si>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</si>
  <si>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</si>
  <si>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</si>
  <si>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</si>
  <si>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</si>
  <si>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</si>
  <si>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suprimento concessionária</t>
  </si>
  <si>
    <t>&lt;500GWh</t>
  </si>
  <si>
    <t>E</t>
  </si>
  <si>
    <t>kW</t>
  </si>
  <si>
    <t>DP</t>
  </si>
  <si>
    <t>DFP</t>
  </si>
  <si>
    <t>Energia suprimento permissionária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</si>
  <si>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</si>
  <si>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</si>
  <si>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</si>
  <si>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</si>
  <si>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</si>
  <si>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</si>
  <si>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</si>
  <si>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</si>
  <si>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</si>
  <si>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</si>
  <si>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</si>
  <si>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</si>
  <si>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</si>
  <si>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</si>
  <si>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</si>
  <si>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</si>
  <si>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</si>
  <si>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</si>
  <si>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</si>
  <si>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</si>
  <si>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</si>
  <si>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</si>
  <si>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</si>
  <si>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</si>
  <si>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</si>
  <si>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</si>
  <si>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</si>
  <si>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</si>
  <si>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</si>
  <si>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</si>
  <si>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</si>
  <si>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</si>
  <si>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</si>
  <si>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</si>
  <si>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</si>
  <si>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</si>
  <si>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44440A4DistribuiçãoNão se aplicaNão se aplicaNão se aplicaCeral AnitápolisFora ponta</t>
  </si>
  <si>
    <t>44470A4DistribuiçãoNão se aplicaNão se aplicaNão se aplicaCeral AnitápolisFora ponta</t>
  </si>
  <si>
    <t>44501A4DistribuiçãoNão se aplicaNão se aplicaNão se aplicaCeral AnitápolisFora ponta</t>
  </si>
  <si>
    <t>44531A4DistribuiçãoNão se aplicaNão se aplicaNão se aplicaCeral AnitápolisFora ponta</t>
  </si>
  <si>
    <t>44562A4DistribuiçãoNão se aplicaNão se aplicaNão se aplicaCeral AnitápolisFora ponta</t>
  </si>
  <si>
    <t>44593A4DistribuiçãoNão se aplicaNão se aplicaNão se aplicaCeral AnitápolisFora ponta</t>
  </si>
  <si>
    <t>44621A4DistribuiçãoNão se aplicaNão se aplicaNão se aplicaCeral AnitápolisFora ponta</t>
  </si>
  <si>
    <t>44652A4DistribuiçãoNão se aplicaNão se aplicaNão se aplicaCeral AnitápolisFora ponta</t>
  </si>
  <si>
    <t>44682A4DistribuiçãoNão se aplicaNão se aplicaNão se aplicaCeral AnitápolisFora ponta</t>
  </si>
  <si>
    <t>44713A4DistribuiçãoNão se aplicaNão se aplicaNão se aplicaCeral AnitápolisFora ponta</t>
  </si>
  <si>
    <t>44743A4DistribuiçãoNão se aplicaNão se aplicaNão se aplicaCeral AnitápolisFora ponta</t>
  </si>
  <si>
    <t>44774A4DistribuiçãoNão se aplicaNão se aplicaNão se aplicaCeral AnitápolisFora ponta</t>
  </si>
  <si>
    <t>44440A4DistribuiçãoNão se aplicaNão se aplicaNão se aplicaCeral AnitápolisNão se aplica</t>
  </si>
  <si>
    <t>44470A4DistribuiçãoNão se aplicaNão se aplicaNão se aplicaCeral AnitápolisNão se aplica</t>
  </si>
  <si>
    <t>44501A4DistribuiçãoNão se aplicaNão se aplicaNão se aplicaCeral AnitápolisNão se aplica</t>
  </si>
  <si>
    <t>44531A4DistribuiçãoNão se aplicaNão se aplicaNão se aplicaCeral AnitápolisNão se aplica</t>
  </si>
  <si>
    <t>44562A4DistribuiçãoNão se aplicaNão se aplicaNão se aplicaCeral AnitápolisNão se aplica</t>
  </si>
  <si>
    <t>44593A4DistribuiçãoNão se aplicaNão se aplicaNão se aplicaCeral AnitápolisNão se aplica</t>
  </si>
  <si>
    <t>44621A4DistribuiçãoNão se aplicaNão se aplicaNão se aplicaCeral AnitápolisNão se aplica</t>
  </si>
  <si>
    <t>44652A4DistribuiçãoNão se aplicaNão se aplicaNão se aplicaCeral AnitápolisNão se aplica</t>
  </si>
  <si>
    <t>44682A4DistribuiçãoNão se aplicaNão se aplicaNão se aplicaCeral AnitápolisNão se aplica</t>
  </si>
  <si>
    <t>44713A4DistribuiçãoNão se aplicaNão se aplicaNão se aplicaCeral AnitápolisNão se aplica</t>
  </si>
  <si>
    <t>44743A4DistribuiçãoNão se aplicaNão se aplicaNão se aplicaCeral AnitápolisNão se aplica</t>
  </si>
  <si>
    <t>44774A4DistribuiçãoNão se aplicaNão se aplicaNão se aplicaCeral AnitápolisNão se aplica</t>
  </si>
  <si>
    <t>44440A4DistribuiçãoNão se aplicaNão se aplicaNão se aplicaCeral AnitápolisPonta</t>
  </si>
  <si>
    <t>44470A4DistribuiçãoNão se aplicaNão se aplicaNão se aplicaCeral AnitápolisPonta</t>
  </si>
  <si>
    <t>44501A4DistribuiçãoNão se aplicaNão se aplicaNão se aplicaCeral AnitápolisPonta</t>
  </si>
  <si>
    <t>44531A4DistribuiçãoNão se aplicaNão se aplicaNão se aplicaCeral AnitápolisPonta</t>
  </si>
  <si>
    <t>44562A4DistribuiçãoNão se aplicaNão se aplicaNão se aplicaCeral AnitápolisPonta</t>
  </si>
  <si>
    <t>44593A4DistribuiçãoNão se aplicaNão se aplicaNão se aplicaCeral AnitápolisPonta</t>
  </si>
  <si>
    <t>44621A4DistribuiçãoNão se aplicaNão se aplicaNão se aplicaCeral AnitápolisPonta</t>
  </si>
  <si>
    <t>44652A4DistribuiçãoNão se aplicaNão se aplicaNão se aplicaCeral AnitápolisPonta</t>
  </si>
  <si>
    <t>44682A4DistribuiçãoNão se aplicaNão se aplicaNão se aplicaCeral AnitápolisPonta</t>
  </si>
  <si>
    <t>44713A4DistribuiçãoNão se aplicaNão se aplicaNão se aplicaCeral AnitápolisPonta</t>
  </si>
  <si>
    <t>44743A4DistribuiçãoNão se aplicaNão se aplicaNão se aplicaCeral AnitápolisPonta</t>
  </si>
  <si>
    <t>44774A4DistribuiçãoNão se aplicaNão se aplicaNão se aplicaCeral AnitápolisPonta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</si>
  <si>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</si>
  <si>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</si>
  <si>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</si>
  <si>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</si>
  <si>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</si>
  <si>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</si>
  <si>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</si>
  <si>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</si>
  <si>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</si>
  <si>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</si>
  <si>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44743A4GeraçãoNão se aplicaNão se aplicaNão se aplicaNão se aplicaNão se aplica</t>
  </si>
  <si>
    <t>44774A4GeraçãoNão se aplicaNão se aplicaNão se aplicaNão se aplicaNão se aplica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</si>
  <si>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</si>
  <si>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</si>
  <si>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</si>
  <si>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</si>
  <si>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</si>
  <si>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</si>
  <si>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</si>
  <si>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</si>
  <si>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</si>
  <si>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</si>
  <si>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</si>
  <si>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</si>
  <si>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</si>
  <si>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</si>
  <si>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</si>
  <si>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</si>
  <si>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</si>
  <si>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</si>
  <si>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</si>
  <si>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</si>
  <si>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</si>
  <si>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</si>
  <si>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</si>
  <si>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</si>
  <si>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</si>
  <si>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</si>
  <si>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</si>
  <si>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</si>
  <si>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</si>
  <si>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</si>
  <si>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</si>
  <si>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</si>
  <si>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</si>
  <si>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</si>
  <si>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</si>
  <si>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</si>
  <si>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44440A4VerdeNão se aplicaNão se aplicaAPENão se aplicaFora ponta</t>
  </si>
  <si>
    <t>44470A4VerdeNão se aplicaNão se aplicaAPENão se aplicaFora ponta</t>
  </si>
  <si>
    <t>44501A4VerdeNão se aplicaNão se aplicaAPENão se aplicaFora ponta</t>
  </si>
  <si>
    <t>44531A4VerdeNão se aplicaNão se aplicaAPENão se aplicaFora ponta</t>
  </si>
  <si>
    <t>44562A4VerdeNão se aplicaNão se aplicaAPENão se aplicaFora ponta</t>
  </si>
  <si>
    <t>44593A4VerdeNão se aplicaNão se aplicaAPENão se aplicaFora ponta</t>
  </si>
  <si>
    <t>44621A4VerdeNão se aplicaNão se aplicaAPENão se aplicaFora ponta</t>
  </si>
  <si>
    <t>44652A4VerdeNão se aplicaNão se aplicaAPENão se aplicaFora ponta</t>
  </si>
  <si>
    <t>44682A4VerdeNão se aplicaNão se aplicaAPENão se aplicaFora ponta</t>
  </si>
  <si>
    <t>44713A4VerdeNão se aplicaNão se aplicaAPENão se aplicaFora ponta</t>
  </si>
  <si>
    <t>44743A4VerdeNão se aplicaNão se aplicaAPENão se aplicaFora ponta</t>
  </si>
  <si>
    <t>44774A4VerdeNão se aplicaNão se aplicaAPENão se aplicaFora ponta</t>
  </si>
  <si>
    <t>44531A4VerdeNão se aplicaNão se aplicaAPENão se aplicaPonta</t>
  </si>
  <si>
    <t>44562A4VerdeNão se aplicaNão se aplicaAPENão se aplicaPonta</t>
  </si>
  <si>
    <t>44621A4VerdeNão se aplicaNão se aplicaAPENão se aplicaPonta</t>
  </si>
  <si>
    <t>44682A4VerdeNão se aplicaNão se aplicaAPENão se aplicaPonta</t>
  </si>
  <si>
    <t>44743A4VerdeNão se aplicaNão se aplicaAPENão se aplicaPonta</t>
  </si>
  <si>
    <t>44774A4VerdeNão se aplicaNão se aplicaAPENão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</si>
  <si>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</si>
  <si>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</si>
  <si>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</si>
  <si>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</si>
  <si>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</si>
  <si>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</si>
  <si>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</si>
  <si>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</si>
  <si>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</si>
  <si>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</si>
  <si>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</si>
  <si>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</si>
  <si>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</si>
  <si>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</si>
  <si>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</si>
  <si>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</si>
  <si>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</si>
  <si>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</si>
  <si>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</si>
  <si>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</si>
  <si>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</si>
  <si>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</si>
  <si>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</si>
  <si>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</si>
  <si>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</si>
  <si>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</si>
  <si>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</si>
  <si>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</si>
  <si>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</si>
  <si>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</si>
  <si>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</si>
  <si>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</si>
  <si>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</si>
  <si>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</si>
  <si>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</si>
  <si>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</si>
  <si>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</si>
  <si>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</si>
  <si>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</si>
  <si>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</si>
  <si>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</si>
  <si>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</si>
  <si>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</si>
  <si>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</si>
  <si>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</si>
  <si>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</si>
  <si>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</si>
  <si>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</si>
  <si>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</si>
  <si>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</si>
  <si>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</si>
  <si>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</si>
  <si>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</si>
  <si>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</si>
  <si>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</si>
  <si>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</si>
  <si>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</si>
  <si>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</si>
  <si>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</si>
  <si>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</si>
  <si>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</si>
  <si>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</si>
  <si>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</si>
  <si>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</si>
  <si>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</si>
  <si>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</si>
  <si>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</si>
  <si>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</si>
  <si>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</si>
  <si>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</si>
  <si>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</si>
  <si>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</si>
  <si>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</si>
  <si>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</si>
  <si>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</si>
  <si>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</si>
  <si>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</si>
  <si>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</si>
  <si>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</si>
  <si>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</si>
  <si>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</si>
  <si>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</si>
  <si>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</si>
  <si>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</si>
  <si>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</si>
  <si>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</si>
  <si>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</si>
  <si>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</si>
  <si>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</si>
  <si>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</si>
  <si>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</si>
  <si>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</si>
  <si>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</si>
  <si>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</si>
  <si>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</si>
  <si>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</si>
  <si>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</si>
  <si>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</si>
  <si>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</si>
  <si>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</si>
  <si>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</si>
  <si>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</si>
  <si>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</si>
  <si>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</si>
  <si>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</si>
  <si>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</si>
  <si>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</si>
  <si>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</si>
  <si>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</si>
  <si>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</si>
  <si>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</si>
  <si>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</si>
  <si>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</si>
  <si>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</si>
  <si>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</si>
  <si>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</si>
  <si>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</si>
  <si>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</si>
  <si>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</si>
  <si>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</si>
  <si>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</si>
  <si>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44440A4Energia suprimento permissionáriaNão se aplicaNão se aplica&lt;500GWhNão se aplicaNão se aplica</t>
  </si>
  <si>
    <t>44470A4Energia suprimento permissionáriaNão se aplicaNão se aplica&lt;500GWhNão se aplicaNão se aplica</t>
  </si>
  <si>
    <t>44501A4Energia suprimento permissionáriaNão se aplicaNão se aplica&lt;500GWhNão se aplicaNão se aplica</t>
  </si>
  <si>
    <t>44531A4Energia suprimento permissionáriaNão se aplicaNão se aplica&lt;500GWhNão se aplicaNão se aplica</t>
  </si>
  <si>
    <t>44562A4Energia suprimento permissionáriaNão se aplicaNão se aplica&lt;500GWhNão se aplicaNão se aplica</t>
  </si>
  <si>
    <t>44593A4Energia suprimento permissionáriaNão se aplicaNão se aplica&lt;500GWhNão se aplicaNão se aplica</t>
  </si>
  <si>
    <t>44621A4Energia suprimento permissionáriaNão se aplicaNão se aplica&lt;500GWhNão se aplicaNão se aplica</t>
  </si>
  <si>
    <t>44652A4Energia suprimento permissionáriaNão se aplicaNão se aplica&lt;500GWhNão se aplicaNão se aplica</t>
  </si>
  <si>
    <t>44682A4Energia suprimento permissionáriaNão se aplicaNão se aplica&lt;500GWhNão se aplicaNão se aplica</t>
  </si>
  <si>
    <t>44713A4Energia suprimento permissionáriaNão se aplicaNão se aplica&lt;500GWhNão se aplicaNão se aplica</t>
  </si>
  <si>
    <t>44743A4Energia suprimento permissionáriaNão se aplicaNão se aplica&lt;500GWhNão se aplicaNão se aplica</t>
  </si>
  <si>
    <t>44774A4Energia suprimento permissionáriaNão se aplicaNão se aplica&lt;500GWhNão se aplicaNão se aplica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</si>
  <si>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</si>
  <si>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</si>
  <si>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</si>
  <si>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</si>
  <si>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</si>
  <si>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</si>
  <si>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</si>
  <si>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</si>
  <si>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</si>
  <si>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</si>
  <si>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</si>
  <si>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</si>
  <si>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</si>
  <si>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</si>
  <si>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</si>
  <si>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</si>
  <si>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</si>
  <si>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</si>
  <si>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</si>
  <si>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</si>
  <si>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</si>
  <si>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</si>
  <si>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</si>
  <si>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</si>
  <si>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</si>
  <si>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</si>
  <si>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</si>
  <si>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</si>
  <si>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</si>
  <si>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</si>
  <si>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</si>
  <si>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</si>
  <si>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</si>
  <si>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</si>
  <si>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</si>
  <si>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</si>
  <si>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</si>
  <si>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</si>
  <si>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</si>
  <si>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</si>
  <si>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</si>
  <si>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</si>
  <si>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</si>
  <si>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</si>
  <si>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</si>
  <si>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</si>
  <si>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</si>
  <si>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</si>
  <si>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</si>
  <si>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</si>
  <si>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</si>
  <si>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</si>
  <si>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</si>
  <si>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</si>
  <si>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</si>
  <si>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</si>
  <si>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</si>
  <si>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</si>
  <si>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</si>
  <si>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</si>
  <si>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</si>
  <si>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</si>
  <si>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</si>
  <si>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</si>
  <si>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</si>
  <si>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</si>
  <si>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</si>
  <si>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</si>
  <si>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</si>
  <si>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</si>
  <si>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</si>
  <si>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</si>
  <si>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</si>
  <si>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</si>
  <si>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</si>
  <si>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</si>
  <si>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</si>
  <si>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</si>
  <si>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</si>
  <si>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</si>
  <si>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</si>
  <si>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</si>
  <si>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</si>
  <si>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</si>
  <si>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</si>
  <si>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</si>
  <si>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</si>
  <si>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</si>
  <si>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</si>
  <si>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</si>
  <si>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</si>
  <si>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</si>
  <si>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</si>
  <si>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</si>
  <si>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</si>
  <si>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</si>
  <si>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</si>
  <si>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</si>
  <si>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</si>
  <si>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</si>
  <si>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</si>
  <si>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</si>
  <si>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</si>
  <si>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</si>
  <si>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</si>
  <si>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</si>
  <si>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</si>
  <si>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</si>
  <si>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</si>
  <si>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</si>
  <si>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</si>
  <si>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</si>
  <si>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</si>
  <si>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</si>
  <si>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</si>
  <si>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</si>
  <si>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</si>
  <si>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</si>
  <si>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</si>
  <si>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</si>
  <si>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</si>
  <si>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</si>
  <si>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</si>
  <si>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</si>
  <si>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</si>
  <si>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</si>
  <si>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</si>
  <si>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</si>
  <si>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</si>
  <si>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</si>
  <si>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</si>
  <si>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</si>
  <si>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</si>
  <si>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</si>
  <si>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</si>
  <si>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</si>
  <si>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</si>
  <si>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</si>
  <si>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</si>
  <si>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</si>
  <si>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</si>
  <si>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</si>
  <si>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</si>
  <si>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</si>
  <si>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</si>
  <si>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</si>
  <si>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</si>
  <si>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</si>
  <si>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</si>
  <si>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</si>
  <si>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</si>
  <si>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</si>
  <si>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</si>
  <si>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</si>
  <si>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</si>
  <si>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</si>
  <si>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</si>
  <si>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</si>
  <si>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</si>
  <si>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</si>
  <si>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</si>
  <si>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</si>
  <si>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</si>
  <si>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</si>
  <si>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</si>
  <si>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</si>
  <si>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</si>
  <si>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</si>
  <si>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</si>
  <si>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</si>
  <si>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</si>
  <si>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</si>
  <si>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</si>
  <si>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</si>
  <si>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</si>
  <si>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</si>
  <si>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</si>
  <si>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</si>
  <si>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</si>
  <si>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</si>
  <si>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</si>
  <si>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</si>
  <si>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</si>
  <si>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</si>
  <si>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</si>
  <si>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</si>
  <si>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</si>
  <si>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</si>
  <si>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</si>
  <si>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</si>
  <si>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</si>
  <si>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</si>
  <si>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</si>
  <si>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</si>
  <si>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</si>
  <si>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</si>
  <si>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</si>
  <si>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</si>
  <si>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</si>
  <si>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</si>
  <si>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</si>
  <si>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2.949,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</si>
  <si>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</si>
  <si>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</si>
  <si>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</si>
  <si>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</si>
  <si>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</si>
  <si>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</si>
  <si>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</si>
  <si>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</si>
  <si>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</si>
  <si>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</si>
  <si>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</si>
  <si>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</si>
  <si>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</si>
  <si>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</si>
  <si>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</si>
  <si>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</si>
  <si>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</si>
  <si>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</si>
  <si>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</si>
  <si>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</si>
  <si>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</si>
  <si>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</si>
  <si>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</si>
  <si>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</si>
  <si>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</si>
  <si>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</si>
  <si>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</si>
  <si>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</si>
  <si>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</si>
  <si>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</si>
  <si>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</si>
  <si>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</si>
  <si>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</si>
  <si>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</si>
  <si>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</si>
  <si>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</si>
  <si>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</si>
  <si>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</si>
  <si>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</si>
  <si>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</si>
  <si>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</si>
  <si>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</si>
  <si>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</si>
  <si>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</si>
  <si>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</si>
  <si>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</si>
  <si>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</si>
  <si>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</si>
  <si>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</si>
  <si>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</si>
  <si>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</si>
  <si>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</si>
  <si>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</si>
  <si>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</si>
  <si>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</si>
  <si>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</si>
  <si>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</si>
  <si>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</si>
  <si>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</si>
  <si>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</si>
  <si>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Diversos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</si>
  <si>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</si>
  <si>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</si>
  <si>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</si>
  <si>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</si>
  <si>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</si>
  <si>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</si>
  <si>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</si>
  <si>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</si>
  <si>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</si>
  <si>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</si>
  <si>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</si>
  <si>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</si>
  <si>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</si>
  <si>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</si>
  <si>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</si>
  <si>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</si>
  <si>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</si>
  <si>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</si>
  <si>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</si>
  <si>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</si>
  <si>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</si>
  <si>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</si>
  <si>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</si>
  <si>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</si>
  <si>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</si>
  <si>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</si>
  <si>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</si>
  <si>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</si>
  <si>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</si>
  <si>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</si>
  <si>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</si>
  <si>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</si>
  <si>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</si>
  <si>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</si>
  <si>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</si>
  <si>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</si>
  <si>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</si>
  <si>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</si>
  <si>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DISTRIBUIÇÃO</t>
  </si>
  <si>
    <t>SUBSIDIO GERAÇÃO FONTE INCENTIVADA</t>
  </si>
  <si>
    <t>SUBSIDIO BAIXA RENDA</t>
  </si>
  <si>
    <t>SUBSIDIO RURAL</t>
  </si>
  <si>
    <t>SUBSIDIO IRRIGANTE/AQUICULTOR</t>
  </si>
  <si>
    <t>R$ (TV)</t>
  </si>
  <si>
    <t>R$ (TN)</t>
  </si>
  <si>
    <t>SUBSIDIO CARGA FONTE INCENTIVADA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</si>
  <si>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</si>
  <si>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</si>
  <si>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</si>
  <si>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</si>
  <si>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</si>
  <si>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</si>
  <si>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</si>
  <si>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</si>
  <si>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Azul1RuralNão se aplicaPlanilha CustoA4</t>
  </si>
  <si>
    <t>2021</t>
  </si>
  <si>
    <t>Planilha Custo</t>
  </si>
  <si>
    <t>Verde1RuralNão se aplicaPlanilha CustoA4</t>
  </si>
  <si>
    <t>Convencional1RuralNão se aplicaPlanilha CustoA4</t>
  </si>
  <si>
    <t>Azul1Serviço públicoÁgua, esgoto e saneamentoPlanilha CUSTOA4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</si>
  <si>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</si>
  <si>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</si>
  <si>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</si>
  <si>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</si>
  <si>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Convencional1RuralNão se aplicaRuralB2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</si>
  <si>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</si>
  <si>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</si>
  <si>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</si>
  <si>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</si>
  <si>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</si>
  <si>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</si>
  <si>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</si>
  <si>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</si>
  <si>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</si>
  <si>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</si>
  <si>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</si>
  <si>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</si>
  <si>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</si>
  <si>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</si>
  <si>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</si>
  <si>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</si>
  <si>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</si>
  <si>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</si>
  <si>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</si>
  <si>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</si>
  <si>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</si>
  <si>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</si>
  <si>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</si>
  <si>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</si>
  <si>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</si>
  <si>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</si>
  <si>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</si>
  <si>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</si>
  <si>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</si>
  <si>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</si>
  <si>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</si>
  <si>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</si>
  <si>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</si>
  <si>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</si>
  <si>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</si>
  <si>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</si>
  <si>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</si>
  <si>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</si>
  <si>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</si>
  <si>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</si>
  <si>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</si>
  <si>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</si>
  <si>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</si>
  <si>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</si>
  <si>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</si>
  <si>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</si>
  <si>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</si>
  <si>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</si>
  <si>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</si>
  <si>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</si>
  <si>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</si>
  <si>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</si>
  <si>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</si>
  <si>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</si>
  <si>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</si>
  <si>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</si>
  <si>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</si>
  <si>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</si>
  <si>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</si>
  <si>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</si>
  <si>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</si>
  <si>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</si>
  <si>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</si>
  <si>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</si>
  <si>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</si>
  <si>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</si>
  <si>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</si>
  <si>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</si>
  <si>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</si>
  <si>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</si>
  <si>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</si>
  <si>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</si>
  <si>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</si>
  <si>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</si>
  <si>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</si>
  <si>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</si>
  <si>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</si>
  <si>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</si>
  <si>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</si>
  <si>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</si>
  <si>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</si>
  <si>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</si>
  <si>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</si>
  <si>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</si>
  <si>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</si>
  <si>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</si>
  <si>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</si>
  <si>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</si>
  <si>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</si>
  <si>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A4Distribuição</t>
  </si>
  <si>
    <t>A4DistribuiçãoNão se aplica</t>
  </si>
  <si>
    <t>A4DistribuiçãoNão se aplicaNão se aplica</t>
  </si>
  <si>
    <t>A4DistribuiçãoNão se aplicaNão se aplicaNão se aplica</t>
  </si>
  <si>
    <t>A4DistribuiçãoNão se aplicaNão se aplicaNão se aplicaCeral Anitápolis</t>
  </si>
  <si>
    <t>A4DistribuiçãoNão se aplicaNão se aplicaNão se aplicaCeral AnitápolisDP</t>
  </si>
  <si>
    <t>A4DistribuiçãoNão se aplicaNão se aplicaNão se aplicaCeral AnitápolisDFP</t>
  </si>
  <si>
    <t>A4DistribuiçãoNão se aplicaNão se aplicaNão se aplicaCeral AnitápolisE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</si>
  <si>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</si>
  <si>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</si>
  <si>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</si>
  <si>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</si>
  <si>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</si>
  <si>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</si>
  <si>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</si>
  <si>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</si>
  <si>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</si>
  <si>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</si>
  <si>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</si>
  <si>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</si>
  <si>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</si>
  <si>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</si>
  <si>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</si>
  <si>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</si>
  <si>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</si>
  <si>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</si>
  <si>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</si>
  <si>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</si>
  <si>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</si>
  <si>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</si>
  <si>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</si>
  <si>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</si>
  <si>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</si>
  <si>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</si>
  <si>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</si>
  <si>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</si>
  <si>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</si>
  <si>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</si>
  <si>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</si>
  <si>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</si>
  <si>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</si>
  <si>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</si>
  <si>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</si>
  <si>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</si>
  <si>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</si>
  <si>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</si>
  <si>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</si>
  <si>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</si>
  <si>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</si>
  <si>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</si>
  <si>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</si>
  <si>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</si>
  <si>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</si>
  <si>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</si>
  <si>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</si>
  <si>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</si>
  <si>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</si>
  <si>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</si>
  <si>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</si>
  <si>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</si>
  <si>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</si>
  <si>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</si>
  <si>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</si>
  <si>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</si>
  <si>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</si>
  <si>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</si>
  <si>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</si>
  <si>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</si>
  <si>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</si>
  <si>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</si>
  <si>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</si>
  <si>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</si>
  <si>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</si>
  <si>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</si>
  <si>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</si>
  <si>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</si>
  <si>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</si>
  <si>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</si>
  <si>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</si>
  <si>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</si>
  <si>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</si>
  <si>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</si>
  <si>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</si>
  <si>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</si>
  <si>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</si>
  <si>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</si>
  <si>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</si>
  <si>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</si>
  <si>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</si>
  <si>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</si>
  <si>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</si>
  <si>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</si>
  <si>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</si>
  <si>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</si>
  <si>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</si>
  <si>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</si>
  <si>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</si>
  <si>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</si>
  <si>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</si>
  <si>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</si>
  <si>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</si>
  <si>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</si>
  <si>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</si>
  <si>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</si>
  <si>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</si>
  <si>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</si>
  <si>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</si>
  <si>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</si>
  <si>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</si>
  <si>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</si>
  <si>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</si>
  <si>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</si>
  <si>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</si>
  <si>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</si>
  <si>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</si>
  <si>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</si>
  <si>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</si>
  <si>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</si>
  <si>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</si>
  <si>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</si>
  <si>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</si>
  <si>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</si>
  <si>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</si>
  <si>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</si>
  <si>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</si>
  <si>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</si>
  <si>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</si>
  <si>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</si>
  <si>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</si>
  <si>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</si>
  <si>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</si>
  <si>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</si>
  <si>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</si>
  <si>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</si>
  <si>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</si>
  <si>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</si>
  <si>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</si>
  <si>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</si>
  <si>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</si>
  <si>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</si>
  <si>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</si>
  <si>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</si>
  <si>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</si>
  <si>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</si>
  <si>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</si>
  <si>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</si>
  <si>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</si>
  <si>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</si>
  <si>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</si>
  <si>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</si>
  <si>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</si>
  <si>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</si>
  <si>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</si>
  <si>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</si>
  <si>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</si>
  <si>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</si>
  <si>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</si>
  <si>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</si>
  <si>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</si>
  <si>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</si>
  <si>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</si>
  <si>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</si>
  <si>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</si>
  <si>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</si>
  <si>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</si>
  <si>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</si>
  <si>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</si>
  <si>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</si>
  <si>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</si>
  <si>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</si>
  <si>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</si>
  <si>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</si>
  <si>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</si>
  <si>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</si>
  <si>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suprimento concessionária</t>
  </si>
  <si>
    <t>A4Energia suprimento concessionáriaNão se aplica</t>
  </si>
  <si>
    <t>A4Energia suprimento concessionáriaNão se aplicaNão se aplica</t>
  </si>
  <si>
    <t>A4Energia suprimento concessionáriaNão se aplicaNão se aplica&lt;500GWh</t>
  </si>
  <si>
    <t>A4Energia suprimento concessionáriaNão se aplicaNão se aplica&lt;500GWhNão se aplica</t>
  </si>
  <si>
    <t>A4Energia suprimento concessionáriaNão se aplicaNão se aplica&lt;500GWhNão se aplicaE</t>
  </si>
  <si>
    <t>A4Energia suprimento permissionária</t>
  </si>
  <si>
    <t>A4Energia suprimento permissionáriaNão se aplica</t>
  </si>
  <si>
    <t>A4Energia suprimento permissionáriaNão se aplicaNão se aplica</t>
  </si>
  <si>
    <t>A4Energia suprimento permissionáriaNão se aplicaNão se aplica&lt;500GWh</t>
  </si>
  <si>
    <t>A4Energia suprimento permissionáriaNão se aplicaNão se aplica&lt;500GWhNão se aplica</t>
  </si>
  <si>
    <t>A4Energia suprimento permissionáriaNão se aplicaNão se aplica&lt;500GWhNão se aplicaE</t>
  </si>
  <si>
    <t>A4Energia suprimento concessionáriaNão se aplicaNão se aplicaNão se aplica</t>
  </si>
  <si>
    <t>A4Energia suprimento concessionáriaNão se aplicaNão se aplicaNão se aplicaNão se aplica</t>
  </si>
  <si>
    <t>A4Energia suprimento concessionáriaNão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</si>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</sst>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_);[Red]\(#,##0.00\)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40" fontId="7" fillId="2" borderId="0" xfId="0" applyNumberFormat="1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7" fillId="3" borderId="0" xfId="0" applyNumberFormat="1" applyFont="1" applyFill="1" applyAlignment="1">
      <alignment horizontal="center" vertical="center"/>
    </xf>
    <xf numFmtId="40" fontId="1" fillId="3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168" fontId="1" fillId="0" borderId="0" xfId="0" applyNumberFormat="1" applyFont="1" applyAlignment="1">
      <alignment horizontal="center" vertical="center"/>
    </xf>
    <xf numFmtId="0" fontId="8" fillId="0" borderId="0" xfId="0" pivotButton="1" applyFont="1"/>
    <xf numFmtId="169" fontId="8" fillId="0" borderId="0" xfId="0" applyNumberFormat="1" applyFont="1"/>
    <xf numFmtId="167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40" fontId="3" fillId="3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64" fontId="3" fillId="0" borderId="0" xfId="0" applyNumberFormat="1" applyFont="1"/>
    <xf numFmtId="4" fontId="10" fillId="4" borderId="16" xfId="0" applyNumberFormat="1" applyFont="1" applyFill="1" applyBorder="1"/>
    <xf numFmtId="4" fontId="10" fillId="4" borderId="12" xfId="0" applyNumberFormat="1" applyFont="1" applyFill="1" applyBorder="1"/>
    <xf numFmtId="4" fontId="10" fillId="4" borderId="17" xfId="0" applyNumberFormat="1" applyFont="1" applyFill="1" applyBorder="1"/>
    <xf numFmtId="4" fontId="10" fillId="4" borderId="6" xfId="0" applyNumberFormat="1" applyFont="1" applyFill="1" applyBorder="1"/>
    <xf numFmtId="4" fontId="10" fillId="4" borderId="13" xfId="0" applyNumberFormat="1" applyFont="1" applyFill="1" applyBorder="1"/>
    <xf numFmtId="4" fontId="10" fillId="4" borderId="5" xfId="0" applyNumberFormat="1" applyFont="1" applyFill="1" applyBorder="1"/>
    <xf numFmtId="4" fontId="10" fillId="4" borderId="18" xfId="0" applyNumberFormat="1" applyFont="1" applyFill="1" applyBorder="1"/>
    <xf numFmtId="4" fontId="10" fillId="4" borderId="10" xfId="0" applyNumberFormat="1" applyFont="1" applyFill="1" applyBorder="1"/>
    <xf numFmtId="4" fontId="10" fillId="4" borderId="15" xfId="0" applyNumberFormat="1" applyFont="1" applyFill="1" applyBorder="1"/>
    <xf numFmtId="4" fontId="10" fillId="4" borderId="12" xfId="0" applyNumberFormat="1" applyFont="1" applyFill="1" applyBorder="1" applyAlignment="1">
      <alignment horizontal="center"/>
    </xf>
    <xf numFmtId="4" fontId="10" fillId="4" borderId="17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0" fillId="4" borderId="13" xfId="0" applyNumberFormat="1" applyFont="1" applyFill="1" applyBorder="1" applyAlignment="1">
      <alignment horizontal="center"/>
    </xf>
    <xf numFmtId="4" fontId="10" fillId="4" borderId="12" xfId="0" applyNumberFormat="1" applyFont="1" applyFill="1" applyBorder="1" applyAlignment="1">
      <alignment horizontal="center"/>
    </xf>
    <xf numFmtId="4" fontId="10" fillId="4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102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7.3218692566858205E-4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0.10929826718532451</c:v>
                </c:pt>
                <c:pt idx="6">
                  <c:v>1.9062752078394217E-2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3.8225569625203633E-2</c:v>
                </c:pt>
                <c:pt idx="13">
                  <c:v>0</c:v>
                </c:pt>
                <c:pt idx="14">
                  <c:v>0</c:v>
                </c:pt>
                <c:pt idx="15">
                  <c:v>9.7788936405194177E-2</c:v>
                </c:pt>
                <c:pt idx="16">
                  <c:v>0</c:v>
                </c:pt>
                <c:pt idx="17">
                  <c:v>0</c:v>
                </c:pt>
                <c:pt idx="18">
                  <c:v>-1.1489447587744429E-2</c:v>
                </c:pt>
                <c:pt idx="19">
                  <c:v>1.6484587206670653E-3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5-4CF1-97AB-8CB9359C72D9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6.5627873326590193E-4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9.5527256940215424E-2</c:v>
                </c:pt>
                <c:pt idx="6">
                  <c:v>1.9544575377672058E-2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4.398347854951723E-2</c:v>
                </c:pt>
                <c:pt idx="13">
                  <c:v>0</c:v>
                </c:pt>
                <c:pt idx="14">
                  <c:v>0</c:v>
                </c:pt>
                <c:pt idx="15">
                  <c:v>8.3407304512055164E-2</c:v>
                </c:pt>
                <c:pt idx="16">
                  <c:v>0</c:v>
                </c:pt>
                <c:pt idx="17">
                  <c:v>0</c:v>
                </c:pt>
                <c:pt idx="18">
                  <c:v>-7.2284655869147884E-3</c:v>
                </c:pt>
                <c:pt idx="19">
                  <c:v>9.4002286381120474E-4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5-4CF1-97AB-8CB9359C72D9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6.5627873326590193E-4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9.5527256940215424E-2</c:v>
                </c:pt>
                <c:pt idx="6">
                  <c:v>1.9544575377672058E-2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4.398347854951723E-2</c:v>
                </c:pt>
                <c:pt idx="13">
                  <c:v>0</c:v>
                </c:pt>
                <c:pt idx="14">
                  <c:v>0</c:v>
                </c:pt>
                <c:pt idx="15">
                  <c:v>8.3407304512055164E-2</c:v>
                </c:pt>
                <c:pt idx="16">
                  <c:v>0</c:v>
                </c:pt>
                <c:pt idx="17">
                  <c:v>0</c:v>
                </c:pt>
                <c:pt idx="18">
                  <c:v>-7.2284655869147884E-3</c:v>
                </c:pt>
                <c:pt idx="19">
                  <c:v>9.4002286381120474E-4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25-4CF1-97AB-8CB9359C72D9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A525-4CF1-97AB-8CB9359C72D9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A525-4CF1-97AB-8CB9359C72D9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A525-4CF1-97AB-8CB9359C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84632"/>
        <c:axId val="888984304"/>
      </c:radarChart>
      <c:catAx>
        <c:axId val="888984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88984304"/>
        <c:crosses val="autoZero"/>
        <c:auto val="1"/>
        <c:lblAlgn val="ctr"/>
        <c:lblOffset val="100"/>
        <c:noMultiLvlLbl val="0"/>
      </c:catAx>
      <c:valAx>
        <c:axId val="888984304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8898463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0.12366579991262752</c:v>
                </c:pt>
                <c:pt idx="2">
                  <c:v>0</c:v>
                </c:pt>
                <c:pt idx="3">
                  <c:v>0</c:v>
                </c:pt>
                <c:pt idx="4">
                  <c:v>-6.6840510435288686E-2</c:v>
                </c:pt>
                <c:pt idx="5">
                  <c:v>-0.2507035889588482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1.9799069646369905E-2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9-40D2-983D-7D3B4A481C6A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0.12191768607594727</c:v>
                </c:pt>
                <c:pt idx="2">
                  <c:v>0</c:v>
                </c:pt>
                <c:pt idx="3">
                  <c:v>0</c:v>
                </c:pt>
                <c:pt idx="4">
                  <c:v>-6.607348940125414E-2</c:v>
                </c:pt>
                <c:pt idx="5">
                  <c:v>-0.25892319788340751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1.9571867568256161E-2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9-40D2-983D-7D3B4A481C6A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0.12191768607594727</c:v>
                </c:pt>
                <c:pt idx="2">
                  <c:v>0</c:v>
                </c:pt>
                <c:pt idx="3">
                  <c:v>0</c:v>
                </c:pt>
                <c:pt idx="4">
                  <c:v>-6.607348940125414E-2</c:v>
                </c:pt>
                <c:pt idx="5">
                  <c:v>-0.25892319788340751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1.9571867568256161E-2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59-40D2-983D-7D3B4A481C6A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5C59-40D2-983D-7D3B4A481C6A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5C59-40D2-983D-7D3B4A481C6A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5C59-40D2-983D-7D3B4A481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102880"/>
        <c:axId val="1083103536"/>
      </c:radarChart>
      <c:catAx>
        <c:axId val="1083102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83103536"/>
        <c:crosses val="autoZero"/>
        <c:auto val="1"/>
        <c:lblAlgn val="ctr"/>
        <c:lblOffset val="100"/>
        <c:noMultiLvlLbl val="0"/>
      </c:catAx>
      <c:valAx>
        <c:axId val="1083103536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108310288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4AC883-1565-B9D7-3B88-36E405CE6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219076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5D291B-1662-79A2-ADC8-F9A829E02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56274421296" createdVersion="5" refreshedVersion="8" minRefreshableVersion="3" recordCount="311" xr:uid="{B42A463B-C02F-485E-B9D3-45AF54AF366B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5">
        <s v="Azul"/>
        <s v="Distribuição"/>
        <s v="Geração"/>
        <s v="Verde"/>
        <s v="Convencional"/>
      </sharedItems>
    </cacheField>
    <cacheField name="Classe" numFmtId="0">
      <sharedItems count="4">
        <s v="Serviço público"/>
        <s v="Não se aplica"/>
        <s v="Residencial"/>
        <s v="Rural"/>
      </sharedItems>
    </cacheField>
    <cacheField name="Subclasse" numFmtId="0">
      <sharedItems count="9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4">
        <s v="Não se aplica"/>
        <s v="&lt;500"/>
        <s v="IRRIG./AQUIC."/>
        <s v="IRRIG./AQUIC. PR"/>
      </sharedItems>
    </cacheField>
    <cacheField name="Agente" numFmtId="0">
      <sharedItems count="6">
        <s v="Não se aplica"/>
        <s v="Ceral Anitápolis"/>
        <s v="SÃO MAURÍCIO"/>
        <s v="CGH WIGGERSWIGGERS"/>
        <s v="RIO CHAPÉU"/>
        <s v="CGH TEODORO SCHLICKMANN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3195"/>
    </cacheField>
    <cacheField name="Daj" numFmtId="40">
      <sharedItems containsSemiMixedTypes="0" containsString="0" containsNumber="1" minValue="0" maxValue="2500"/>
    </cacheField>
    <cacheField name="TUSD_E" numFmtId="40">
      <sharedItems containsSemiMixedTypes="0" containsString="0" containsNumber="1" minValue="-2" maxValue="2544.8980000000001"/>
    </cacheField>
    <cacheField name="TUSD_Eaj" numFmtId="40">
      <sharedItems containsSemiMixedTypes="0" containsString="0" containsNumber="1" minValue="-2" maxValue="2544.8980000000001"/>
    </cacheField>
    <cacheField name="TE_E" numFmtId="40">
      <sharedItems containsSemiMixedTypes="0" containsString="0" containsNumber="1" minValue="-2" maxValue="2544.8980000000001"/>
    </cacheField>
    <cacheField name="TE_Eaj" numFmtId="40">
      <sharedItems containsSemiMixedTypes="0" containsString="0" containsNumber="1" minValue="-2" maxValue="2544.8980000000001"/>
    </cacheField>
    <cacheField name="UC" numFmtId="40">
      <sharedItems containsSemiMixedTypes="0" containsString="0" containsNumber="1" containsInteger="1" minValue="0" maxValue="11043"/>
    </cacheField>
    <cacheField name="OPÇÃO" numFmtId="0">
      <sharedItems/>
    </cacheField>
    <cacheField name="CóD. AUX." numFmtId="0">
      <sharedItems containsString="0" containsBlank="1" containsNumber="1" containsInteger="1" minValue="0" maxValue="30591"/>
    </cacheField>
    <cacheField name="CóD. AUX. TUSD R$/kW" numFmtId="0">
      <sharedItems containsSemiMixedTypes="0" containsString="0" containsNumber="1" containsInteger="1" minValue="0" maxValue="16"/>
    </cacheField>
    <cacheField name="CóD. AUX. TUSD R$/MWh" numFmtId="0">
      <sharedItems containsSemiMixedTypes="0" containsString="0" containsNumber="1" containsInteger="1" minValue="0" maxValue="44"/>
    </cacheField>
    <cacheField name="CóD. AUX. TE R$/MWh" numFmtId="0">
      <sharedItems containsSemiMixedTypes="0" containsString="0" containsNumber="1" containsInteger="1" minValue="0" maxValue="78"/>
    </cacheField>
    <cacheField name="TUSD (R$/kW)" numFmtId="40">
      <sharedItems containsSemiMixedTypes="0" containsString="0" containsNumber="1" minValue="0" maxValue="56.33"/>
    </cacheField>
    <cacheField name="TUSD (R$/MWh)" numFmtId="40">
      <sharedItems containsSemiMixedTypes="0" containsString="0" containsNumber="1" minValue="0" maxValue="1426.09"/>
    </cacheField>
    <cacheField name="TE (R$/MWh)" numFmtId="40">
      <sharedItems containsSemiMixedTypes="0" containsString="0" containsNumber="1" minValue="0" maxValue="249.25"/>
    </cacheField>
    <cacheField name="TUSD (R$/kW) NOVA" numFmtId="40">
      <sharedItems containsString="0" containsBlank="1" containsNumber="1" minValue="3.1407641523301653" maxValue="66.260179739929754"/>
    </cacheField>
    <cacheField name="TUSD (R$/MWh) NOVA" numFmtId="40">
      <sharedItems containsString="0" containsBlank="1" containsNumber="1" minValue="5.9614152931372661" maxValue="1693.7290369840546"/>
    </cacheField>
    <cacheField name="TE (R$/MWh) NOVA" numFmtId="40">
      <sharedItems containsString="0" containsBlank="1" containsNumber="1" minValue="47.544693706080466" maxValue="142.74630381648396"/>
    </cacheField>
    <cacheField name="SUBSIDIO kW - TV" numFmtId="40">
      <sharedItems containsSemiMixedTypes="0" containsString="0" containsNumber="1" minValue="0" maxValue="86206.301999999996"/>
    </cacheField>
    <cacheField name="SUBSIDIO MWh - TV" numFmtId="40">
      <sharedItems containsSemiMixedTypes="0" containsString="0" containsNumber="1" minValue="-328.06491199999994" maxValue="284341.02217856399"/>
    </cacheField>
    <cacheField name="SUBSIDIO kW - TN" numFmtId="40">
      <sharedItems containsSemiMixedTypes="0" containsString="0" containsNumber="1" minValue="0" maxValue="101032.34898558218"/>
    </cacheField>
    <cacheField name="SUBSIDIO MWh - TN" numFmtId="40">
      <sharedItems containsSemiMixedTypes="0" containsString="0" containsNumber="1" minValue="-290.17672907601292" maxValue="163216.3018312325"/>
    </cacheField>
    <cacheField name="TIPO" numFmtId="0">
      <sharedItems containsBlank="1" count="7">
        <s v="SUBSIDIO ÁGUA, ESGOTO E SANEAMENTO"/>
        <s v="SUBSIDIO DISTRIBUIÇÃO"/>
        <s v="SUBSIDIO GERAÇÃO FONTE INCENTIVADA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629188310188" createdVersion="5" refreshedVersion="8" minRefreshableVersion="3" recordCount="643" xr:uid="{C1A5C9C9-C3ED-4B78-96DC-D1D573AEE2E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5">
        <s v="Azul"/>
        <s v="Distribuição"/>
        <s v="Geração"/>
        <s v="Verde"/>
        <s v="Convencional"/>
      </sharedItems>
    </cacheField>
    <cacheField name="Classe" numFmtId="0">
      <sharedItems count="9">
        <s v="Serviço público"/>
        <s v="Não se aplica"/>
        <s v="Comercial"/>
        <s v="Industrial"/>
        <s v="Poder público"/>
        <s v="Residencial"/>
        <s v="Rural"/>
        <s v="Consumo próprio"/>
        <s v="Iluminação pública"/>
      </sharedItems>
    </cacheField>
    <cacheField name="Subclasse" numFmtId="0">
      <sharedItems count="10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5">
        <s v="Não se aplica"/>
        <s v="&lt;500"/>
        <s v="APE"/>
        <s v="IRRIG./AQUIC."/>
        <s v="IRRIG./AQUIC. PR"/>
      </sharedItems>
    </cacheField>
    <cacheField name="Agente" numFmtId="0">
      <sharedItems count="6">
        <s v="Não se aplica"/>
        <s v="Ceral Anitápolis"/>
        <s v="SÃO MAURÍCIO"/>
        <s v="CGH WIGGERSWIGGERS"/>
        <s v="RIO CHAPÉU"/>
        <s v="CGH TEODORO SCHLICKMANN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-151" maxValue="14031"/>
    </cacheField>
    <cacheField name="Daj" numFmtId="40">
      <sharedItems containsSemiMixedTypes="0" containsString="0" containsNumber="1" minValue="-151" maxValue="14031"/>
    </cacheField>
    <cacheField name="TUSD_E" numFmtId="40">
      <sharedItems containsSemiMixedTypes="0" containsString="0" containsNumber="1" minValue="-272.85000000000002" maxValue="3548.9490000000001"/>
    </cacheField>
    <cacheField name="TUSD_Eaj" numFmtId="40">
      <sharedItems containsSemiMixedTypes="0" containsString="0" containsNumber="1" minValue="-272.85000000000002" maxValue="3548.9490000000001"/>
    </cacheField>
    <cacheField name="TE_E" numFmtId="40">
      <sharedItems containsSemiMixedTypes="0" containsString="0" containsNumber="1" minValue="-272.85000000000002" maxValue="3548.9490000000001"/>
    </cacheField>
    <cacheField name="TE_Eaj" numFmtId="40">
      <sharedItems containsSemiMixedTypes="0" containsString="0" containsNumber="1" minValue="-272.85000000000002" maxValue="3548.9490000000001"/>
    </cacheField>
    <cacheField name="UC" numFmtId="40">
      <sharedItems containsSemiMixedTypes="0" containsString="0" containsNumber="1" containsInteger="1" minValue="0" maxValue="11107"/>
    </cacheField>
    <cacheField name="OPÇÃO" numFmtId="0">
      <sharedItems count="4">
        <s v="CATIVO"/>
        <s v="SUPRIMENTO"/>
        <s v="GERAÇÃO"/>
        <s v="LIVRE APE"/>
      </sharedItems>
    </cacheField>
    <cacheField name="CóD. AUX." numFmtId="0">
      <sharedItems containsString="0" containsBlank="1" containsNumber="1" containsInteger="1" minValue="0" maxValue="30591"/>
    </cacheField>
    <cacheField name="CóD. AUX. TUSD R$/kW" numFmtId="40">
      <sharedItems containsSemiMixedTypes="0" containsString="0" containsNumber="1" containsInteger="1" minValue="0" maxValue="16"/>
    </cacheField>
    <cacheField name="CóD. AUX. TUSD R$/MWh" numFmtId="40">
      <sharedItems containsSemiMixedTypes="0" containsString="0" containsNumber="1" containsInteger="1" minValue="0" maxValue="44"/>
    </cacheField>
    <cacheField name="CóD. AUX. TE R$/MWh" numFmtId="4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52.950199999999995"/>
    </cacheField>
    <cacheField name="TUSD (R$/MWh)" numFmtId="40">
      <sharedItems containsSemiMixedTypes="0" containsString="0" containsNumber="1" minValue="0" maxValue="1426.09"/>
    </cacheField>
    <cacheField name="TE (R$/MWh)" numFmtId="40">
      <sharedItems containsSemiMixedTypes="0" containsString="0" containsNumber="1" minValue="0" maxValue="249.25"/>
    </cacheField>
    <cacheField name="TUSD (R$/kW) NOVA" numFmtId="40">
      <sharedItems containsString="0" containsBlank="1" containsNumber="1" minValue="3.5546195803828087" maxValue="64.230666268128303"/>
    </cacheField>
    <cacheField name="TUSD (R$/MWh) NOVA" numFmtId="40">
      <sharedItems containsString="0" containsBlank="1" containsNumber="1" minValue="5.9614152931372661" maxValue="1692.6949328691251"/>
    </cacheField>
    <cacheField name="TE (R$/MWh) NOVA" numFmtId="40">
      <sharedItems containsString="0" containsBlank="1" containsNumber="1" minValue="47.544693706080466" maxValue="142.74630381648396"/>
    </cacheField>
    <cacheField name="RA0 ou RV - TUSD (kW)" numFmtId="40">
      <sharedItems containsSemiMixedTypes="0" containsString="0" containsNumber="1" minValue="-2740.6499999999996" maxValue="254662.65"/>
    </cacheField>
    <cacheField name="RA0 ou RV - TUSD (MWh)" numFmtId="40">
      <sharedItems containsSemiMixedTypes="0" containsString="0" containsNumber="1" minValue="-85306.552500000005" maxValue="1109578.90485"/>
    </cacheField>
    <cacheField name="RA0 ou RV - TE (MWh)" numFmtId="40">
      <sharedItems containsSemiMixedTypes="0" containsString="0" containsNumber="1" minValue="-68007.862500000003" maxValue="884575.53824999998"/>
    </cacheField>
    <cacheField name="RA1 ou RRD - TUSD (kW)" numFmtId="40">
      <sharedItems containsSemiMixedTypes="0" containsString="0" containsNumber="1" minValue="-3213.0284100747112" maxValue="298556.30213084951"/>
    </cacheField>
    <cacheField name="RA1 ou RRD - TUSD (MWh)" numFmtId="40">
      <sharedItems containsSemiMixedTypes="0" containsString="0" containsNumber="1" minValue="-103710.8452636897" maxValue="1348962.8022273274"/>
    </cacheField>
    <cacheField name="RA1 ou RRD - TE (MWh)" numFmtId="40">
      <sharedItems containsSemiMixedTypes="0" containsString="0" containsNumber="1" minValue="-37064.484793440162" maxValue="482096.2662385730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s v="Regular"/>
    <x v="0"/>
    <x v="0"/>
    <x v="0"/>
    <x v="0"/>
    <x v="0"/>
    <x v="0"/>
    <x v="0"/>
    <x v="0"/>
    <n v="119"/>
    <n v="101.14999999999999"/>
    <n v="67.009"/>
    <n v="62.988459999999996"/>
    <n v="67.009"/>
    <n v="62.988459999999996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88.1408106000013"/>
    <n v="380.03272864888089"/>
    <n v="948.04484968210136"/>
    <x v="0"/>
  </r>
  <r>
    <s v="Regular"/>
    <x v="0"/>
    <x v="0"/>
    <x v="0"/>
    <x v="0"/>
    <x v="0"/>
    <x v="0"/>
    <x v="0"/>
    <x v="1"/>
    <n v="119"/>
    <n v="101.14999999999999"/>
    <n v="67.436000000000007"/>
    <n v="63.38984"/>
    <n v="67.436000000000007"/>
    <n v="63.38984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96.3492024000025"/>
    <n v="380.03272864888089"/>
    <n v="954.08605535319498"/>
    <x v="0"/>
  </r>
  <r>
    <s v="Regular"/>
    <x v="0"/>
    <x v="0"/>
    <x v="0"/>
    <x v="0"/>
    <x v="0"/>
    <x v="0"/>
    <x v="0"/>
    <x v="2"/>
    <n v="121"/>
    <n v="102.85"/>
    <n v="66.242999999999995"/>
    <n v="62.268419999999999"/>
    <n v="66.242999999999995"/>
    <n v="62.268419999999999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9.42250000000007"/>
    <n v="1273.4156861999986"/>
    <n v="386.4198333320553"/>
    <n v="937.20746433301963"/>
    <x v="0"/>
  </r>
  <r>
    <s v="Regular"/>
    <x v="0"/>
    <x v="0"/>
    <x v="0"/>
    <x v="0"/>
    <x v="0"/>
    <x v="0"/>
    <x v="0"/>
    <x v="3"/>
    <n v="119"/>
    <n v="101.14999999999999"/>
    <n v="67.462000000000003"/>
    <n v="63.414279999999998"/>
    <n v="67.462000000000003"/>
    <n v="63.414279999999998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96.8490108000017"/>
    <n v="380.03272864888089"/>
    <n v="954.45390394206663"/>
    <x v="0"/>
  </r>
  <r>
    <s v="Regular"/>
    <x v="0"/>
    <x v="0"/>
    <x v="0"/>
    <x v="0"/>
    <x v="0"/>
    <x v="0"/>
    <x v="0"/>
    <x v="4"/>
    <n v="123"/>
    <n v="104.55"/>
    <n v="71.691000000000003"/>
    <n v="67.389539999999997"/>
    <n v="71.691000000000003"/>
    <n v="67.389539999999997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34.86750000000001"/>
    <n v="1378.1447694000017"/>
    <n v="392.80693801522972"/>
    <n v="1014.2858917243884"/>
    <x v="0"/>
  </r>
  <r>
    <s v="Regular"/>
    <x v="0"/>
    <x v="0"/>
    <x v="0"/>
    <x v="0"/>
    <x v="0"/>
    <x v="0"/>
    <x v="0"/>
    <x v="5"/>
    <n v="123"/>
    <n v="104.55"/>
    <n v="64.504000000000005"/>
    <n v="60.633760000000002"/>
    <n v="64.504000000000005"/>
    <n v="60.633760000000002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34.86750000000001"/>
    <n v="1239.9861936000007"/>
    <n v="392.80693801522972"/>
    <n v="912.60405294653322"/>
    <x v="0"/>
  </r>
  <r>
    <s v="Regular"/>
    <x v="0"/>
    <x v="0"/>
    <x v="0"/>
    <x v="0"/>
    <x v="0"/>
    <x v="0"/>
    <x v="0"/>
    <x v="6"/>
    <n v="121"/>
    <n v="102.85"/>
    <n v="68.736000000000004"/>
    <n v="64.611840000000001"/>
    <n v="68.736000000000004"/>
    <n v="64.611840000000001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9.42250000000007"/>
    <n v="1321.3396224000012"/>
    <n v="386.4198333320553"/>
    <n v="972.47848479680192"/>
    <x v="0"/>
  </r>
  <r>
    <s v="Regular"/>
    <x v="0"/>
    <x v="0"/>
    <x v="0"/>
    <x v="0"/>
    <x v="0"/>
    <x v="0"/>
    <x v="0"/>
    <x v="7"/>
    <n v="119"/>
    <n v="101.14999999999999"/>
    <n v="69.516000000000005"/>
    <n v="65.345039999999997"/>
    <n v="69.516000000000005"/>
    <n v="65.345039999999997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336.3338744000025"/>
    <n v="380.03272864888089"/>
    <n v="983.51394246296798"/>
    <x v="0"/>
  </r>
  <r>
    <s v="Regular"/>
    <x v="0"/>
    <x v="0"/>
    <x v="0"/>
    <x v="0"/>
    <x v="0"/>
    <x v="0"/>
    <x v="0"/>
    <x v="8"/>
    <n v="140"/>
    <n v="119"/>
    <n v="68.391999999999996"/>
    <n v="64.288480000000007"/>
    <n v="68.391999999999996"/>
    <n v="64.288480000000007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81.15"/>
    <n v="1314.7267727999965"/>
    <n v="447.09732782221261"/>
    <n v="967.61156500556694"/>
    <x v="0"/>
  </r>
  <r>
    <s v="Regular"/>
    <x v="0"/>
    <x v="0"/>
    <x v="0"/>
    <x v="0"/>
    <x v="0"/>
    <x v="0"/>
    <x v="0"/>
    <x v="9"/>
    <n v="119"/>
    <n v="101.14999999999999"/>
    <n v="63.353000000000002"/>
    <n v="59.551819999999999"/>
    <n v="63.353000000000002"/>
    <n v="59.551819999999999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17.8600602000008"/>
    <n v="380.03272864888089"/>
    <n v="896.3196788776155"/>
    <x v="0"/>
  </r>
  <r>
    <s v="Regular"/>
    <x v="0"/>
    <x v="0"/>
    <x v="0"/>
    <x v="0"/>
    <x v="0"/>
    <x v="0"/>
    <x v="0"/>
    <x v="10"/>
    <n v="119"/>
    <n v="101.14999999999999"/>
    <n v="65.085999999999999"/>
    <n v="61.180840000000003"/>
    <n v="65.085999999999999"/>
    <n v="61.180840000000003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51.1742123999984"/>
    <n v="380.03272864888089"/>
    <n v="920.8382021282082"/>
    <x v="0"/>
  </r>
  <r>
    <s v="Regular"/>
    <x v="0"/>
    <x v="0"/>
    <x v="0"/>
    <x v="0"/>
    <x v="0"/>
    <x v="0"/>
    <x v="0"/>
    <x v="11"/>
    <n v="119"/>
    <n v="101.14999999999999"/>
    <n v="63.167999999999999"/>
    <n v="59.377920000000003"/>
    <n v="63.167999999999999"/>
    <n v="59.377920000000003"/>
    <n v="0"/>
    <s v="CATIVO"/>
    <n v="0"/>
    <n v="11"/>
    <n v="14"/>
    <n v="69"/>
    <n v="18.149999999999999"/>
    <n v="71.14"/>
    <n v="249.25"/>
    <n v="21.290348943914886"/>
    <n v="99.958395464781461"/>
    <n v="135.84198201737277"/>
    <n v="323.97750000000013"/>
    <n v="1214.3037311999988"/>
    <n v="380.03272864888089"/>
    <n v="893.70229468756213"/>
    <x v="0"/>
  </r>
  <r>
    <s v="Regular"/>
    <x v="0"/>
    <x v="0"/>
    <x v="0"/>
    <x v="0"/>
    <x v="0"/>
    <x v="0"/>
    <x v="1"/>
    <x v="0"/>
    <n v="119"/>
    <n v="101.14999999999999"/>
    <n v="8.0259999999999998"/>
    <n v="7.5444399999999998"/>
    <n v="8.0259999999999998"/>
    <n v="7.5444399999999998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54.28700839999999"/>
    <n v="1182.7442083577466"/>
    <n v="113.55202978030619"/>
    <x v="0"/>
  </r>
  <r>
    <s v="Regular"/>
    <x v="0"/>
    <x v="0"/>
    <x v="0"/>
    <x v="0"/>
    <x v="0"/>
    <x v="0"/>
    <x v="1"/>
    <x v="1"/>
    <n v="119"/>
    <n v="101.14999999999999"/>
    <n v="7.4390000000000001"/>
    <n v="6.9926599999999999"/>
    <n v="7.4390000000000001"/>
    <n v="6.9926599999999999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43.00287260000007"/>
    <n v="1182.7442083577466"/>
    <n v="105.24714048538476"/>
    <x v="0"/>
  </r>
  <r>
    <s v="Regular"/>
    <x v="0"/>
    <x v="0"/>
    <x v="0"/>
    <x v="0"/>
    <x v="0"/>
    <x v="0"/>
    <x v="1"/>
    <x v="2"/>
    <n v="120"/>
    <n v="102"/>
    <n v="7.6929999999999996"/>
    <n v="7.23142"/>
    <n v="7.6929999999999996"/>
    <n v="7.23142"/>
    <n v="0"/>
    <s v="CATIVO"/>
    <n v="0"/>
    <n v="8"/>
    <n v="14"/>
    <n v="77"/>
    <n v="56.33"/>
    <n v="71.14"/>
    <n v="249.25"/>
    <n v="66.260179739929754"/>
    <n v="99.958395464781461"/>
    <n v="135.84198201737277"/>
    <n v="1013.9399999999999"/>
    <n v="147.8856161999999"/>
    <n v="1192.6832353187356"/>
    <n v="108.84073823821267"/>
    <x v="0"/>
  </r>
  <r>
    <s v="Regular"/>
    <x v="0"/>
    <x v="0"/>
    <x v="0"/>
    <x v="0"/>
    <x v="0"/>
    <x v="0"/>
    <x v="1"/>
    <x v="3"/>
    <n v="119"/>
    <n v="101.14999999999999"/>
    <n v="7.806"/>
    <n v="7.3376400000000004"/>
    <n v="7.806"/>
    <n v="7.3376400000000004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50.0578603999999"/>
    <n v="1182.7442083577466"/>
    <n v="110.43946479754167"/>
    <x v="0"/>
  </r>
  <r>
    <s v="Regular"/>
    <x v="0"/>
    <x v="0"/>
    <x v="0"/>
    <x v="0"/>
    <x v="0"/>
    <x v="0"/>
    <x v="1"/>
    <x v="4"/>
    <n v="122"/>
    <n v="103.7"/>
    <n v="7.3620000000000001"/>
    <n v="6.92028"/>
    <n v="7.3620000000000001"/>
    <n v="6.92028"/>
    <n v="0"/>
    <s v="CATIVO"/>
    <n v="0"/>
    <n v="8"/>
    <n v="14"/>
    <n v="77"/>
    <n v="56.33"/>
    <n v="71.14"/>
    <n v="249.25"/>
    <n v="66.260179739929754"/>
    <n v="99.958395464781461"/>
    <n v="135.84198201737277"/>
    <n v="1030.8389999999997"/>
    <n v="141.52267080000004"/>
    <n v="1212.5612892407144"/>
    <n v="104.1577427414172"/>
    <x v="0"/>
  </r>
  <r>
    <s v="Regular"/>
    <x v="0"/>
    <x v="0"/>
    <x v="0"/>
    <x v="0"/>
    <x v="0"/>
    <x v="0"/>
    <x v="1"/>
    <x v="5"/>
    <n v="122"/>
    <n v="103.7"/>
    <n v="7.2539999999999996"/>
    <n v="6.8187600000000002"/>
    <n v="7.2539999999999996"/>
    <n v="6.8187600000000002"/>
    <n v="0"/>
    <s v="CATIVO"/>
    <n v="0"/>
    <n v="8"/>
    <n v="14"/>
    <n v="77"/>
    <n v="56.33"/>
    <n v="71.14"/>
    <n v="249.25"/>
    <n v="66.260179739929754"/>
    <n v="99.958395464781461"/>
    <n v="135.84198201737277"/>
    <n v="1030.8389999999997"/>
    <n v="139.44654359999981"/>
    <n v="1212.5612892407144"/>
    <n v="102.62975629533267"/>
    <x v="0"/>
  </r>
  <r>
    <s v="Regular"/>
    <x v="0"/>
    <x v="0"/>
    <x v="0"/>
    <x v="0"/>
    <x v="0"/>
    <x v="0"/>
    <x v="1"/>
    <x v="6"/>
    <n v="121"/>
    <n v="102.85"/>
    <n v="7.9989999999999997"/>
    <n v="7.5190599999999996"/>
    <n v="7.9989999999999997"/>
    <n v="7.5190599999999996"/>
    <n v="0"/>
    <s v="CATIVO"/>
    <n v="0"/>
    <n v="8"/>
    <n v="14"/>
    <n v="77"/>
    <n v="56.33"/>
    <n v="71.14"/>
    <n v="249.25"/>
    <n v="66.260179739929754"/>
    <n v="99.958395464781461"/>
    <n v="135.84198201737277"/>
    <n v="1022.3895000000003"/>
    <n v="153.76797660000003"/>
    <n v="1202.6222622797254"/>
    <n v="113.17003316878512"/>
    <x v="0"/>
  </r>
  <r>
    <s v="Regular"/>
    <x v="0"/>
    <x v="0"/>
    <x v="0"/>
    <x v="0"/>
    <x v="0"/>
    <x v="0"/>
    <x v="1"/>
    <x v="7"/>
    <n v="119"/>
    <n v="101.14999999999999"/>
    <n v="7.383"/>
    <n v="6.9400199999999996"/>
    <n v="7.383"/>
    <n v="6.9400199999999996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41.92636220000011"/>
    <n v="1182.7442083577466"/>
    <n v="104.45485121704476"/>
    <x v="0"/>
  </r>
  <r>
    <s v="Regular"/>
    <x v="0"/>
    <x v="0"/>
    <x v="0"/>
    <x v="0"/>
    <x v="0"/>
    <x v="0"/>
    <x v="1"/>
    <x v="8"/>
    <n v="134"/>
    <n v="113.89999999999999"/>
    <n v="7.6139999999999999"/>
    <n v="7.1571600000000002"/>
    <n v="7.6139999999999999"/>
    <n v="7.1571600000000002"/>
    <n v="0"/>
    <s v="CATIVO"/>
    <n v="0"/>
    <n v="8"/>
    <n v="14"/>
    <n v="77"/>
    <n v="56.33"/>
    <n v="71.14"/>
    <n v="249.25"/>
    <n v="66.260179739929754"/>
    <n v="99.958395464781461"/>
    <n v="135.84198201737277"/>
    <n v="1132.2330000000004"/>
    <n v="146.3669675999999"/>
    <n v="1331.8296127725887"/>
    <n v="107.72304444894726"/>
    <x v="0"/>
  </r>
  <r>
    <s v="Regular"/>
    <x v="0"/>
    <x v="0"/>
    <x v="0"/>
    <x v="0"/>
    <x v="0"/>
    <x v="0"/>
    <x v="1"/>
    <x v="9"/>
    <n v="119"/>
    <n v="101.14999999999999"/>
    <n v="7.6159999999999997"/>
    <n v="7.1590400000000001"/>
    <n v="7.6159999999999997"/>
    <n v="7.1590400000000001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46.40541439999987"/>
    <n v="1182.7442083577466"/>
    <n v="107.75134049424511"/>
    <x v="0"/>
  </r>
  <r>
    <s v="Regular"/>
    <x v="0"/>
    <x v="0"/>
    <x v="0"/>
    <x v="0"/>
    <x v="0"/>
    <x v="0"/>
    <x v="1"/>
    <x v="10"/>
    <n v="119"/>
    <n v="101.14999999999999"/>
    <n v="7.0119999999999996"/>
    <n v="6.5912800000000002"/>
    <n v="7.0119999999999996"/>
    <n v="6.5912800000000002"/>
    <n v="0"/>
    <s v="CATIVO"/>
    <n v="0"/>
    <n v="8"/>
    <n v="14"/>
    <n v="77"/>
    <n v="56.33"/>
    <n v="71.14"/>
    <n v="249.25"/>
    <n v="66.260179739929754"/>
    <n v="99.958395464781461"/>
    <n v="135.84198201737277"/>
    <n v="1005.4905000000005"/>
    <n v="134.79448079999977"/>
    <n v="1182.7442083577466"/>
    <n v="99.205934814291766"/>
    <x v="0"/>
  </r>
  <r>
    <s v="Regular"/>
    <x v="0"/>
    <x v="0"/>
    <x v="0"/>
    <x v="0"/>
    <x v="0"/>
    <x v="0"/>
    <x v="1"/>
    <x v="11"/>
    <n v="122"/>
    <n v="103.7"/>
    <n v="7.9409999999999998"/>
    <n v="7.4645400000000004"/>
    <n v="7.9409999999999998"/>
    <n v="7.4645400000000004"/>
    <n v="0"/>
    <s v="CATIVO"/>
    <n v="0"/>
    <n v="8"/>
    <n v="14"/>
    <n v="77"/>
    <n v="56.33"/>
    <n v="71.14"/>
    <n v="249.25"/>
    <n v="66.260179739929754"/>
    <n v="99.958395464781461"/>
    <n v="135.84198201737277"/>
    <n v="1030.8389999999997"/>
    <n v="152.65301939999983"/>
    <n v="1212.5612892407144"/>
    <n v="112.34944785514708"/>
    <x v="0"/>
  </r>
  <r>
    <s v="Regular"/>
    <x v="0"/>
    <x v="1"/>
    <x v="1"/>
    <x v="1"/>
    <x v="1"/>
    <x v="1"/>
    <x v="0"/>
    <x v="0"/>
    <n v="2500"/>
    <n v="750.00000000000011"/>
    <n v="481.97800000000001"/>
    <n v="144.59340000000003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270"/>
    <n v="3549.2859919999996"/>
    <n v="29516.869831879423"/>
    <n v="2011.2897141089991"/>
    <x v="1"/>
  </r>
  <r>
    <s v="Regular"/>
    <x v="0"/>
    <x v="1"/>
    <x v="1"/>
    <x v="1"/>
    <x v="1"/>
    <x v="1"/>
    <x v="0"/>
    <x v="1"/>
    <n v="2500"/>
    <n v="750.00000000000011"/>
    <n v="292.416"/>
    <n v="87.724800000000016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270"/>
    <n v="2153.3514239999995"/>
    <n v="29516.869831879423"/>
    <n v="1220.2492500506187"/>
    <x v="1"/>
  </r>
  <r>
    <s v="Regular"/>
    <x v="0"/>
    <x v="1"/>
    <x v="1"/>
    <x v="1"/>
    <x v="1"/>
    <x v="1"/>
    <x v="0"/>
    <x v="2"/>
    <n v="2500"/>
    <n v="750.00000000000011"/>
    <n v="342.30599999999998"/>
    <n v="102.69180000000001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270"/>
    <n v="2520.7413839999999"/>
    <n v="29516.869831879423"/>
    <n v="1428.4397563328514"/>
    <x v="1"/>
  </r>
  <r>
    <s v="Regular"/>
    <x v="0"/>
    <x v="1"/>
    <x v="1"/>
    <x v="1"/>
    <x v="1"/>
    <x v="1"/>
    <x v="0"/>
    <x v="3"/>
    <n v="2550"/>
    <n v="765.00000000000011"/>
    <n v="379.07299999999998"/>
    <n v="113.72190000000001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775.399999999998"/>
    <n v="2791.4935719999994"/>
    <n v="30107.207228517011"/>
    <n v="1581.8681055907959"/>
    <x v="1"/>
  </r>
  <r>
    <s v="Regular"/>
    <x v="0"/>
    <x v="1"/>
    <x v="1"/>
    <x v="1"/>
    <x v="1"/>
    <x v="1"/>
    <x v="0"/>
    <x v="4"/>
    <n v="2550"/>
    <n v="765.00000000000011"/>
    <n v="538.346"/>
    <n v="161.50380000000001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775.399999999998"/>
    <n v="3964.3799439999998"/>
    <n v="30107.207228517011"/>
    <n v="2246.512854179492"/>
    <x v="1"/>
  </r>
  <r>
    <s v="Regular"/>
    <x v="0"/>
    <x v="1"/>
    <x v="1"/>
    <x v="1"/>
    <x v="1"/>
    <x v="1"/>
    <x v="0"/>
    <x v="5"/>
    <n v="2550"/>
    <n v="765.00000000000011"/>
    <n v="463.702"/>
    <n v="139.11060000000003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775.399999999998"/>
    <n v="3414.7015279999996"/>
    <n v="30107.207228517011"/>
    <n v="1935.0241359808354"/>
    <x v="1"/>
  </r>
  <r>
    <s v="Regular"/>
    <x v="0"/>
    <x v="1"/>
    <x v="1"/>
    <x v="1"/>
    <x v="1"/>
    <x v="1"/>
    <x v="0"/>
    <x v="6"/>
    <n v="2809"/>
    <n v="842.70000000000016"/>
    <n v="449.02300000000002"/>
    <n v="134.70690000000002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8393.371999999996"/>
    <n v="3306.605372"/>
    <n v="33165.154943099718"/>
    <n v="1873.7688054192622"/>
    <x v="1"/>
  </r>
  <r>
    <s v="Regular"/>
    <x v="0"/>
    <x v="1"/>
    <x v="1"/>
    <x v="1"/>
    <x v="1"/>
    <x v="1"/>
    <x v="0"/>
    <x v="7"/>
    <n v="2832"/>
    <n v="849.60000000000014"/>
    <n v="396.52499999999998"/>
    <n v="118.95750000000001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8625.855999999996"/>
    <n v="2920.0101"/>
    <n v="33436.710145553006"/>
    <n v="1654.6951393778781"/>
    <x v="1"/>
  </r>
  <r>
    <s v="Regular"/>
    <x v="0"/>
    <x v="1"/>
    <x v="1"/>
    <x v="1"/>
    <x v="1"/>
    <x v="1"/>
    <x v="0"/>
    <x v="8"/>
    <n v="2778"/>
    <n v="833.40000000000009"/>
    <n v="459.20699999999999"/>
    <n v="137.76210000000003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8080.023999999998"/>
    <n v="3381.6003479999995"/>
    <n v="32799.145757184415"/>
    <n v="1916.2665427609791"/>
    <x v="1"/>
  </r>
  <r>
    <s v="Regular"/>
    <x v="0"/>
    <x v="1"/>
    <x v="1"/>
    <x v="1"/>
    <x v="1"/>
    <x v="1"/>
    <x v="0"/>
    <x v="9"/>
    <n v="2876"/>
    <n v="862.80000000000018"/>
    <n v="480.66399999999999"/>
    <n v="144.19920000000002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9070.607999999997"/>
    <n v="3539.6096959999995"/>
    <n v="33956.207054594088"/>
    <n v="2005.8064043223715"/>
    <x v="1"/>
  </r>
  <r>
    <s v="Regular"/>
    <x v="0"/>
    <x v="1"/>
    <x v="1"/>
    <x v="1"/>
    <x v="1"/>
    <x v="1"/>
    <x v="0"/>
    <x v="10"/>
    <n v="2550"/>
    <n v="765.00000000000011"/>
    <n v="400.822"/>
    <n v="120.24660000000002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25775.399999999998"/>
    <n v="2951.6532079999997"/>
    <n v="30107.207228517011"/>
    <n v="1672.6264804381058"/>
    <x v="1"/>
  </r>
  <r>
    <s v="Regular"/>
    <x v="0"/>
    <x v="1"/>
    <x v="1"/>
    <x v="1"/>
    <x v="1"/>
    <x v="1"/>
    <x v="0"/>
    <x v="11"/>
    <n v="3195"/>
    <n v="958.50000000000011"/>
    <n v="487.95299999999997"/>
    <n v="146.38590000000002"/>
    <n v="0"/>
    <n v="0"/>
    <n v="0"/>
    <s v="SUPRIMENTO"/>
    <n v="5351"/>
    <n v="6"/>
    <n v="1"/>
    <n v="0"/>
    <n v="14.44"/>
    <n v="10.52"/>
    <n v="0"/>
    <n v="16.866782761073956"/>
    <n v="5.9614152931372661"/>
    <n v="142.74630381648396"/>
    <n v="32295.059999999998"/>
    <n v="3593.2858919999999"/>
    <n v="37722.559645141904"/>
    <n v="2036.2233335725457"/>
    <x v="1"/>
  </r>
  <r>
    <s v="Regular"/>
    <x v="0"/>
    <x v="1"/>
    <x v="1"/>
    <x v="1"/>
    <x v="1"/>
    <x v="1"/>
    <x v="2"/>
    <x v="0"/>
    <n v="0"/>
    <n v="0"/>
    <n v="0"/>
    <n v="0"/>
    <n v="1076.577"/>
    <n v="101.09058029999998"/>
    <n v="0"/>
    <s v="SUPRIMENTO"/>
    <n v="5351"/>
    <n v="0"/>
    <n v="0"/>
    <n v="78"/>
    <n v="0"/>
    <n v="0"/>
    <n v="248.68"/>
    <n v="53.17670153396962"/>
    <n v="5.9614152931372661"/>
    <n v="142.74630381648396"/>
    <n v="0"/>
    <n v="242583.96285099603"/>
    <n v="0"/>
    <n v="139247.08083535038"/>
    <x v="1"/>
  </r>
  <r>
    <s v="Regular"/>
    <x v="0"/>
    <x v="1"/>
    <x v="1"/>
    <x v="1"/>
    <x v="1"/>
    <x v="1"/>
    <x v="2"/>
    <x v="1"/>
    <n v="0"/>
    <n v="0"/>
    <n v="0"/>
    <n v="0"/>
    <n v="1112.021"/>
    <n v="104.41877189999998"/>
    <n v="0"/>
    <s v="SUPRIMENTO"/>
    <n v="5351"/>
    <n v="0"/>
    <n v="0"/>
    <n v="78"/>
    <n v="0"/>
    <n v="0"/>
    <n v="248.68"/>
    <n v="53.17670153396962"/>
    <n v="5.9614152931372661"/>
    <n v="142.74630381648396"/>
    <n v="0"/>
    <n v="250570.522083908"/>
    <n v="0"/>
    <n v="143831.49377852876"/>
    <x v="1"/>
  </r>
  <r>
    <s v="Regular"/>
    <x v="0"/>
    <x v="1"/>
    <x v="1"/>
    <x v="1"/>
    <x v="1"/>
    <x v="1"/>
    <x v="2"/>
    <x v="2"/>
    <n v="0"/>
    <n v="0"/>
    <n v="0"/>
    <n v="0"/>
    <n v="1103.4000000000001"/>
    <n v="103.60925999999999"/>
    <n v="0"/>
    <s v="SUPRIMENTO"/>
    <n v="5351"/>
    <n v="0"/>
    <n v="0"/>
    <n v="78"/>
    <n v="0"/>
    <n v="0"/>
    <n v="248.68"/>
    <n v="53.17670153396962"/>
    <n v="5.9614152931372661"/>
    <n v="142.74630381648396"/>
    <n v="0"/>
    <n v="248627.96122320005"/>
    <n v="0"/>
    <n v="142716.43272494734"/>
    <x v="1"/>
  </r>
  <r>
    <s v="Regular"/>
    <x v="0"/>
    <x v="1"/>
    <x v="1"/>
    <x v="1"/>
    <x v="1"/>
    <x v="1"/>
    <x v="2"/>
    <x v="3"/>
    <n v="0"/>
    <n v="0"/>
    <n v="0"/>
    <n v="0"/>
    <n v="1146.7660000000001"/>
    <n v="107.68132739999999"/>
    <n v="0"/>
    <s v="SUPRIMENTO"/>
    <n v="5351"/>
    <n v="0"/>
    <n v="0"/>
    <n v="78"/>
    <n v="0"/>
    <n v="0"/>
    <n v="248.68"/>
    <n v="53.17670153396962"/>
    <n v="5.9614152931372661"/>
    <n v="142.74630381648396"/>
    <n v="0"/>
    <n v="258399.57638216802"/>
    <n v="0"/>
    <n v="148325.49636601136"/>
    <x v="1"/>
  </r>
  <r>
    <s v="Regular"/>
    <x v="0"/>
    <x v="1"/>
    <x v="1"/>
    <x v="1"/>
    <x v="1"/>
    <x v="1"/>
    <x v="2"/>
    <x v="4"/>
    <n v="0"/>
    <n v="0"/>
    <n v="0"/>
    <n v="0"/>
    <n v="1261.893"/>
    <n v="118.49175269999998"/>
    <n v="0"/>
    <s v="SUPRIMENTO"/>
    <n v="5351"/>
    <n v="0"/>
    <n v="0"/>
    <n v="78"/>
    <n v="0"/>
    <n v="0"/>
    <n v="248.68"/>
    <n v="53.17670153396962"/>
    <n v="5.9614152931372661"/>
    <n v="142.74630381648396"/>
    <n v="0"/>
    <n v="284341.02217856399"/>
    <n v="0"/>
    <n v="163216.3018312325"/>
    <x v="1"/>
  </r>
  <r>
    <s v="Regular"/>
    <x v="0"/>
    <x v="1"/>
    <x v="1"/>
    <x v="1"/>
    <x v="1"/>
    <x v="1"/>
    <x v="2"/>
    <x v="5"/>
    <n v="0"/>
    <n v="0"/>
    <n v="0"/>
    <n v="0"/>
    <n v="1131.1489999999999"/>
    <n v="106.21489109999997"/>
    <n v="0"/>
    <s v="SUPRIMENTO"/>
    <n v="5351"/>
    <n v="0"/>
    <n v="0"/>
    <n v="78"/>
    <n v="0"/>
    <n v="0"/>
    <n v="248.68"/>
    <n v="53.17670153396962"/>
    <n v="5.9614152931372661"/>
    <n v="142.74630381648396"/>
    <n v="0"/>
    <n v="254880.614201252"/>
    <n v="0"/>
    <n v="146305.55570091665"/>
    <x v="1"/>
  </r>
  <r>
    <s v="Regular"/>
    <x v="0"/>
    <x v="1"/>
    <x v="1"/>
    <x v="1"/>
    <x v="1"/>
    <x v="1"/>
    <x v="2"/>
    <x v="6"/>
    <n v="0"/>
    <n v="0"/>
    <n v="0"/>
    <n v="0"/>
    <n v="1232.3889999999999"/>
    <n v="115.72132709999997"/>
    <n v="0"/>
    <s v="SUPRIMENTO"/>
    <n v="5351"/>
    <n v="0"/>
    <n v="0"/>
    <n v="78"/>
    <n v="0"/>
    <n v="0"/>
    <n v="248.68"/>
    <n v="53.17670153396962"/>
    <n v="5.9614152931372661"/>
    <n v="142.74630381648396"/>
    <n v="0"/>
    <n v="277692.91689677199"/>
    <n v="0"/>
    <n v="159400.18289782951"/>
    <x v="1"/>
  </r>
  <r>
    <s v="Regular"/>
    <x v="0"/>
    <x v="1"/>
    <x v="1"/>
    <x v="1"/>
    <x v="1"/>
    <x v="1"/>
    <x v="2"/>
    <x v="7"/>
    <n v="0"/>
    <n v="0"/>
    <n v="0"/>
    <n v="0"/>
    <n v="1130.751"/>
    <n v="106.17751889999998"/>
    <n v="0"/>
    <s v="SUPRIMENTO"/>
    <n v="5351"/>
    <n v="0"/>
    <n v="0"/>
    <n v="78"/>
    <n v="0"/>
    <n v="0"/>
    <n v="248.68"/>
    <n v="53.17670153396962"/>
    <n v="5.9614152931372661"/>
    <n v="142.74630381648396"/>
    <n v="0"/>
    <n v="254790.93327994799"/>
    <n v="0"/>
    <n v="146254.07741541319"/>
    <x v="1"/>
  </r>
  <r>
    <s v="Regular"/>
    <x v="0"/>
    <x v="1"/>
    <x v="1"/>
    <x v="1"/>
    <x v="1"/>
    <x v="1"/>
    <x v="2"/>
    <x v="8"/>
    <n v="0"/>
    <n v="0"/>
    <n v="0"/>
    <n v="0"/>
    <n v="1104.546"/>
    <n v="103.71686939999999"/>
    <n v="0"/>
    <s v="SUPRIMENTO"/>
    <n v="5351"/>
    <n v="0"/>
    <n v="0"/>
    <n v="78"/>
    <n v="0"/>
    <n v="0"/>
    <n v="248.68"/>
    <n v="53.17670153396962"/>
    <n v="5.9614152931372661"/>
    <n v="142.74630381648396"/>
    <n v="0"/>
    <n v="248886.18819760802"/>
    <n v="0"/>
    <n v="142864.65914501512"/>
    <x v="1"/>
  </r>
  <r>
    <s v="Regular"/>
    <x v="0"/>
    <x v="1"/>
    <x v="1"/>
    <x v="1"/>
    <x v="1"/>
    <x v="1"/>
    <x v="2"/>
    <x v="9"/>
    <n v="0"/>
    <n v="0"/>
    <n v="0"/>
    <n v="0"/>
    <n v="1194.6420000000001"/>
    <n v="112.17688379999998"/>
    <n v="0"/>
    <s v="SUPRIMENTO"/>
    <n v="5351"/>
    <n v="0"/>
    <n v="0"/>
    <n v="78"/>
    <n v="0"/>
    <n v="0"/>
    <n v="248.68"/>
    <n v="53.17670153396962"/>
    <n v="5.9614152931372661"/>
    <n v="142.74630381648396"/>
    <n v="0"/>
    <n v="269187.42509661603"/>
    <n v="0"/>
    <n v="154517.89434783082"/>
    <x v="1"/>
  </r>
  <r>
    <s v="Regular"/>
    <x v="0"/>
    <x v="1"/>
    <x v="1"/>
    <x v="1"/>
    <x v="1"/>
    <x v="1"/>
    <x v="2"/>
    <x v="10"/>
    <n v="0"/>
    <n v="0"/>
    <n v="0"/>
    <n v="0"/>
    <n v="1172.8879999999999"/>
    <n v="110.13418319999997"/>
    <n v="0"/>
    <s v="SUPRIMENTO"/>
    <n v="5351"/>
    <n v="0"/>
    <n v="0"/>
    <n v="78"/>
    <n v="0"/>
    <n v="0"/>
    <n v="248.68"/>
    <n v="53.17670153396962"/>
    <n v="5.9614152931372661"/>
    <n v="142.74630381648396"/>
    <n v="0"/>
    <n v="264285.619161824"/>
    <n v="0"/>
    <n v="151704.17921506072"/>
    <x v="1"/>
  </r>
  <r>
    <s v="Regular"/>
    <x v="0"/>
    <x v="1"/>
    <x v="1"/>
    <x v="1"/>
    <x v="1"/>
    <x v="1"/>
    <x v="2"/>
    <x v="11"/>
    <n v="0"/>
    <n v="0"/>
    <n v="0"/>
    <n v="0"/>
    <n v="1179.9749999999999"/>
    <n v="110.79965249999997"/>
    <n v="0"/>
    <s v="SUPRIMENTO"/>
    <n v="5351"/>
    <n v="0"/>
    <n v="0"/>
    <n v="78"/>
    <n v="0"/>
    <n v="0"/>
    <n v="248.68"/>
    <n v="53.17670153396962"/>
    <n v="5.9614152931372661"/>
    <n v="142.74630381648396"/>
    <n v="0"/>
    <n v="265882.52541629999"/>
    <n v="0"/>
    <n v="152620.82898732982"/>
    <x v="1"/>
  </r>
  <r>
    <s v="Regular"/>
    <x v="0"/>
    <x v="1"/>
    <x v="1"/>
    <x v="1"/>
    <x v="1"/>
    <x v="1"/>
    <x v="1"/>
    <x v="0"/>
    <n v="2450"/>
    <n v="735.00000000000011"/>
    <n v="91.91"/>
    <n v="27.5730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76.82523999999989"/>
    <n v="86488.209299327864"/>
    <n v="383.53957571457221"/>
    <x v="1"/>
  </r>
  <r>
    <s v="Regular"/>
    <x v="0"/>
    <x v="1"/>
    <x v="1"/>
    <x v="1"/>
    <x v="1"/>
    <x v="1"/>
    <x v="1"/>
    <x v="1"/>
    <n v="2450"/>
    <n v="735.00000000000011"/>
    <n v="70.344999999999999"/>
    <n v="21.1035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518.02057999999988"/>
    <n v="86488.209299327864"/>
    <n v="293.54903115701865"/>
    <x v="1"/>
  </r>
  <r>
    <s v="Regular"/>
    <x v="0"/>
    <x v="1"/>
    <x v="1"/>
    <x v="1"/>
    <x v="1"/>
    <x v="1"/>
    <x v="1"/>
    <x v="2"/>
    <n v="2450"/>
    <n v="735.00000000000011"/>
    <n v="75.930999999999997"/>
    <n v="22.779300000000003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559.1558839999999"/>
    <n v="86488.209299327864"/>
    <n v="316.85935723624397"/>
    <x v="1"/>
  </r>
  <r>
    <s v="Regular"/>
    <x v="0"/>
    <x v="1"/>
    <x v="1"/>
    <x v="1"/>
    <x v="1"/>
    <x v="1"/>
    <x v="1"/>
    <x v="3"/>
    <n v="2450"/>
    <n v="735.00000000000011"/>
    <n v="90.515000000000001"/>
    <n v="27.154500000000006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66.55245999999988"/>
    <n v="86488.209299327864"/>
    <n v="377.71825368082369"/>
    <x v="1"/>
  </r>
  <r>
    <s v="Regular"/>
    <x v="0"/>
    <x v="1"/>
    <x v="1"/>
    <x v="1"/>
    <x v="1"/>
    <x v="1"/>
    <x v="1"/>
    <x v="4"/>
    <n v="2450"/>
    <n v="735.00000000000011"/>
    <n v="93.067999999999998"/>
    <n v="27.9204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85.3527519999999"/>
    <n v="86488.209299327864"/>
    <n v="388.37189895118934"/>
    <x v="1"/>
  </r>
  <r>
    <s v="Regular"/>
    <x v="0"/>
    <x v="1"/>
    <x v="1"/>
    <x v="1"/>
    <x v="1"/>
    <x v="1"/>
    <x v="1"/>
    <x v="5"/>
    <n v="2450"/>
    <n v="735.00000000000011"/>
    <n v="87.688000000000002"/>
    <n v="26.3064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45.73443199999997"/>
    <n v="86488.209299327864"/>
    <n v="365.9212089572344"/>
    <x v="1"/>
  </r>
  <r>
    <s v="Regular"/>
    <x v="0"/>
    <x v="1"/>
    <x v="1"/>
    <x v="1"/>
    <x v="1"/>
    <x v="1"/>
    <x v="1"/>
    <x v="6"/>
    <n v="2450"/>
    <n v="735.00000000000011"/>
    <n v="89.024000000000001"/>
    <n v="26.7072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55.57273599999996"/>
    <n v="86488.209299327864"/>
    <n v="371.49632453937642"/>
    <x v="1"/>
  </r>
  <r>
    <s v="Regular"/>
    <x v="0"/>
    <x v="1"/>
    <x v="1"/>
    <x v="1"/>
    <x v="1"/>
    <x v="1"/>
    <x v="1"/>
    <x v="7"/>
    <n v="2450"/>
    <n v="735.00000000000011"/>
    <n v="79.69"/>
    <n v="23.907000000000004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586.83715999999993"/>
    <n v="86488.209299327864"/>
    <n v="332.54562929707606"/>
    <x v="1"/>
  </r>
  <r>
    <s v="Regular"/>
    <x v="0"/>
    <x v="1"/>
    <x v="1"/>
    <x v="1"/>
    <x v="1"/>
    <x v="1"/>
    <x v="1"/>
    <x v="8"/>
    <n v="2450"/>
    <n v="735.00000000000011"/>
    <n v="91.590999999999994"/>
    <n v="27.477300000000003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74.47612399999991"/>
    <n v="86488.209299327864"/>
    <n v="382.20839167961469"/>
    <x v="1"/>
  </r>
  <r>
    <s v="Regular"/>
    <x v="0"/>
    <x v="1"/>
    <x v="1"/>
    <x v="1"/>
    <x v="1"/>
    <x v="1"/>
    <x v="1"/>
    <x v="9"/>
    <n v="2450"/>
    <n v="735.00000000000011"/>
    <n v="95.867000000000004"/>
    <n v="28.760100000000005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705.96458799999994"/>
    <n v="86488.209299327864"/>
    <n v="400.0520999350332"/>
    <x v="1"/>
  </r>
  <r>
    <s v="Regular"/>
    <x v="0"/>
    <x v="1"/>
    <x v="1"/>
    <x v="1"/>
    <x v="1"/>
    <x v="1"/>
    <x v="1"/>
    <x v="10"/>
    <n v="2450"/>
    <n v="735.00000000000011"/>
    <n v="92.832999999999998"/>
    <n v="27.849900000000005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73796.45"/>
    <n v="683.62221199999988"/>
    <n v="86488.209299327864"/>
    <n v="387.39124613546824"/>
    <x v="1"/>
  </r>
  <r>
    <s v="Regular"/>
    <x v="0"/>
    <x v="1"/>
    <x v="1"/>
    <x v="1"/>
    <x v="1"/>
    <x v="1"/>
    <x v="1"/>
    <x v="11"/>
    <n v="2862"/>
    <n v="858.60000000000014"/>
    <n v="112.767"/>
    <n v="33.830100000000002"/>
    <n v="0"/>
    <n v="0"/>
    <n v="0"/>
    <s v="SUPRIMENTO"/>
    <n v="5351"/>
    <n v="15"/>
    <n v="1"/>
    <n v="0"/>
    <n v="43.03"/>
    <n v="10.52"/>
    <n v="0"/>
    <n v="50.430442740132868"/>
    <n v="5.9614152931372661"/>
    <n v="142.74630381648396"/>
    <n v="86206.301999999996"/>
    <n v="830.41618799999992"/>
    <n v="101032.34898558218"/>
    <n v="470.57564285284701"/>
    <x v="1"/>
  </r>
  <r>
    <s v="Regular"/>
    <x v="0"/>
    <x v="2"/>
    <x v="1"/>
    <x v="1"/>
    <x v="0"/>
    <x v="2"/>
    <x v="2"/>
    <x v="0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0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0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0"/>
    <n v="666"/>
    <n v="333"/>
    <n v="0"/>
    <n v="0"/>
    <n v="0"/>
    <n v="0"/>
    <n v="0"/>
    <s v="GERAÇÃO"/>
    <n v="30591"/>
    <n v="16"/>
    <n v="0"/>
    <n v="0"/>
    <n v="3.52"/>
    <n v="0"/>
    <n v="0"/>
    <n v="3.1407641523301653"/>
    <m/>
    <m/>
    <n v="1172.1600000000001"/>
    <n v="0"/>
    <n v="1045.874462725945"/>
    <n v="0"/>
    <x v="2"/>
  </r>
  <r>
    <s v="Regular"/>
    <x v="0"/>
    <x v="2"/>
    <x v="1"/>
    <x v="1"/>
    <x v="0"/>
    <x v="2"/>
    <x v="2"/>
    <x v="1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1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1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1"/>
    <n v="768"/>
    <n v="384"/>
    <n v="0"/>
    <n v="0"/>
    <n v="0"/>
    <n v="0"/>
    <n v="0"/>
    <s v="GERAÇÃO"/>
    <n v="30591"/>
    <n v="16"/>
    <n v="0"/>
    <n v="0"/>
    <n v="3.52"/>
    <n v="0"/>
    <n v="0"/>
    <n v="3.1407641523301653"/>
    <m/>
    <m/>
    <n v="1351.68"/>
    <n v="0"/>
    <n v="1206.0534344947835"/>
    <n v="0"/>
    <x v="2"/>
  </r>
  <r>
    <s v="Regular"/>
    <x v="0"/>
    <x v="2"/>
    <x v="1"/>
    <x v="1"/>
    <x v="0"/>
    <x v="2"/>
    <x v="2"/>
    <x v="2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2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2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2"/>
    <n v="532"/>
    <n v="266"/>
    <n v="0"/>
    <n v="0"/>
    <n v="0"/>
    <n v="0"/>
    <n v="0"/>
    <s v="GERAÇÃO"/>
    <n v="30591"/>
    <n v="16"/>
    <n v="0"/>
    <n v="0"/>
    <n v="3.52"/>
    <n v="0"/>
    <n v="0"/>
    <n v="3.1407641523301653"/>
    <m/>
    <m/>
    <n v="936.32"/>
    <n v="0"/>
    <n v="835.44326451982397"/>
    <n v="0"/>
    <x v="2"/>
  </r>
  <r>
    <s v="Regular"/>
    <x v="0"/>
    <x v="2"/>
    <x v="1"/>
    <x v="1"/>
    <x v="0"/>
    <x v="2"/>
    <x v="2"/>
    <x v="3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3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3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3"/>
    <n v="639"/>
    <n v="319.5"/>
    <n v="0"/>
    <n v="0"/>
    <n v="0"/>
    <n v="0"/>
    <n v="0"/>
    <s v="GERAÇÃO"/>
    <n v="30591"/>
    <n v="16"/>
    <n v="0"/>
    <n v="0"/>
    <n v="3.52"/>
    <n v="0"/>
    <n v="0"/>
    <n v="3.1407641523301653"/>
    <m/>
    <m/>
    <n v="1124.6400000000001"/>
    <n v="0"/>
    <n v="1003.4741466694878"/>
    <n v="0"/>
    <x v="2"/>
  </r>
  <r>
    <s v="Regular"/>
    <x v="0"/>
    <x v="2"/>
    <x v="1"/>
    <x v="1"/>
    <x v="0"/>
    <x v="2"/>
    <x v="2"/>
    <x v="4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4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4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4"/>
    <n v="639"/>
    <n v="319.5"/>
    <n v="0"/>
    <n v="0"/>
    <n v="0"/>
    <n v="0"/>
    <n v="0"/>
    <s v="GERAÇÃO"/>
    <n v="30591"/>
    <n v="16"/>
    <n v="0"/>
    <n v="0"/>
    <n v="3.52"/>
    <n v="0"/>
    <n v="0"/>
    <n v="3.1407641523301653"/>
    <m/>
    <m/>
    <n v="1124.6400000000001"/>
    <n v="0"/>
    <n v="1003.4741466694878"/>
    <n v="0"/>
    <x v="2"/>
  </r>
  <r>
    <s v="Regular"/>
    <x v="0"/>
    <x v="2"/>
    <x v="1"/>
    <x v="1"/>
    <x v="0"/>
    <x v="2"/>
    <x v="2"/>
    <x v="5"/>
    <n v="2500"/>
    <n v="2500"/>
    <n v="0"/>
    <n v="0"/>
    <n v="0"/>
    <n v="0"/>
    <n v="0"/>
    <s v="GERAÇÃO"/>
    <n v="29137"/>
    <n v="16"/>
    <n v="0"/>
    <n v="0"/>
    <n v="3.52"/>
    <n v="0"/>
    <n v="0"/>
    <n v="3.1407641523301653"/>
    <m/>
    <m/>
    <n v="0"/>
    <n v="0"/>
    <n v="0"/>
    <n v="0"/>
    <x v="2"/>
  </r>
  <r>
    <s v="Regular"/>
    <x v="0"/>
    <x v="2"/>
    <x v="1"/>
    <x v="1"/>
    <x v="0"/>
    <x v="3"/>
    <x v="2"/>
    <x v="5"/>
    <n v="335"/>
    <n v="335"/>
    <n v="0"/>
    <n v="0"/>
    <n v="0"/>
    <n v="0"/>
    <n v="0"/>
    <s v="GERAÇÃO"/>
    <m/>
    <n v="16"/>
    <n v="0"/>
    <n v="0"/>
    <n v="3.52"/>
    <n v="0"/>
    <n v="0"/>
    <n v="3.1407641523301653"/>
    <m/>
    <m/>
    <n v="0"/>
    <n v="0"/>
    <n v="0"/>
    <n v="0"/>
    <x v="2"/>
  </r>
  <r>
    <s v="Regular"/>
    <x v="0"/>
    <x v="2"/>
    <x v="1"/>
    <x v="1"/>
    <x v="0"/>
    <x v="4"/>
    <x v="2"/>
    <x v="5"/>
    <n v="1000"/>
    <n v="1000"/>
    <n v="0"/>
    <n v="0"/>
    <n v="0"/>
    <n v="0"/>
    <n v="0"/>
    <s v="GERAÇÃO"/>
    <n v="29425"/>
    <n v="16"/>
    <n v="0"/>
    <n v="0"/>
    <n v="3.52"/>
    <n v="0"/>
    <n v="0"/>
    <n v="3.1407641523301653"/>
    <m/>
    <m/>
    <n v="0"/>
    <n v="0"/>
    <n v="0"/>
    <n v="0"/>
    <x v="2"/>
  </r>
  <r>
    <s v="Regular"/>
    <x v="0"/>
    <x v="2"/>
    <x v="1"/>
    <x v="1"/>
    <x v="0"/>
    <x v="5"/>
    <x v="2"/>
    <x v="5"/>
    <n v="520"/>
    <n v="260"/>
    <n v="0"/>
    <n v="0"/>
    <n v="0"/>
    <n v="0"/>
    <n v="0"/>
    <s v="GERAÇÃO"/>
    <n v="30591"/>
    <n v="16"/>
    <n v="0"/>
    <n v="0"/>
    <n v="3.52"/>
    <n v="0"/>
    <n v="0"/>
    <n v="3.1407641523301653"/>
    <m/>
    <m/>
    <n v="915.2"/>
    <n v="0"/>
    <n v="816.59867960584302"/>
    <n v="0"/>
    <x v="2"/>
  </r>
  <r>
    <s v="Regular"/>
    <x v="0"/>
    <x v="2"/>
    <x v="1"/>
    <x v="1"/>
    <x v="0"/>
    <x v="2"/>
    <x v="2"/>
    <x v="6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6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6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6"/>
    <n v="726"/>
    <n v="363"/>
    <n v="0"/>
    <n v="0"/>
    <n v="0"/>
    <n v="0"/>
    <n v="0"/>
    <s v="GERAÇÃO"/>
    <n v="30591"/>
    <n v="16"/>
    <n v="0"/>
    <n v="0"/>
    <n v="3.52"/>
    <n v="0"/>
    <n v="0"/>
    <n v="3.1407641523301653"/>
    <m/>
    <m/>
    <n v="1277.76"/>
    <n v="0"/>
    <n v="1140.09738729585"/>
    <n v="0"/>
    <x v="2"/>
  </r>
  <r>
    <s v="Regular"/>
    <x v="0"/>
    <x v="2"/>
    <x v="1"/>
    <x v="1"/>
    <x v="0"/>
    <x v="2"/>
    <x v="2"/>
    <x v="7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7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7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7"/>
    <n v="663"/>
    <n v="331.5"/>
    <n v="0"/>
    <n v="0"/>
    <n v="0"/>
    <n v="0"/>
    <n v="0"/>
    <s v="GERAÇÃO"/>
    <n v="30591"/>
    <n v="16"/>
    <n v="0"/>
    <n v="0"/>
    <n v="3.52"/>
    <n v="0"/>
    <n v="0"/>
    <n v="3.1407641523301653"/>
    <m/>
    <m/>
    <n v="1166.8800000000001"/>
    <n v="0"/>
    <n v="1041.1633164974498"/>
    <n v="0"/>
    <x v="2"/>
  </r>
  <r>
    <s v="Regular"/>
    <x v="0"/>
    <x v="2"/>
    <x v="1"/>
    <x v="1"/>
    <x v="0"/>
    <x v="2"/>
    <x v="2"/>
    <x v="8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8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8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8"/>
    <n v="480"/>
    <n v="240"/>
    <n v="0"/>
    <n v="0"/>
    <n v="0"/>
    <n v="0"/>
    <n v="0"/>
    <s v="GERAÇÃO"/>
    <n v="30591"/>
    <n v="16"/>
    <n v="0"/>
    <n v="0"/>
    <n v="3.52"/>
    <n v="0"/>
    <n v="0"/>
    <n v="3.1407641523301653"/>
    <m/>
    <m/>
    <n v="844.8"/>
    <n v="0"/>
    <n v="753.78339655923969"/>
    <n v="0"/>
    <x v="2"/>
  </r>
  <r>
    <s v="Regular"/>
    <x v="0"/>
    <x v="2"/>
    <x v="1"/>
    <x v="1"/>
    <x v="0"/>
    <x v="2"/>
    <x v="2"/>
    <x v="9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9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9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9"/>
    <n v="509"/>
    <n v="254.5"/>
    <n v="0"/>
    <n v="0"/>
    <n v="0"/>
    <n v="0"/>
    <n v="0"/>
    <s v="GERAÇÃO"/>
    <n v="30591"/>
    <n v="16"/>
    <n v="0"/>
    <n v="0"/>
    <n v="3.52"/>
    <n v="0"/>
    <n v="0"/>
    <n v="3.1407641523301653"/>
    <m/>
    <m/>
    <n v="895.84"/>
    <n v="0"/>
    <n v="799.32447676802701"/>
    <n v="0"/>
    <x v="2"/>
  </r>
  <r>
    <s v="Regular"/>
    <x v="0"/>
    <x v="2"/>
    <x v="1"/>
    <x v="1"/>
    <x v="0"/>
    <x v="2"/>
    <x v="2"/>
    <x v="10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10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10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10"/>
    <n v="643"/>
    <n v="321.5"/>
    <n v="0"/>
    <n v="0"/>
    <n v="0"/>
    <n v="0"/>
    <n v="0"/>
    <s v="GERAÇÃO"/>
    <n v="30591"/>
    <n v="16"/>
    <n v="0"/>
    <n v="0"/>
    <n v="3.52"/>
    <n v="0"/>
    <n v="0"/>
    <n v="3.1407641523301653"/>
    <m/>
    <m/>
    <n v="1131.68"/>
    <n v="0"/>
    <n v="1009.7556749741482"/>
    <n v="0"/>
    <x v="2"/>
  </r>
  <r>
    <s v="Regular"/>
    <x v="0"/>
    <x v="2"/>
    <x v="1"/>
    <x v="1"/>
    <x v="0"/>
    <x v="2"/>
    <x v="2"/>
    <x v="11"/>
    <n v="2500"/>
    <n v="1250"/>
    <n v="0"/>
    <n v="0"/>
    <n v="0"/>
    <n v="0"/>
    <n v="0"/>
    <s v="GERAÇÃO"/>
    <n v="29137"/>
    <n v="16"/>
    <n v="0"/>
    <n v="0"/>
    <n v="3.52"/>
    <n v="0"/>
    <n v="0"/>
    <n v="3.1407641523301653"/>
    <m/>
    <m/>
    <n v="4400"/>
    <n v="0"/>
    <n v="3925.9551904127065"/>
    <n v="0"/>
    <x v="2"/>
  </r>
  <r>
    <s v="Regular"/>
    <x v="0"/>
    <x v="2"/>
    <x v="1"/>
    <x v="1"/>
    <x v="0"/>
    <x v="3"/>
    <x v="2"/>
    <x v="11"/>
    <n v="335"/>
    <n v="167.5"/>
    <n v="0"/>
    <n v="0"/>
    <n v="0"/>
    <n v="0"/>
    <n v="0"/>
    <s v="GERAÇÃO"/>
    <m/>
    <n v="16"/>
    <n v="0"/>
    <n v="0"/>
    <n v="3.52"/>
    <n v="0"/>
    <n v="0"/>
    <n v="3.1407641523301653"/>
    <m/>
    <m/>
    <n v="589.6"/>
    <n v="0"/>
    <n v="526.07799551530263"/>
    <n v="0"/>
    <x v="2"/>
  </r>
  <r>
    <s v="Regular"/>
    <x v="0"/>
    <x v="2"/>
    <x v="1"/>
    <x v="1"/>
    <x v="0"/>
    <x v="4"/>
    <x v="2"/>
    <x v="11"/>
    <n v="1000"/>
    <n v="500"/>
    <n v="0"/>
    <n v="0"/>
    <n v="0"/>
    <n v="0"/>
    <n v="0"/>
    <s v="GERAÇÃO"/>
    <n v="29425"/>
    <n v="16"/>
    <n v="0"/>
    <n v="0"/>
    <n v="3.52"/>
    <n v="0"/>
    <n v="0"/>
    <n v="3.1407641523301653"/>
    <m/>
    <m/>
    <n v="1760"/>
    <n v="0"/>
    <n v="1570.3820761650827"/>
    <n v="0"/>
    <x v="2"/>
  </r>
  <r>
    <s v="Regular"/>
    <x v="0"/>
    <x v="2"/>
    <x v="1"/>
    <x v="1"/>
    <x v="0"/>
    <x v="5"/>
    <x v="2"/>
    <x v="11"/>
    <n v="605"/>
    <n v="302.5"/>
    <n v="0"/>
    <n v="0"/>
    <n v="0"/>
    <n v="0"/>
    <n v="0"/>
    <s v="GERAÇÃO"/>
    <n v="30591"/>
    <n v="16"/>
    <n v="0"/>
    <n v="0"/>
    <n v="3.52"/>
    <n v="0"/>
    <n v="0"/>
    <n v="3.1407641523301653"/>
    <m/>
    <m/>
    <n v="1064.8"/>
    <n v="0"/>
    <n v="950.08115607987497"/>
    <n v="0"/>
    <x v="2"/>
  </r>
  <r>
    <s v="Regular"/>
    <x v="0"/>
    <x v="3"/>
    <x v="0"/>
    <x v="0"/>
    <x v="0"/>
    <x v="0"/>
    <x v="0"/>
    <x v="0"/>
    <n v="0"/>
    <n v="0"/>
    <n v="34.494"/>
    <n v="32.42436"/>
    <n v="34.494"/>
    <n v="32.42436"/>
    <n v="0"/>
    <s v="CATIVO"/>
    <n v="0"/>
    <n v="0"/>
    <n v="13"/>
    <n v="69"/>
    <n v="0"/>
    <n v="71.14"/>
    <n v="249.25"/>
    <m/>
    <n v="99.958395464781461"/>
    <n v="135.84198201737277"/>
    <n v="0"/>
    <n v="663.09195959999988"/>
    <n v="0"/>
    <n v="488.02189325216563"/>
    <x v="0"/>
  </r>
  <r>
    <s v="Regular"/>
    <x v="0"/>
    <x v="3"/>
    <x v="0"/>
    <x v="0"/>
    <x v="0"/>
    <x v="0"/>
    <x v="0"/>
    <x v="1"/>
    <n v="0"/>
    <n v="0"/>
    <n v="21.533000000000001"/>
    <n v="20.241019999999999"/>
    <n v="21.533000000000001"/>
    <n v="20.241019999999999"/>
    <n v="0"/>
    <s v="CATIVO"/>
    <n v="0"/>
    <n v="0"/>
    <n v="13"/>
    <n v="69"/>
    <n v="0"/>
    <n v="71.14"/>
    <n v="249.25"/>
    <m/>
    <n v="99.958395464781461"/>
    <n v="135.84198201737277"/>
    <n v="0"/>
    <n v="413.9374722000008"/>
    <n v="0"/>
    <n v="304.64937169939418"/>
    <x v="0"/>
  </r>
  <r>
    <s v="Regular"/>
    <x v="0"/>
    <x v="3"/>
    <x v="0"/>
    <x v="0"/>
    <x v="0"/>
    <x v="0"/>
    <x v="0"/>
    <x v="2"/>
    <n v="0"/>
    <n v="0"/>
    <n v="23.96"/>
    <n v="22.522400000000001"/>
    <n v="23.96"/>
    <n v="22.522400000000001"/>
    <n v="0"/>
    <s v="CATIVO"/>
    <n v="0"/>
    <n v="0"/>
    <n v="13"/>
    <n v="69"/>
    <n v="0"/>
    <n v="71.14"/>
    <n v="249.25"/>
    <m/>
    <n v="99.958395464781461"/>
    <n v="135.84198201737277"/>
    <n v="0"/>
    <n v="460.5926639999999"/>
    <n v="0"/>
    <n v="338.98662266834486"/>
    <x v="0"/>
  </r>
  <r>
    <s v="Regular"/>
    <x v="0"/>
    <x v="3"/>
    <x v="0"/>
    <x v="0"/>
    <x v="0"/>
    <x v="0"/>
    <x v="0"/>
    <x v="3"/>
    <n v="0"/>
    <n v="0"/>
    <n v="24.733000000000001"/>
    <n v="23.249020000000002"/>
    <n v="24.733000000000001"/>
    <n v="23.249020000000002"/>
    <n v="0"/>
    <s v="CATIVO"/>
    <n v="0"/>
    <n v="0"/>
    <n v="13"/>
    <n v="69"/>
    <n v="0"/>
    <n v="71.14"/>
    <n v="249.25"/>
    <m/>
    <n v="99.958395464781461"/>
    <n v="135.84198201737277"/>
    <n v="0"/>
    <n v="475.45235219999967"/>
    <n v="0"/>
    <n v="349.92304417596699"/>
    <x v="0"/>
  </r>
  <r>
    <s v="Regular"/>
    <x v="0"/>
    <x v="3"/>
    <x v="0"/>
    <x v="0"/>
    <x v="0"/>
    <x v="0"/>
    <x v="0"/>
    <x v="4"/>
    <n v="0"/>
    <n v="0"/>
    <n v="23.538"/>
    <n v="22.125720000000001"/>
    <n v="23.538"/>
    <n v="22.125720000000001"/>
    <n v="0"/>
    <s v="CATIVO"/>
    <n v="0"/>
    <n v="0"/>
    <n v="13"/>
    <n v="69"/>
    <n v="0"/>
    <n v="71.14"/>
    <n v="249.25"/>
    <m/>
    <n v="99.958395464781461"/>
    <n v="135.84198201737277"/>
    <n v="0"/>
    <n v="452.48038919999971"/>
    <n v="0"/>
    <n v="333.01615711049658"/>
    <x v="0"/>
  </r>
  <r>
    <s v="Regular"/>
    <x v="0"/>
    <x v="3"/>
    <x v="0"/>
    <x v="0"/>
    <x v="0"/>
    <x v="0"/>
    <x v="0"/>
    <x v="5"/>
    <n v="0"/>
    <n v="0"/>
    <n v="22.288"/>
    <n v="20.95072"/>
    <n v="22.288"/>
    <n v="20.95072"/>
    <n v="0"/>
    <s v="CATIVO"/>
    <n v="0"/>
    <n v="0"/>
    <n v="13"/>
    <n v="69"/>
    <n v="0"/>
    <n v="71.14"/>
    <n v="249.25"/>
    <m/>
    <n v="99.958395464781461"/>
    <n v="135.84198201737277"/>
    <n v="0"/>
    <n v="428.45113919999994"/>
    <n v="0"/>
    <n v="315.33112879933515"/>
    <x v="0"/>
  </r>
  <r>
    <s v="Regular"/>
    <x v="0"/>
    <x v="3"/>
    <x v="0"/>
    <x v="0"/>
    <x v="0"/>
    <x v="0"/>
    <x v="0"/>
    <x v="6"/>
    <n v="0"/>
    <n v="0"/>
    <n v="24.135999999999999"/>
    <n v="22.687840000000001"/>
    <n v="24.135999999999999"/>
    <n v="22.687840000000001"/>
    <n v="0"/>
    <s v="CATIVO"/>
    <n v="0"/>
    <n v="0"/>
    <n v="13"/>
    <n v="69"/>
    <n v="0"/>
    <n v="71.14"/>
    <n v="249.25"/>
    <m/>
    <n v="99.958395464781461"/>
    <n v="135.84198201737277"/>
    <n v="0"/>
    <n v="463.97598239999934"/>
    <n v="0"/>
    <n v="341.47667465455595"/>
    <x v="0"/>
  </r>
  <r>
    <s v="Regular"/>
    <x v="0"/>
    <x v="3"/>
    <x v="0"/>
    <x v="0"/>
    <x v="0"/>
    <x v="0"/>
    <x v="0"/>
    <x v="7"/>
    <n v="0"/>
    <n v="0"/>
    <n v="23.466999999999999"/>
    <n v="22.058979999999998"/>
    <n v="23.466999999999999"/>
    <n v="22.058979999999998"/>
    <n v="0"/>
    <s v="CATIVO"/>
    <n v="0"/>
    <n v="0"/>
    <n v="13"/>
    <n v="69"/>
    <n v="0"/>
    <n v="71.14"/>
    <n v="249.25"/>
    <m/>
    <n v="99.958395464781461"/>
    <n v="135.84198201737277"/>
    <n v="0"/>
    <n v="451.11552780000011"/>
    <n v="0"/>
    <n v="332.01164750242293"/>
    <x v="0"/>
  </r>
  <r>
    <s v="Regular"/>
    <x v="0"/>
    <x v="3"/>
    <x v="0"/>
    <x v="0"/>
    <x v="0"/>
    <x v="0"/>
    <x v="0"/>
    <x v="8"/>
    <n v="0"/>
    <n v="0"/>
    <n v="27.04"/>
    <n v="25.4176"/>
    <n v="27.04"/>
    <n v="25.4176"/>
    <n v="0"/>
    <s v="CATIVO"/>
    <n v="0"/>
    <n v="0"/>
    <n v="13"/>
    <n v="69"/>
    <n v="0"/>
    <n v="71.14"/>
    <n v="249.25"/>
    <m/>
    <n v="99.958395464781461"/>
    <n v="135.84198201737277"/>
    <n v="0"/>
    <n v="519.80073599999969"/>
    <n v="0"/>
    <n v="382.56253242704679"/>
    <x v="0"/>
  </r>
  <r>
    <s v="Regular"/>
    <x v="0"/>
    <x v="3"/>
    <x v="0"/>
    <x v="0"/>
    <x v="0"/>
    <x v="0"/>
    <x v="0"/>
    <x v="9"/>
    <n v="0"/>
    <n v="0"/>
    <n v="25.248000000000001"/>
    <n v="23.73312"/>
    <n v="25.248000000000001"/>
    <n v="23.73312"/>
    <n v="0"/>
    <s v="CATIVO"/>
    <n v="0"/>
    <n v="0"/>
    <n v="13"/>
    <n v="69"/>
    <n v="0"/>
    <n v="71.14"/>
    <n v="249.25"/>
    <m/>
    <n v="99.958395464781461"/>
    <n v="135.84198201737277"/>
    <n v="0"/>
    <n v="485.35240320000054"/>
    <n v="0"/>
    <n v="357.20927584016619"/>
    <x v="0"/>
  </r>
  <r>
    <s v="Regular"/>
    <x v="0"/>
    <x v="3"/>
    <x v="0"/>
    <x v="0"/>
    <x v="0"/>
    <x v="0"/>
    <x v="0"/>
    <x v="10"/>
    <n v="0"/>
    <n v="0"/>
    <n v="26.207999999999998"/>
    <n v="24.63552"/>
    <n v="26.207999999999998"/>
    <n v="24.63552"/>
    <n v="0"/>
    <s v="CATIVO"/>
    <n v="0"/>
    <n v="0"/>
    <n v="13"/>
    <n v="69"/>
    <n v="0"/>
    <n v="71.14"/>
    <n v="249.25"/>
    <m/>
    <n v="99.958395464781461"/>
    <n v="135.84198201737277"/>
    <n v="0"/>
    <n v="503.8068671999996"/>
    <n v="0"/>
    <n v="370.7913775831376"/>
    <x v="0"/>
  </r>
  <r>
    <s v="Regular"/>
    <x v="0"/>
    <x v="3"/>
    <x v="0"/>
    <x v="0"/>
    <x v="0"/>
    <x v="0"/>
    <x v="0"/>
    <x v="11"/>
    <n v="0"/>
    <n v="0"/>
    <n v="25.567"/>
    <n v="24.032979999999998"/>
    <n v="25.567"/>
    <n v="24.032979999999998"/>
    <n v="0"/>
    <s v="CATIVO"/>
    <n v="0"/>
    <n v="0"/>
    <n v="13"/>
    <n v="69"/>
    <n v="0"/>
    <n v="71.14"/>
    <n v="249.25"/>
    <m/>
    <n v="99.958395464781461"/>
    <n v="135.84198201737277"/>
    <n v="0"/>
    <n v="491.48466780000052"/>
    <n v="0"/>
    <n v="361.7224950651746"/>
    <x v="0"/>
  </r>
  <r>
    <s v="Regular"/>
    <x v="0"/>
    <x v="3"/>
    <x v="0"/>
    <x v="0"/>
    <x v="0"/>
    <x v="0"/>
    <x v="2"/>
    <x v="0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1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2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3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4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5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6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7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8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9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10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2"/>
    <x v="11"/>
    <n v="60"/>
    <n v="51"/>
    <n v="0"/>
    <n v="0"/>
    <n v="0"/>
    <n v="0"/>
    <n v="1"/>
    <s v="CATIVO"/>
    <n v="0"/>
    <n v="9"/>
    <n v="0"/>
    <n v="0"/>
    <n v="18.149999999999999"/>
    <n v="0"/>
    <n v="0"/>
    <n v="21.290348943914886"/>
    <m/>
    <m/>
    <n v="163.35"/>
    <n v="0"/>
    <n v="191.61314049523398"/>
    <n v="0"/>
    <x v="0"/>
  </r>
  <r>
    <s v="Regular"/>
    <x v="0"/>
    <x v="3"/>
    <x v="0"/>
    <x v="0"/>
    <x v="0"/>
    <x v="0"/>
    <x v="1"/>
    <x v="0"/>
    <n v="0"/>
    <n v="0"/>
    <n v="3.8220000000000001"/>
    <n v="3.5926799999999997"/>
    <n v="3.8220000000000001"/>
    <n v="3.5926799999999997"/>
    <n v="0"/>
    <s v="CATIVO"/>
    <n v="0"/>
    <n v="0"/>
    <n v="10"/>
    <n v="77"/>
    <n v="0"/>
    <n v="1426.09"/>
    <n v="249.25"/>
    <m/>
    <n v="1693.7290369840546"/>
    <n v="135.84198201737277"/>
    <n v="0"/>
    <n v="384.18896880000068"/>
    <n v="0"/>
    <n v="419.55722607740813"/>
    <x v="0"/>
  </r>
  <r>
    <s v="Regular"/>
    <x v="0"/>
    <x v="3"/>
    <x v="0"/>
    <x v="0"/>
    <x v="0"/>
    <x v="0"/>
    <x v="1"/>
    <x v="1"/>
    <n v="0"/>
    <n v="0"/>
    <n v="2.3199999999999998"/>
    <n v="2.1808000000000001"/>
    <n v="2.3199999999999998"/>
    <n v="2.1808000000000001"/>
    <n v="0"/>
    <s v="CATIVO"/>
    <n v="0"/>
    <n v="0"/>
    <n v="10"/>
    <n v="77"/>
    <n v="0"/>
    <n v="1426.09"/>
    <n v="249.25"/>
    <m/>
    <n v="1693.7290369840546"/>
    <n v="135.84198201737277"/>
    <n v="0"/>
    <n v="233.20732799999962"/>
    <n v="0"/>
    <n v="254.67628584499826"/>
    <x v="0"/>
  </r>
  <r>
    <s v="Regular"/>
    <x v="0"/>
    <x v="3"/>
    <x v="0"/>
    <x v="0"/>
    <x v="0"/>
    <x v="0"/>
    <x v="1"/>
    <x v="2"/>
    <n v="0"/>
    <n v="0"/>
    <n v="2.7789999999999999"/>
    <n v="2.61226"/>
    <n v="2.7789999999999999"/>
    <n v="2.61226"/>
    <n v="0"/>
    <s v="CATIVO"/>
    <n v="0"/>
    <n v="0"/>
    <n v="10"/>
    <n v="77"/>
    <n v="0"/>
    <n v="1426.09"/>
    <n v="249.25"/>
    <m/>
    <n v="1693.7290369840546"/>
    <n v="135.84198201737277"/>
    <n v="0"/>
    <n v="279.34619159999977"/>
    <n v="0"/>
    <n v="305.06267170829778"/>
    <x v="0"/>
  </r>
  <r>
    <s v="Regular"/>
    <x v="0"/>
    <x v="3"/>
    <x v="0"/>
    <x v="0"/>
    <x v="0"/>
    <x v="0"/>
    <x v="1"/>
    <x v="3"/>
    <n v="0"/>
    <n v="0"/>
    <n v="2.7450000000000001"/>
    <n v="2.5802999999999998"/>
    <n v="2.7450000000000001"/>
    <n v="2.5802999999999998"/>
    <n v="0"/>
    <s v="CATIVO"/>
    <n v="0"/>
    <n v="0"/>
    <n v="10"/>
    <n v="77"/>
    <n v="0"/>
    <n v="1426.09"/>
    <n v="249.25"/>
    <m/>
    <n v="1693.7290369840546"/>
    <n v="135.84198201737277"/>
    <n v="0"/>
    <n v="275.9284980000005"/>
    <n v="0"/>
    <n v="301.33034682953564"/>
    <x v="0"/>
  </r>
  <r>
    <s v="Regular"/>
    <x v="0"/>
    <x v="3"/>
    <x v="0"/>
    <x v="0"/>
    <x v="0"/>
    <x v="0"/>
    <x v="1"/>
    <x v="4"/>
    <n v="0"/>
    <n v="0"/>
    <n v="2.41"/>
    <n v="2.2654000000000001"/>
    <n v="2.41"/>
    <n v="2.2654000000000001"/>
    <n v="0"/>
    <s v="CATIVO"/>
    <n v="0"/>
    <n v="0"/>
    <n v="10"/>
    <n v="77"/>
    <n v="0"/>
    <n v="1426.09"/>
    <n v="249.25"/>
    <m/>
    <n v="1693.7290369840546"/>
    <n v="135.84198201737277"/>
    <n v="0"/>
    <n v="242.25416400000012"/>
    <n v="0"/>
    <n v="264.55596934760649"/>
    <x v="0"/>
  </r>
  <r>
    <s v="Regular"/>
    <x v="0"/>
    <x v="3"/>
    <x v="0"/>
    <x v="0"/>
    <x v="0"/>
    <x v="0"/>
    <x v="1"/>
    <x v="5"/>
    <n v="0"/>
    <n v="0"/>
    <n v="2.5230000000000001"/>
    <n v="2.3716200000000001"/>
    <n v="2.5230000000000001"/>
    <n v="2.3716200000000001"/>
    <n v="0"/>
    <s v="CATIVO"/>
    <n v="0"/>
    <n v="0"/>
    <n v="10"/>
    <n v="77"/>
    <n v="0"/>
    <n v="1426.09"/>
    <n v="249.25"/>
    <m/>
    <n v="1693.7290369840546"/>
    <n v="135.84198201737277"/>
    <n v="0"/>
    <n v="253.61296920000009"/>
    <n v="0"/>
    <n v="276.96046085643621"/>
    <x v="0"/>
  </r>
  <r>
    <s v="Regular"/>
    <x v="0"/>
    <x v="3"/>
    <x v="0"/>
    <x v="0"/>
    <x v="0"/>
    <x v="0"/>
    <x v="1"/>
    <x v="6"/>
    <n v="0"/>
    <n v="0"/>
    <n v="2.8180000000000001"/>
    <n v="2.6489199999999999"/>
    <n v="2.8180000000000001"/>
    <n v="2.6489199999999999"/>
    <n v="0"/>
    <s v="CATIVO"/>
    <n v="0"/>
    <n v="0"/>
    <n v="10"/>
    <n v="77"/>
    <n v="0"/>
    <n v="1426.09"/>
    <n v="249.25"/>
    <m/>
    <n v="1693.7290369840546"/>
    <n v="135.84198201737277"/>
    <n v="0"/>
    <n v="283.2664872000002"/>
    <n v="0"/>
    <n v="309.34386789276158"/>
    <x v="0"/>
  </r>
  <r>
    <s v="Regular"/>
    <x v="0"/>
    <x v="3"/>
    <x v="0"/>
    <x v="0"/>
    <x v="0"/>
    <x v="0"/>
    <x v="1"/>
    <x v="7"/>
    <n v="0"/>
    <n v="0"/>
    <n v="2.6110000000000002"/>
    <n v="2.4543400000000002"/>
    <n v="2.6110000000000002"/>
    <n v="2.4543400000000002"/>
    <n v="0"/>
    <s v="CATIVO"/>
    <n v="0"/>
    <n v="0"/>
    <n v="10"/>
    <n v="77"/>
    <n v="0"/>
    <n v="1426.09"/>
    <n v="249.25"/>
    <m/>
    <n v="1693.7290369840546"/>
    <n v="135.84198201737277"/>
    <n v="0"/>
    <n v="262.45876440000001"/>
    <n v="0"/>
    <n v="286.62059583676364"/>
    <x v="0"/>
  </r>
  <r>
    <s v="Regular"/>
    <x v="0"/>
    <x v="3"/>
    <x v="0"/>
    <x v="0"/>
    <x v="0"/>
    <x v="0"/>
    <x v="1"/>
    <x v="8"/>
    <n v="0"/>
    <n v="0"/>
    <n v="2.778"/>
    <n v="2.6113200000000001"/>
    <n v="2.778"/>
    <n v="2.6113200000000001"/>
    <n v="0"/>
    <s v="CATIVO"/>
    <n v="0"/>
    <n v="0"/>
    <n v="10"/>
    <n v="77"/>
    <n v="0"/>
    <n v="1426.09"/>
    <n v="249.25"/>
    <m/>
    <n v="1693.7290369840546"/>
    <n v="135.84198201737277"/>
    <n v="0"/>
    <n v="279.24567119999989"/>
    <n v="0"/>
    <n v="304.9528974471578"/>
    <x v="0"/>
  </r>
  <r>
    <s v="Regular"/>
    <x v="0"/>
    <x v="3"/>
    <x v="0"/>
    <x v="0"/>
    <x v="0"/>
    <x v="0"/>
    <x v="1"/>
    <x v="9"/>
    <n v="0"/>
    <n v="0"/>
    <n v="2.7690000000000001"/>
    <n v="2.6028600000000002"/>
    <n v="2.7690000000000001"/>
    <n v="2.6028600000000002"/>
    <n v="0"/>
    <s v="CATIVO"/>
    <n v="0"/>
    <n v="0"/>
    <n v="10"/>
    <n v="77"/>
    <n v="0"/>
    <n v="1426.09"/>
    <n v="249.25"/>
    <m/>
    <n v="1693.7290369840546"/>
    <n v="135.84198201737277"/>
    <n v="0"/>
    <n v="278.34098759999989"/>
    <n v="0"/>
    <n v="303.96492909689704"/>
    <x v="0"/>
  </r>
  <r>
    <s v="Regular"/>
    <x v="0"/>
    <x v="3"/>
    <x v="0"/>
    <x v="0"/>
    <x v="0"/>
    <x v="0"/>
    <x v="1"/>
    <x v="10"/>
    <n v="0"/>
    <n v="0"/>
    <n v="2.536"/>
    <n v="2.3838400000000002"/>
    <n v="2.536"/>
    <n v="2.3838400000000002"/>
    <n v="0"/>
    <s v="CATIVO"/>
    <n v="0"/>
    <n v="0"/>
    <n v="10"/>
    <n v="77"/>
    <n v="0"/>
    <n v="1426.09"/>
    <n v="249.25"/>
    <m/>
    <n v="1693.7290369840546"/>
    <n v="135.84198201737277"/>
    <n v="0"/>
    <n v="254.91973439999975"/>
    <n v="0"/>
    <n v="278.38752625125693"/>
    <x v="0"/>
  </r>
  <r>
    <s v="Regular"/>
    <x v="0"/>
    <x v="3"/>
    <x v="0"/>
    <x v="0"/>
    <x v="0"/>
    <x v="0"/>
    <x v="1"/>
    <x v="11"/>
    <n v="0"/>
    <n v="0"/>
    <n v="2.714"/>
    <n v="2.5511599999999999"/>
    <n v="2.714"/>
    <n v="2.5511599999999999"/>
    <n v="0"/>
    <s v="CATIVO"/>
    <n v="0"/>
    <n v="0"/>
    <n v="10"/>
    <n v="77"/>
    <n v="0"/>
    <n v="1426.09"/>
    <n v="249.25"/>
    <m/>
    <n v="1693.7290369840546"/>
    <n v="135.84198201737277"/>
    <n v="0"/>
    <n v="272.81236560000013"/>
    <n v="0"/>
    <n v="297.92734473419262"/>
    <x v="0"/>
  </r>
  <r>
    <s v="Regular"/>
    <x v="1"/>
    <x v="4"/>
    <x v="2"/>
    <x v="2"/>
    <x v="0"/>
    <x v="0"/>
    <x v="2"/>
    <x v="0"/>
    <n v="0"/>
    <n v="0"/>
    <n v="2544.8980000000001"/>
    <n v="2544.8980000000001"/>
    <n v="2544.8980000000001"/>
    <n v="2544.8980000000001"/>
    <n v="11043"/>
    <s v="CATIVO"/>
    <n v="0"/>
    <n v="0"/>
    <n v="23"/>
    <n v="53"/>
    <n v="0"/>
    <n v="312.64999999999998"/>
    <n v="249.25"/>
    <m/>
    <n v="380.28100290680857"/>
    <n v="135.84198201737277"/>
    <n v="0"/>
    <n v="0"/>
    <n v="0"/>
    <n v="0"/>
    <x v="3"/>
  </r>
  <r>
    <s v="Regular"/>
    <x v="1"/>
    <x v="4"/>
    <x v="2"/>
    <x v="3"/>
    <x v="0"/>
    <x v="0"/>
    <x v="2"/>
    <x v="0"/>
    <n v="0"/>
    <n v="0"/>
    <n v="11.91"/>
    <n v="11.91"/>
    <n v="11.91"/>
    <n v="11.91"/>
    <n v="13"/>
    <s v="CATIVO"/>
    <n v="0"/>
    <n v="0"/>
    <n v="21"/>
    <n v="36"/>
    <n v="0"/>
    <n v="85.82"/>
    <n v="87.24"/>
    <m/>
    <n v="95.306825798895176"/>
    <n v="47.544693706080466"/>
    <n v="0"/>
    <n v="3827.7548999999999"/>
    <n v="0"/>
    <n v="3159.6715378507683"/>
    <x v="4"/>
  </r>
  <r>
    <s v="Regular"/>
    <x v="1"/>
    <x v="4"/>
    <x v="2"/>
    <x v="3"/>
    <x v="0"/>
    <x v="0"/>
    <x v="2"/>
    <x v="1"/>
    <n v="0"/>
    <n v="0"/>
    <n v="12.12"/>
    <n v="12.12"/>
    <n v="12.12"/>
    <n v="12.12"/>
    <n v="14"/>
    <s v="CATIVO"/>
    <n v="0"/>
    <n v="0"/>
    <n v="21"/>
    <n v="36"/>
    <n v="0"/>
    <n v="85.82"/>
    <n v="87.24"/>
    <m/>
    <n v="95.306825798895176"/>
    <n v="47.544693706080466"/>
    <n v="0"/>
    <n v="3895.2467999999994"/>
    <n v="0"/>
    <n v="3215.3836304577089"/>
    <x v="4"/>
  </r>
  <r>
    <s v="Regular"/>
    <x v="1"/>
    <x v="4"/>
    <x v="2"/>
    <x v="3"/>
    <x v="0"/>
    <x v="0"/>
    <x v="2"/>
    <x v="2"/>
    <n v="0"/>
    <n v="0"/>
    <n v="12.3"/>
    <n v="12.3"/>
    <n v="12.3"/>
    <n v="12.3"/>
    <n v="11"/>
    <s v="CATIVO"/>
    <n v="0"/>
    <n v="0"/>
    <n v="21"/>
    <n v="36"/>
    <n v="0"/>
    <n v="85.82"/>
    <n v="87.24"/>
    <m/>
    <n v="95.306825798895176"/>
    <n v="47.544693706080466"/>
    <n v="0"/>
    <n v="3953.0970000000002"/>
    <n v="0"/>
    <n v="3263.1368526922297"/>
    <x v="4"/>
  </r>
  <r>
    <s v="Regular"/>
    <x v="1"/>
    <x v="4"/>
    <x v="2"/>
    <x v="3"/>
    <x v="0"/>
    <x v="0"/>
    <x v="2"/>
    <x v="3"/>
    <n v="0"/>
    <n v="0"/>
    <n v="12.24"/>
    <n v="12.24"/>
    <n v="12.24"/>
    <n v="12.24"/>
    <n v="9"/>
    <s v="CATIVO"/>
    <n v="0"/>
    <n v="0"/>
    <n v="21"/>
    <n v="36"/>
    <n v="0"/>
    <n v="85.82"/>
    <n v="87.24"/>
    <m/>
    <n v="95.306825798895176"/>
    <n v="47.544693706080466"/>
    <n v="0"/>
    <n v="3933.8136"/>
    <n v="0"/>
    <n v="3247.2191119473891"/>
    <x v="4"/>
  </r>
  <r>
    <s v="Regular"/>
    <x v="1"/>
    <x v="4"/>
    <x v="2"/>
    <x v="3"/>
    <x v="0"/>
    <x v="0"/>
    <x v="2"/>
    <x v="4"/>
    <n v="0"/>
    <n v="0"/>
    <n v="13.32"/>
    <n v="13.32"/>
    <n v="13.32"/>
    <n v="13.32"/>
    <n v="9"/>
    <s v="CATIVO"/>
    <n v="0"/>
    <n v="0"/>
    <n v="21"/>
    <n v="36"/>
    <n v="0"/>
    <n v="85.82"/>
    <n v="87.24"/>
    <m/>
    <n v="95.306825798895176"/>
    <n v="47.544693706080466"/>
    <n v="0"/>
    <n v="4280.9147999999996"/>
    <n v="0"/>
    <n v="3533.7384453545119"/>
    <x v="4"/>
  </r>
  <r>
    <s v="Regular"/>
    <x v="1"/>
    <x v="4"/>
    <x v="2"/>
    <x v="3"/>
    <x v="0"/>
    <x v="0"/>
    <x v="2"/>
    <x v="5"/>
    <n v="0"/>
    <n v="0"/>
    <n v="16.02"/>
    <n v="16.02"/>
    <n v="16.02"/>
    <n v="16.02"/>
    <n v="10"/>
    <s v="CATIVO"/>
    <n v="0"/>
    <n v="0"/>
    <n v="21"/>
    <n v="36"/>
    <n v="0"/>
    <n v="85.82"/>
    <n v="87.24"/>
    <m/>
    <n v="95.306825798895176"/>
    <n v="47.544693706080466"/>
    <n v="0"/>
    <n v="5148.6677999999993"/>
    <n v="0"/>
    <n v="4250.0367788723179"/>
    <x v="4"/>
  </r>
  <r>
    <s v="Regular"/>
    <x v="1"/>
    <x v="4"/>
    <x v="2"/>
    <x v="3"/>
    <x v="0"/>
    <x v="0"/>
    <x v="2"/>
    <x v="6"/>
    <n v="0"/>
    <n v="0"/>
    <n v="16.68"/>
    <n v="16.68"/>
    <n v="16.68"/>
    <n v="16.68"/>
    <n v="11"/>
    <s v="CATIVO"/>
    <n v="0"/>
    <n v="0"/>
    <n v="21"/>
    <n v="36"/>
    <n v="0"/>
    <n v="85.82"/>
    <n v="87.24"/>
    <m/>
    <n v="95.306825798895176"/>
    <n v="47.544693706080466"/>
    <n v="0"/>
    <n v="5360.7851999999993"/>
    <n v="0"/>
    <n v="4425.1319270655595"/>
    <x v="4"/>
  </r>
  <r>
    <s v="Regular"/>
    <x v="1"/>
    <x v="4"/>
    <x v="2"/>
    <x v="3"/>
    <x v="0"/>
    <x v="0"/>
    <x v="2"/>
    <x v="7"/>
    <n v="0"/>
    <n v="0"/>
    <n v="16.829999999999998"/>
    <n v="16.829999999999998"/>
    <n v="16.829999999999998"/>
    <n v="16.829999999999998"/>
    <n v="13"/>
    <s v="CATIVO"/>
    <n v="0"/>
    <n v="0"/>
    <n v="21"/>
    <n v="36"/>
    <n v="0"/>
    <n v="85.82"/>
    <n v="87.24"/>
    <m/>
    <n v="95.306825798895176"/>
    <n v="47.544693706080466"/>
    <n v="0"/>
    <n v="5408.9936999999991"/>
    <n v="0"/>
    <n v="4464.92627892766"/>
    <x v="4"/>
  </r>
  <r>
    <s v="Regular"/>
    <x v="1"/>
    <x v="4"/>
    <x v="2"/>
    <x v="3"/>
    <x v="0"/>
    <x v="0"/>
    <x v="2"/>
    <x v="8"/>
    <n v="0"/>
    <n v="0"/>
    <n v="16.8"/>
    <n v="16.8"/>
    <n v="16.8"/>
    <n v="16.8"/>
    <n v="15"/>
    <s v="CATIVO"/>
    <n v="0"/>
    <n v="0"/>
    <n v="21"/>
    <n v="36"/>
    <n v="0"/>
    <n v="85.82"/>
    <n v="87.24"/>
    <m/>
    <n v="95.306825798895176"/>
    <n v="47.544693706080466"/>
    <n v="0"/>
    <n v="5399.3519999999999"/>
    <n v="0"/>
    <n v="4456.9674085552406"/>
    <x v="4"/>
  </r>
  <r>
    <s v="Sistema de Compensação"/>
    <x v="1"/>
    <x v="4"/>
    <x v="2"/>
    <x v="3"/>
    <x v="0"/>
    <x v="0"/>
    <x v="2"/>
    <x v="8"/>
    <n v="0"/>
    <n v="0"/>
    <n v="0.03"/>
    <n v="1.0500000000000001E-2"/>
    <n v="0.03"/>
    <n v="1.0500000000000001E-2"/>
    <n v="0"/>
    <s v="CATIVO"/>
    <n v="0"/>
    <n v="0"/>
    <n v="21"/>
    <n v="36"/>
    <n v="0"/>
    <n v="85.82"/>
    <n v="87.24"/>
    <m/>
    <n v="95.306825798895176"/>
    <n v="47.544693706080466"/>
    <n v="0"/>
    <n v="13.016369999999998"/>
    <n v="0"/>
    <n v="10.744475002767096"/>
    <x v="4"/>
  </r>
  <r>
    <s v="Regular"/>
    <x v="1"/>
    <x v="4"/>
    <x v="2"/>
    <x v="3"/>
    <x v="0"/>
    <x v="0"/>
    <x v="2"/>
    <x v="9"/>
    <n v="0"/>
    <n v="0"/>
    <n v="15.21"/>
    <n v="15.21"/>
    <n v="15.21"/>
    <n v="15.21"/>
    <n v="17"/>
    <s v="CATIVO"/>
    <n v="0"/>
    <n v="0"/>
    <n v="21"/>
    <n v="36"/>
    <n v="0"/>
    <n v="85.82"/>
    <n v="87.24"/>
    <m/>
    <n v="95.306825798895176"/>
    <n v="47.544693706080466"/>
    <n v="0"/>
    <n v="4888.3419000000004"/>
    <n v="0"/>
    <n v="4035.1472788169767"/>
    <x v="4"/>
  </r>
  <r>
    <s v="Regular"/>
    <x v="1"/>
    <x v="4"/>
    <x v="2"/>
    <x v="3"/>
    <x v="0"/>
    <x v="0"/>
    <x v="2"/>
    <x v="10"/>
    <n v="0"/>
    <n v="0"/>
    <n v="14.97"/>
    <n v="14.97"/>
    <n v="14.97"/>
    <n v="14.97"/>
    <n v="19"/>
    <s v="CATIVO"/>
    <n v="0"/>
    <n v="0"/>
    <n v="21"/>
    <n v="36"/>
    <n v="0"/>
    <n v="85.82"/>
    <n v="87.24"/>
    <m/>
    <n v="95.306825798895176"/>
    <n v="47.544693706080466"/>
    <n v="0"/>
    <n v="4811.2083000000002"/>
    <n v="0"/>
    <n v="3971.4763158376159"/>
    <x v="4"/>
  </r>
  <r>
    <s v="Regular"/>
    <x v="1"/>
    <x v="4"/>
    <x v="2"/>
    <x v="3"/>
    <x v="0"/>
    <x v="0"/>
    <x v="2"/>
    <x v="11"/>
    <n v="0"/>
    <n v="0"/>
    <n v="16.2"/>
    <n v="16.2"/>
    <n v="16.2"/>
    <n v="16.2"/>
    <n v="17"/>
    <s v="CATIVO"/>
    <n v="0"/>
    <n v="0"/>
    <n v="21"/>
    <n v="36"/>
    <n v="0"/>
    <n v="85.82"/>
    <n v="87.24"/>
    <m/>
    <n v="95.306825798895176"/>
    <n v="47.544693706080466"/>
    <n v="0"/>
    <n v="5206.5179999999991"/>
    <n v="0"/>
    <n v="4297.7900011068386"/>
    <x v="4"/>
  </r>
  <r>
    <s v="Regular"/>
    <x v="1"/>
    <x v="4"/>
    <x v="2"/>
    <x v="4"/>
    <x v="0"/>
    <x v="0"/>
    <x v="2"/>
    <x v="0"/>
    <n v="0"/>
    <n v="0"/>
    <n v="25.515000000000001"/>
    <n v="25.515000000000001"/>
    <n v="25.515000000000001"/>
    <n v="25.515000000000001"/>
    <n v="49"/>
    <s v="CATIVO"/>
    <n v="0"/>
    <n v="0"/>
    <n v="17"/>
    <n v="48"/>
    <n v="0"/>
    <n v="147.12"/>
    <n v="149.55000000000001"/>
    <m/>
    <n v="163.38312994096316"/>
    <n v="81.505189210423666"/>
    <n v="0"/>
    <n v="5046.3566999999994"/>
    <n v="0"/>
    <n v="4165.5503087650886"/>
    <x v="4"/>
  </r>
  <r>
    <s v="Regular"/>
    <x v="1"/>
    <x v="4"/>
    <x v="2"/>
    <x v="4"/>
    <x v="0"/>
    <x v="0"/>
    <x v="2"/>
    <x v="1"/>
    <n v="0"/>
    <n v="0"/>
    <n v="25.896000000000001"/>
    <n v="25.896000000000001"/>
    <n v="25.896000000000001"/>
    <n v="25.896000000000001"/>
    <n v="45"/>
    <s v="CATIVO"/>
    <n v="0"/>
    <n v="0"/>
    <n v="17"/>
    <n v="48"/>
    <n v="0"/>
    <n v="147.12"/>
    <n v="149.55000000000001"/>
    <m/>
    <n v="163.38312994096316"/>
    <n v="81.505189210423666"/>
    <n v="0"/>
    <n v="5121.7108799999996"/>
    <n v="0"/>
    <n v="4227.7519418295415"/>
    <x v="4"/>
  </r>
  <r>
    <s v="Regular"/>
    <x v="1"/>
    <x v="4"/>
    <x v="2"/>
    <x v="4"/>
    <x v="0"/>
    <x v="0"/>
    <x v="2"/>
    <x v="2"/>
    <n v="0"/>
    <n v="0"/>
    <n v="26.738"/>
    <n v="26.738"/>
    <n v="26.738"/>
    <n v="26.738"/>
    <n v="51"/>
    <s v="CATIVO"/>
    <n v="0"/>
    <n v="0"/>
    <n v="17"/>
    <n v="48"/>
    <n v="0"/>
    <n v="147.12"/>
    <n v="149.55000000000001"/>
    <m/>
    <n v="163.38312994096316"/>
    <n v="81.505189210423666"/>
    <n v="0"/>
    <n v="5288.2416399999993"/>
    <n v="0"/>
    <n v="4365.2159183131862"/>
    <x v="4"/>
  </r>
  <r>
    <s v="Regular"/>
    <x v="1"/>
    <x v="4"/>
    <x v="2"/>
    <x v="4"/>
    <x v="0"/>
    <x v="0"/>
    <x v="2"/>
    <x v="3"/>
    <n v="0"/>
    <n v="0"/>
    <n v="26.849"/>
    <n v="26.849"/>
    <n v="26.849"/>
    <n v="26.849"/>
    <n v="41"/>
    <s v="CATIVO"/>
    <n v="0"/>
    <n v="0"/>
    <n v="17"/>
    <n v="48"/>
    <n v="0"/>
    <n v="147.12"/>
    <n v="149.55000000000001"/>
    <m/>
    <n v="163.38312994096316"/>
    <n v="81.505189210423666"/>
    <n v="0"/>
    <n v="5310.1952199999996"/>
    <n v="0"/>
    <n v="4383.337653930389"/>
    <x v="4"/>
  </r>
  <r>
    <s v="Regular"/>
    <x v="1"/>
    <x v="4"/>
    <x v="2"/>
    <x v="4"/>
    <x v="0"/>
    <x v="0"/>
    <x v="2"/>
    <x v="4"/>
    <n v="0"/>
    <n v="0"/>
    <n v="29.689"/>
    <n v="29.689"/>
    <n v="29.689"/>
    <n v="29.689"/>
    <n v="32"/>
    <s v="CATIVO"/>
    <n v="0"/>
    <n v="0"/>
    <n v="17"/>
    <n v="48"/>
    <n v="0"/>
    <n v="147.12"/>
    <n v="149.55000000000001"/>
    <m/>
    <n v="163.38312994096316"/>
    <n v="81.505189210423666"/>
    <n v="0"/>
    <n v="5871.8904199999988"/>
    <n v="0"/>
    <n v="4846.9928715236811"/>
    <x v="4"/>
  </r>
  <r>
    <s v="Regular"/>
    <x v="1"/>
    <x v="4"/>
    <x v="2"/>
    <x v="4"/>
    <x v="0"/>
    <x v="0"/>
    <x v="2"/>
    <x v="5"/>
    <n v="0"/>
    <n v="0"/>
    <n v="35.854999999999997"/>
    <n v="35.854999999999997"/>
    <n v="35.854999999999997"/>
    <n v="35.854999999999997"/>
    <n v="37"/>
    <s v="CATIVO"/>
    <n v="0"/>
    <n v="0"/>
    <n v="17"/>
    <n v="48"/>
    <n v="0"/>
    <n v="147.12"/>
    <n v="149.55000000000001"/>
    <m/>
    <n v="163.38312994096316"/>
    <n v="81.505189210423666"/>
    <n v="0"/>
    <n v="7091.401899999998"/>
    <n v="0"/>
    <n v="5853.6471221153142"/>
    <x v="4"/>
  </r>
  <r>
    <s v="Regular"/>
    <x v="1"/>
    <x v="4"/>
    <x v="2"/>
    <x v="4"/>
    <x v="0"/>
    <x v="0"/>
    <x v="2"/>
    <x v="6"/>
    <n v="0"/>
    <n v="0"/>
    <n v="37.210999999999999"/>
    <n v="37.210999999999999"/>
    <n v="37.210999999999999"/>
    <n v="37.210999999999999"/>
    <n v="42"/>
    <s v="CATIVO"/>
    <n v="0"/>
    <n v="0"/>
    <n v="17"/>
    <n v="48"/>
    <n v="0"/>
    <n v="147.12"/>
    <n v="149.55000000000001"/>
    <m/>
    <n v="163.38312994096316"/>
    <n v="81.505189210423666"/>
    <n v="0"/>
    <n v="7359.5915799999984"/>
    <n v="0"/>
    <n v="6075.0261626281681"/>
    <x v="4"/>
  </r>
  <r>
    <s v="Regular"/>
    <x v="1"/>
    <x v="4"/>
    <x v="2"/>
    <x v="4"/>
    <x v="0"/>
    <x v="0"/>
    <x v="2"/>
    <x v="7"/>
    <n v="0"/>
    <n v="0"/>
    <n v="36.758000000000003"/>
    <n v="36.758000000000003"/>
    <n v="36.758000000000003"/>
    <n v="36.758000000000003"/>
    <n v="65"/>
    <s v="CATIVO"/>
    <n v="0"/>
    <n v="0"/>
    <n v="17"/>
    <n v="48"/>
    <n v="0"/>
    <n v="147.12"/>
    <n v="149.55000000000001"/>
    <m/>
    <n v="163.38312994096316"/>
    <n v="81.505189210423666"/>
    <n v="0"/>
    <n v="7269.9972399999997"/>
    <n v="0"/>
    <n v="6001.0698902444501"/>
    <x v="4"/>
  </r>
  <r>
    <s v="Regular"/>
    <x v="1"/>
    <x v="4"/>
    <x v="2"/>
    <x v="4"/>
    <x v="0"/>
    <x v="0"/>
    <x v="2"/>
    <x v="8"/>
    <n v="0"/>
    <n v="0"/>
    <n v="36.078000000000003"/>
    <n v="36.078000000000003"/>
    <n v="36.078000000000003"/>
    <n v="36.078000000000003"/>
    <n v="88"/>
    <s v="CATIVO"/>
    <n v="0"/>
    <n v="0"/>
    <n v="17"/>
    <n v="48"/>
    <n v="0"/>
    <n v="147.12"/>
    <n v="149.55000000000001"/>
    <m/>
    <n v="163.38312994096316"/>
    <n v="81.505189210423666"/>
    <n v="0"/>
    <n v="7135.50684"/>
    <n v="0"/>
    <n v="5890.0538522291545"/>
    <x v="4"/>
  </r>
  <r>
    <s v="Sistema de Compensação"/>
    <x v="1"/>
    <x v="4"/>
    <x v="2"/>
    <x v="4"/>
    <x v="0"/>
    <x v="0"/>
    <x v="2"/>
    <x v="8"/>
    <n v="0"/>
    <n v="0"/>
    <n v="7.0000000000000007E-2"/>
    <n v="4.2000000000000003E-2"/>
    <n v="7.0000000000000007E-2"/>
    <n v="4.2000000000000003E-2"/>
    <n v="0"/>
    <s v="CATIVO"/>
    <n v="0"/>
    <n v="0"/>
    <n v="17"/>
    <n v="48"/>
    <n v="0"/>
    <n v="147.12"/>
    <n v="149.55000000000001"/>
    <m/>
    <n v="163.38312994096316"/>
    <n v="81.505189210423666"/>
    <n v="0"/>
    <n v="22.151360000000004"/>
    <n v="0"/>
    <n v="18.28499449663688"/>
    <x v="4"/>
  </r>
  <r>
    <s v="Regular"/>
    <x v="1"/>
    <x v="4"/>
    <x v="2"/>
    <x v="4"/>
    <x v="0"/>
    <x v="0"/>
    <x v="2"/>
    <x v="9"/>
    <n v="0"/>
    <n v="0"/>
    <n v="32.643999999999998"/>
    <n v="32.643999999999998"/>
    <n v="32.643999999999998"/>
    <n v="32.643999999999998"/>
    <n v="62"/>
    <s v="CATIVO"/>
    <n v="0"/>
    <n v="0"/>
    <n v="17"/>
    <n v="48"/>
    <n v="0"/>
    <n v="147.12"/>
    <n v="149.55000000000001"/>
    <m/>
    <n v="163.38312994096316"/>
    <n v="81.505189210423666"/>
    <n v="0"/>
    <n v="6456.3303199999991"/>
    <n v="0"/>
    <n v="5329.4228602519124"/>
    <x v="4"/>
  </r>
  <r>
    <s v="Regular"/>
    <x v="1"/>
    <x v="4"/>
    <x v="2"/>
    <x v="4"/>
    <x v="0"/>
    <x v="0"/>
    <x v="2"/>
    <x v="10"/>
    <n v="0"/>
    <n v="0"/>
    <n v="32.027999999999999"/>
    <n v="32.027999999999999"/>
    <n v="32.027999999999999"/>
    <n v="32.027999999999999"/>
    <n v="66"/>
    <s v="CATIVO"/>
    <n v="0"/>
    <n v="0"/>
    <n v="17"/>
    <n v="48"/>
    <n v="0"/>
    <n v="147.12"/>
    <n v="149.55000000000001"/>
    <m/>
    <n v="163.38312994096316"/>
    <n v="81.505189210423666"/>
    <n v="0"/>
    <n v="6334.4978399999991"/>
    <n v="0"/>
    <n v="5228.8553905204099"/>
    <x v="4"/>
  </r>
  <r>
    <s v="Regular"/>
    <x v="1"/>
    <x v="4"/>
    <x v="2"/>
    <x v="4"/>
    <x v="0"/>
    <x v="0"/>
    <x v="2"/>
    <x v="11"/>
    <n v="0"/>
    <n v="0"/>
    <n v="36.630000000000003"/>
    <n v="36.630000000000003"/>
    <n v="36.630000000000003"/>
    <n v="36.630000000000003"/>
    <n v="60"/>
    <s v="CATIVO"/>
    <n v="0"/>
    <n v="0"/>
    <n v="17"/>
    <n v="48"/>
    <n v="0"/>
    <n v="147.12"/>
    <n v="149.55000000000001"/>
    <m/>
    <n v="163.38312994096316"/>
    <n v="81.505189210423666"/>
    <n v="0"/>
    <n v="7244.6813999999995"/>
    <n v="0"/>
    <n v="5980.1727536768649"/>
    <x v="4"/>
  </r>
  <r>
    <s v="Regular"/>
    <x v="1"/>
    <x v="4"/>
    <x v="2"/>
    <x v="5"/>
    <x v="0"/>
    <x v="0"/>
    <x v="2"/>
    <x v="0"/>
    <n v="0"/>
    <n v="0"/>
    <n v="30.728999999999999"/>
    <n v="30.728999999999999"/>
    <n v="30.728999999999999"/>
    <n v="30.728999999999999"/>
    <n v="178"/>
    <s v="CATIVO"/>
    <n v="0"/>
    <n v="0"/>
    <n v="18"/>
    <n v="55"/>
    <n v="0"/>
    <n v="220.68"/>
    <n v="224.33"/>
    <m/>
    <n v="245.07469491144474"/>
    <n v="122.25778381563549"/>
    <n v="0"/>
    <n v="1519.241759999999"/>
    <n v="0"/>
    <n v="1254.1955265338268"/>
    <x v="4"/>
  </r>
  <r>
    <s v="Regular"/>
    <x v="1"/>
    <x v="4"/>
    <x v="2"/>
    <x v="5"/>
    <x v="0"/>
    <x v="0"/>
    <x v="2"/>
    <x v="1"/>
    <n v="0"/>
    <n v="0"/>
    <n v="31.2"/>
    <n v="31.2"/>
    <n v="31.2"/>
    <n v="31.2"/>
    <n v="172"/>
    <s v="CATIVO"/>
    <n v="0"/>
    <n v="0"/>
    <n v="18"/>
    <n v="55"/>
    <n v="0"/>
    <n v="220.68"/>
    <n v="224.33"/>
    <m/>
    <n v="245.07469491144474"/>
    <n v="122.25778381563549"/>
    <n v="0"/>
    <n v="1542.5279999999991"/>
    <n v="0"/>
    <n v="1273.4192595872107"/>
    <x v="4"/>
  </r>
  <r>
    <s v="Regular"/>
    <x v="1"/>
    <x v="4"/>
    <x v="2"/>
    <x v="5"/>
    <x v="0"/>
    <x v="0"/>
    <x v="2"/>
    <x v="2"/>
    <n v="0"/>
    <n v="0"/>
    <n v="32.558"/>
    <n v="32.558"/>
    <n v="32.558"/>
    <n v="32.558"/>
    <n v="175"/>
    <s v="CATIVO"/>
    <n v="0"/>
    <n v="0"/>
    <n v="18"/>
    <n v="55"/>
    <n v="0"/>
    <n v="220.68"/>
    <n v="224.33"/>
    <m/>
    <n v="245.07469491144474"/>
    <n v="122.25778381563549"/>
    <n v="0"/>
    <n v="1609.6675199999991"/>
    <n v="0"/>
    <n v="1328.8456491551412"/>
    <x v="4"/>
  </r>
  <r>
    <s v="Regular"/>
    <x v="1"/>
    <x v="4"/>
    <x v="2"/>
    <x v="5"/>
    <x v="0"/>
    <x v="0"/>
    <x v="2"/>
    <x v="3"/>
    <n v="0"/>
    <n v="0"/>
    <n v="33.174999999999997"/>
    <n v="33.174999999999997"/>
    <n v="33.174999999999997"/>
    <n v="33.174999999999997"/>
    <n v="170"/>
    <s v="CATIVO"/>
    <n v="0"/>
    <n v="0"/>
    <n v="18"/>
    <n v="55"/>
    <n v="0"/>
    <n v="220.68"/>
    <n v="224.33"/>
    <m/>
    <n v="245.07469491144474"/>
    <n v="122.25778381563549"/>
    <n v="0"/>
    <n v="1640.1719999999989"/>
    <n v="0"/>
    <n v="1354.0283313078753"/>
    <x v="4"/>
  </r>
  <r>
    <s v="Regular"/>
    <x v="1"/>
    <x v="4"/>
    <x v="2"/>
    <x v="5"/>
    <x v="0"/>
    <x v="0"/>
    <x v="2"/>
    <x v="4"/>
    <n v="0"/>
    <n v="0"/>
    <n v="40.127000000000002"/>
    <n v="40.127000000000002"/>
    <n v="40.127000000000002"/>
    <n v="40.127000000000002"/>
    <n v="154"/>
    <s v="CATIVO"/>
    <n v="0"/>
    <n v="0"/>
    <n v="18"/>
    <n v="55"/>
    <n v="0"/>
    <n v="220.68"/>
    <n v="224.33"/>
    <m/>
    <n v="245.07469491144474"/>
    <n v="122.25778381563549"/>
    <n v="0"/>
    <n v="1983.8788799999988"/>
    <n v="0"/>
    <n v="1637.7722637646157"/>
    <x v="4"/>
  </r>
  <r>
    <s v="Regular"/>
    <x v="1"/>
    <x v="4"/>
    <x v="2"/>
    <x v="5"/>
    <x v="0"/>
    <x v="0"/>
    <x v="2"/>
    <x v="5"/>
    <n v="0"/>
    <n v="0"/>
    <n v="48.387"/>
    <n v="48.387"/>
    <n v="48.387"/>
    <n v="48.387"/>
    <n v="172"/>
    <s v="CATIVO"/>
    <n v="0"/>
    <n v="0"/>
    <n v="18"/>
    <n v="55"/>
    <n v="0"/>
    <n v="220.68"/>
    <n v="224.33"/>
    <m/>
    <n v="245.07469491144474"/>
    <n v="122.25778381563549"/>
    <n v="0"/>
    <n v="2392.2532799999985"/>
    <n v="0"/>
    <n v="1974.9018497963577"/>
    <x v="4"/>
  </r>
  <r>
    <s v="Regular"/>
    <x v="1"/>
    <x v="4"/>
    <x v="2"/>
    <x v="5"/>
    <x v="0"/>
    <x v="0"/>
    <x v="2"/>
    <x v="6"/>
    <n v="0"/>
    <n v="0"/>
    <n v="48.087000000000003"/>
    <n v="48.087000000000003"/>
    <n v="48.087000000000003"/>
    <n v="48.087000000000003"/>
    <n v="204"/>
    <s v="CATIVO"/>
    <n v="0"/>
    <n v="0"/>
    <n v="18"/>
    <n v="55"/>
    <n v="0"/>
    <n v="220.68"/>
    <n v="224.33"/>
    <m/>
    <n v="245.07469491144474"/>
    <n v="122.25778381563549"/>
    <n v="0"/>
    <n v="2377.4212799999987"/>
    <n v="0"/>
    <n v="1962.6574338387886"/>
    <x v="4"/>
  </r>
  <r>
    <s v="Regular"/>
    <x v="1"/>
    <x v="4"/>
    <x v="2"/>
    <x v="5"/>
    <x v="0"/>
    <x v="0"/>
    <x v="2"/>
    <x v="7"/>
    <n v="0"/>
    <n v="0"/>
    <n v="44.235999999999997"/>
    <n v="44.235999999999997"/>
    <n v="44.235999999999997"/>
    <n v="44.235999999999997"/>
    <n v="242"/>
    <s v="CATIVO"/>
    <n v="0"/>
    <n v="0"/>
    <n v="18"/>
    <n v="55"/>
    <n v="0"/>
    <n v="220.68"/>
    <n v="224.33"/>
    <m/>
    <n v="245.07469491144474"/>
    <n v="122.25778381563549"/>
    <n v="0"/>
    <n v="2187.0278399999984"/>
    <n v="0"/>
    <n v="1805.4799476634566"/>
    <x v="4"/>
  </r>
  <r>
    <s v="Regular"/>
    <x v="1"/>
    <x v="4"/>
    <x v="2"/>
    <x v="5"/>
    <x v="0"/>
    <x v="0"/>
    <x v="2"/>
    <x v="8"/>
    <n v="0"/>
    <n v="0"/>
    <n v="39.134999999999998"/>
    <n v="39.134999999999998"/>
    <n v="39.134999999999998"/>
    <n v="39.134999999999998"/>
    <n v="259"/>
    <s v="CATIVO"/>
    <n v="0"/>
    <n v="0"/>
    <n v="18"/>
    <n v="55"/>
    <n v="0"/>
    <n v="220.68"/>
    <n v="224.33"/>
    <m/>
    <n v="245.07469491144474"/>
    <n v="122.25778381563549"/>
    <n v="0"/>
    <n v="1934.8343999999986"/>
    <n v="0"/>
    <n v="1597.2840616649194"/>
    <x v="4"/>
  </r>
  <r>
    <s v="Sistema de Compensação"/>
    <x v="1"/>
    <x v="4"/>
    <x v="2"/>
    <x v="5"/>
    <x v="0"/>
    <x v="0"/>
    <x v="2"/>
    <x v="8"/>
    <n v="0"/>
    <n v="0"/>
    <n v="3.3000000000000002E-2"/>
    <n v="2.9700000000000001E-2"/>
    <n v="3.3000000000000002E-2"/>
    <n v="2.9700000000000001E-2"/>
    <n v="1"/>
    <s v="CATIVO"/>
    <n v="0"/>
    <n v="0"/>
    <n v="18"/>
    <n v="55"/>
    <n v="0"/>
    <n v="220.68"/>
    <n v="224.33"/>
    <m/>
    <n v="245.07469491144474"/>
    <n v="122.25778381563549"/>
    <n v="0"/>
    <n v="3.1000529999999991"/>
    <n v="0"/>
    <n v="2.5590829351319919"/>
    <x v="4"/>
  </r>
  <r>
    <s v="Regular"/>
    <x v="1"/>
    <x v="4"/>
    <x v="2"/>
    <x v="5"/>
    <x v="0"/>
    <x v="0"/>
    <x v="2"/>
    <x v="9"/>
    <n v="0"/>
    <n v="0"/>
    <n v="39.506"/>
    <n v="39.506"/>
    <n v="39.506"/>
    <n v="39.506"/>
    <n v="198"/>
    <s v="CATIVO"/>
    <n v="0"/>
    <n v="0"/>
    <n v="18"/>
    <n v="55"/>
    <n v="0"/>
    <n v="220.68"/>
    <n v="224.33"/>
    <m/>
    <n v="245.07469491144474"/>
    <n v="122.25778381563549"/>
    <n v="0"/>
    <n v="1953.1766399999988"/>
    <n v="0"/>
    <n v="1612.426322732447"/>
    <x v="4"/>
  </r>
  <r>
    <s v="Regular"/>
    <x v="1"/>
    <x v="4"/>
    <x v="2"/>
    <x v="5"/>
    <x v="0"/>
    <x v="0"/>
    <x v="2"/>
    <x v="10"/>
    <n v="0"/>
    <n v="0"/>
    <n v="37.194000000000003"/>
    <n v="37.194000000000003"/>
    <n v="37.194000000000003"/>
    <n v="37.194000000000003"/>
    <n v="198"/>
    <s v="CATIVO"/>
    <n v="0"/>
    <n v="0"/>
    <n v="18"/>
    <n v="55"/>
    <n v="0"/>
    <n v="220.68"/>
    <n v="224.33"/>
    <m/>
    <n v="245.07469491144474"/>
    <n v="122.25778381563549"/>
    <n v="0"/>
    <n v="1838.871359999999"/>
    <n v="0"/>
    <n v="1518.062690419446"/>
    <x v="4"/>
  </r>
  <r>
    <s v="Regular"/>
    <x v="1"/>
    <x v="4"/>
    <x v="2"/>
    <x v="5"/>
    <x v="0"/>
    <x v="0"/>
    <x v="2"/>
    <x v="11"/>
    <n v="0"/>
    <n v="0"/>
    <n v="41.235999999999997"/>
    <n v="41.235999999999997"/>
    <n v="41.235999999999997"/>
    <n v="41.235999999999997"/>
    <n v="222"/>
    <s v="CATIVO"/>
    <n v="0"/>
    <n v="0"/>
    <n v="18"/>
    <n v="55"/>
    <n v="0"/>
    <n v="220.68"/>
    <n v="224.33"/>
    <m/>
    <n v="245.07469491144474"/>
    <n v="122.25778381563549"/>
    <n v="0"/>
    <n v="2038.7078399999987"/>
    <n v="0"/>
    <n v="1683.0357880877634"/>
    <x v="4"/>
  </r>
  <r>
    <s v="Regular"/>
    <x v="1"/>
    <x v="4"/>
    <x v="2"/>
    <x v="6"/>
    <x v="0"/>
    <x v="0"/>
    <x v="2"/>
    <x v="0"/>
    <n v="0"/>
    <n v="0"/>
    <n v="16.521999999999998"/>
    <n v="16.521999999999998"/>
    <n v="16.521999999999998"/>
    <n v="16.521999999999998"/>
    <n v="157"/>
    <s v="CATIVO"/>
    <n v="0"/>
    <n v="0"/>
    <n v="44"/>
    <n v="60"/>
    <n v="0"/>
    <n v="245.2"/>
    <n v="249.25"/>
    <m/>
    <n v="272.30521656827193"/>
    <n v="135.84198201737277"/>
    <n v="0"/>
    <n v="0"/>
    <n v="0"/>
    <n v="-4.6958348320913497E-13"/>
    <x v="4"/>
  </r>
  <r>
    <s v="Regular"/>
    <x v="1"/>
    <x v="4"/>
    <x v="2"/>
    <x v="6"/>
    <x v="0"/>
    <x v="0"/>
    <x v="2"/>
    <x v="1"/>
    <n v="0"/>
    <n v="0"/>
    <n v="17.109000000000002"/>
    <n v="17.109000000000002"/>
    <n v="17.109000000000002"/>
    <n v="17.109000000000002"/>
    <n v="171"/>
    <s v="CATIVO"/>
    <n v="0"/>
    <n v="0"/>
    <n v="44"/>
    <n v="60"/>
    <n v="0"/>
    <n v="245.2"/>
    <n v="249.25"/>
    <m/>
    <n v="272.30521656827193"/>
    <n v="135.84198201737277"/>
    <n v="0"/>
    <n v="0"/>
    <n v="0"/>
    <n v="-4.8626702664478221E-13"/>
    <x v="4"/>
  </r>
  <r>
    <s v="Regular"/>
    <x v="1"/>
    <x v="4"/>
    <x v="2"/>
    <x v="6"/>
    <x v="0"/>
    <x v="0"/>
    <x v="2"/>
    <x v="2"/>
    <n v="0"/>
    <n v="0"/>
    <n v="18.899000000000001"/>
    <n v="18.899000000000001"/>
    <n v="18.899000000000001"/>
    <n v="18.899000000000001"/>
    <n v="173"/>
    <s v="CATIVO"/>
    <n v="0"/>
    <n v="0"/>
    <n v="44"/>
    <n v="60"/>
    <n v="0"/>
    <n v="245.2"/>
    <n v="249.25"/>
    <m/>
    <n v="272.30521656827193"/>
    <n v="135.84198201737277"/>
    <n v="0"/>
    <n v="0"/>
    <n v="0"/>
    <n v="-5.3714188652520536E-13"/>
    <x v="4"/>
  </r>
  <r>
    <s v="Regular"/>
    <x v="1"/>
    <x v="4"/>
    <x v="2"/>
    <x v="6"/>
    <x v="0"/>
    <x v="0"/>
    <x v="2"/>
    <x v="3"/>
    <n v="0"/>
    <n v="0"/>
    <n v="21.431000000000001"/>
    <n v="21.431000000000001"/>
    <n v="21.431000000000001"/>
    <n v="21.431000000000001"/>
    <n v="188"/>
    <s v="CATIVO"/>
    <n v="0"/>
    <n v="0"/>
    <n v="44"/>
    <n v="60"/>
    <n v="0"/>
    <n v="245.2"/>
    <n v="249.25"/>
    <m/>
    <n v="272.30521656827193"/>
    <n v="135.84198201737277"/>
    <n v="0"/>
    <n v="0"/>
    <n v="0"/>
    <n v="-6.0910565480298831E-13"/>
    <x v="4"/>
  </r>
  <r>
    <s v="Regular"/>
    <x v="1"/>
    <x v="4"/>
    <x v="2"/>
    <x v="6"/>
    <x v="0"/>
    <x v="0"/>
    <x v="2"/>
    <x v="4"/>
    <n v="0"/>
    <n v="0"/>
    <n v="33.978999999999999"/>
    <n v="33.978999999999999"/>
    <n v="33.978999999999999"/>
    <n v="33.978999999999999"/>
    <n v="248"/>
    <s v="CATIVO"/>
    <n v="0"/>
    <n v="0"/>
    <n v="44"/>
    <n v="60"/>
    <n v="0"/>
    <n v="245.2"/>
    <n v="249.25"/>
    <m/>
    <n v="272.30521656827193"/>
    <n v="135.84198201737277"/>
    <n v="0"/>
    <n v="0"/>
    <n v="0"/>
    <n v="-9.6574126473569775E-13"/>
    <x v="4"/>
  </r>
  <r>
    <s v="Regular"/>
    <x v="1"/>
    <x v="4"/>
    <x v="2"/>
    <x v="6"/>
    <x v="0"/>
    <x v="0"/>
    <x v="2"/>
    <x v="5"/>
    <n v="0"/>
    <n v="0"/>
    <n v="50.307000000000002"/>
    <n v="50.307000000000002"/>
    <n v="50.307000000000002"/>
    <n v="50.307000000000002"/>
    <n v="315"/>
    <s v="CATIVO"/>
    <n v="0"/>
    <n v="0"/>
    <n v="44"/>
    <n v="60"/>
    <n v="0"/>
    <n v="245.2"/>
    <n v="249.25"/>
    <m/>
    <n v="272.30521656827193"/>
    <n v="135.84198201737277"/>
    <n v="0"/>
    <n v="0"/>
    <n v="0"/>
    <n v="-1.4298109363153345E-12"/>
    <x v="4"/>
  </r>
  <r>
    <s v="Regular"/>
    <x v="1"/>
    <x v="4"/>
    <x v="2"/>
    <x v="6"/>
    <x v="0"/>
    <x v="0"/>
    <x v="2"/>
    <x v="6"/>
    <n v="0"/>
    <n v="0"/>
    <n v="38.713999999999999"/>
    <n v="38.713999999999999"/>
    <n v="38.713999999999999"/>
    <n v="38.713999999999999"/>
    <n v="299"/>
    <s v="CATIVO"/>
    <n v="0"/>
    <n v="0"/>
    <n v="44"/>
    <n v="60"/>
    <n v="0"/>
    <n v="245.2"/>
    <n v="249.25"/>
    <m/>
    <n v="272.30521656827193"/>
    <n v="135.84198201737277"/>
    <n v="0"/>
    <n v="0"/>
    <n v="0"/>
    <n v="-1.1003180588886607E-12"/>
    <x v="4"/>
  </r>
  <r>
    <s v="Regular"/>
    <x v="1"/>
    <x v="4"/>
    <x v="2"/>
    <x v="6"/>
    <x v="0"/>
    <x v="0"/>
    <x v="2"/>
    <x v="7"/>
    <n v="0"/>
    <n v="0"/>
    <n v="23.859000000000002"/>
    <n v="23.859000000000002"/>
    <n v="23.859000000000002"/>
    <n v="23.859000000000002"/>
    <n v="241"/>
    <s v="CATIVO"/>
    <n v="0"/>
    <n v="0"/>
    <n v="44"/>
    <n v="60"/>
    <n v="0"/>
    <n v="245.2"/>
    <n v="249.25"/>
    <m/>
    <n v="272.30521656827193"/>
    <n v="135.84198201737277"/>
    <n v="0"/>
    <n v="0"/>
    <n v="0"/>
    <n v="-6.7811356530000926E-13"/>
    <x v="4"/>
  </r>
  <r>
    <s v="Regular"/>
    <x v="1"/>
    <x v="4"/>
    <x v="2"/>
    <x v="6"/>
    <x v="0"/>
    <x v="0"/>
    <x v="2"/>
    <x v="8"/>
    <n v="0"/>
    <n v="0"/>
    <n v="18.257999999999999"/>
    <n v="18.257999999999999"/>
    <n v="18.257999999999999"/>
    <n v="18.257999999999999"/>
    <n v="198"/>
    <s v="CATIVO"/>
    <n v="0"/>
    <n v="0"/>
    <n v="44"/>
    <n v="60"/>
    <n v="0"/>
    <n v="245.2"/>
    <n v="249.25"/>
    <m/>
    <n v="272.30521656827193"/>
    <n v="135.84198201737277"/>
    <n v="0"/>
    <n v="0"/>
    <n v="0"/>
    <n v="-5.1892357078031634E-13"/>
    <x v="4"/>
  </r>
  <r>
    <s v="Regular"/>
    <x v="1"/>
    <x v="4"/>
    <x v="2"/>
    <x v="6"/>
    <x v="0"/>
    <x v="0"/>
    <x v="2"/>
    <x v="9"/>
    <n v="0"/>
    <n v="0"/>
    <n v="26.19"/>
    <n v="26.19"/>
    <n v="26.19"/>
    <n v="26.19"/>
    <n v="230"/>
    <s v="CATIVO"/>
    <n v="0"/>
    <n v="0"/>
    <n v="44"/>
    <n v="60"/>
    <n v="0"/>
    <n v="245.2"/>
    <n v="249.25"/>
    <m/>
    <n v="272.30521656827193"/>
    <n v="135.84198201737277"/>
    <n v="0"/>
    <n v="0"/>
    <n v="0"/>
    <n v="-7.4436456998228099E-13"/>
    <x v="4"/>
  </r>
  <r>
    <s v="Regular"/>
    <x v="1"/>
    <x v="4"/>
    <x v="2"/>
    <x v="6"/>
    <x v="0"/>
    <x v="0"/>
    <x v="2"/>
    <x v="10"/>
    <n v="0"/>
    <n v="0"/>
    <n v="23.417000000000002"/>
    <n v="23.417000000000002"/>
    <n v="23.417000000000002"/>
    <n v="23.417000000000002"/>
    <n v="215"/>
    <s v="CATIVO"/>
    <n v="0"/>
    <n v="0"/>
    <n v="44"/>
    <n v="60"/>
    <n v="0"/>
    <n v="245.2"/>
    <n v="249.25"/>
    <m/>
    <n v="272.30521656827193"/>
    <n v="135.84198201737277"/>
    <n v="0"/>
    <n v="0"/>
    <n v="0"/>
    <n v="-6.6555116973177069E-13"/>
    <x v="4"/>
  </r>
  <r>
    <s v="Regular"/>
    <x v="1"/>
    <x v="4"/>
    <x v="2"/>
    <x v="6"/>
    <x v="0"/>
    <x v="0"/>
    <x v="2"/>
    <x v="11"/>
    <n v="0"/>
    <n v="0"/>
    <n v="28.462"/>
    <n v="28.462"/>
    <n v="28.462"/>
    <n v="28.462"/>
    <n v="236"/>
    <s v="CATIVO"/>
    <n v="0"/>
    <n v="0"/>
    <n v="44"/>
    <n v="60"/>
    <n v="0"/>
    <n v="245.2"/>
    <n v="249.25"/>
    <m/>
    <n v="272.30521656827193"/>
    <n v="135.84198201737277"/>
    <n v="0"/>
    <n v="0"/>
    <n v="0"/>
    <n v="-8.0893869380815885E-13"/>
    <x v="4"/>
  </r>
  <r>
    <s v="Regular"/>
    <x v="2"/>
    <x v="4"/>
    <x v="3"/>
    <x v="7"/>
    <x v="2"/>
    <x v="0"/>
    <x v="2"/>
    <x v="0"/>
    <n v="0"/>
    <n v="0"/>
    <n v="0.73099999999999998"/>
    <n v="0.73099999999999998"/>
    <n v="0.73099999999999998"/>
    <n v="0.73099999999999998"/>
    <n v="0"/>
    <s v="CATIVO"/>
    <n v="0"/>
    <n v="0"/>
    <n v="24"/>
    <n v="63"/>
    <n v="0"/>
    <n v="275.13"/>
    <n v="219.34"/>
    <m/>
    <n v="357.46414273240003"/>
    <n v="127.69146309633039"/>
    <n v="0"/>
    <n v="49.291329999999981"/>
    <n v="0"/>
    <n v="22.637154118774593"/>
    <x v="5"/>
  </r>
  <r>
    <s v="Regular"/>
    <x v="2"/>
    <x v="4"/>
    <x v="3"/>
    <x v="7"/>
    <x v="2"/>
    <x v="0"/>
    <x v="2"/>
    <x v="1"/>
    <n v="0"/>
    <n v="0"/>
    <n v="0.50800000000000001"/>
    <n v="0.50800000000000001"/>
    <n v="0.50800000000000001"/>
    <n v="0.50800000000000001"/>
    <n v="0"/>
    <s v="CATIVO"/>
    <n v="0"/>
    <n v="0"/>
    <n v="24"/>
    <n v="63"/>
    <n v="0"/>
    <n v="275.13"/>
    <n v="219.34"/>
    <m/>
    <n v="357.46414273240003"/>
    <n v="127.69146309633039"/>
    <n v="0"/>
    <n v="34.254439999999988"/>
    <n v="0"/>
    <n v="15.731428580489048"/>
    <x v="5"/>
  </r>
  <r>
    <s v="Regular"/>
    <x v="2"/>
    <x v="4"/>
    <x v="3"/>
    <x v="7"/>
    <x v="2"/>
    <x v="0"/>
    <x v="2"/>
    <x v="2"/>
    <n v="0"/>
    <n v="0"/>
    <n v="1.038"/>
    <n v="1.038"/>
    <n v="1.038"/>
    <n v="1.038"/>
    <n v="0"/>
    <s v="CATIVO"/>
    <n v="0"/>
    <n v="0"/>
    <n v="24"/>
    <n v="63"/>
    <n v="0"/>
    <n v="275.13"/>
    <n v="219.34"/>
    <m/>
    <n v="357.46414273240003"/>
    <n v="127.69146309633039"/>
    <n v="0"/>
    <n v="69.992339999999984"/>
    <n v="0"/>
    <n v="32.144139501078016"/>
    <x v="5"/>
  </r>
  <r>
    <s v="Regular"/>
    <x v="2"/>
    <x v="4"/>
    <x v="3"/>
    <x v="7"/>
    <x v="2"/>
    <x v="0"/>
    <x v="2"/>
    <x v="3"/>
    <n v="0"/>
    <n v="0"/>
    <n v="1.57"/>
    <n v="1.57"/>
    <n v="1.57"/>
    <n v="1.57"/>
    <n v="0"/>
    <s v="CATIVO"/>
    <n v="0"/>
    <n v="0"/>
    <n v="24"/>
    <n v="63"/>
    <n v="0"/>
    <n v="275.13"/>
    <n v="219.34"/>
    <m/>
    <n v="357.46414273240003"/>
    <n v="127.69146309633039"/>
    <n v="0"/>
    <n v="105.86509999999997"/>
    <n v="0"/>
    <n v="48.618785179857881"/>
    <x v="5"/>
  </r>
  <r>
    <s v="Regular"/>
    <x v="2"/>
    <x v="4"/>
    <x v="3"/>
    <x v="7"/>
    <x v="2"/>
    <x v="0"/>
    <x v="2"/>
    <x v="4"/>
    <n v="0"/>
    <n v="0"/>
    <n v="2.165"/>
    <n v="2.165"/>
    <n v="2.165"/>
    <n v="2.165"/>
    <n v="0"/>
    <s v="CATIVO"/>
    <n v="0"/>
    <n v="0"/>
    <n v="24"/>
    <n v="63"/>
    <n v="0"/>
    <n v="275.13"/>
    <n v="219.34"/>
    <m/>
    <n v="357.46414273240003"/>
    <n v="127.69146309633039"/>
    <n v="0"/>
    <n v="145.98594999999995"/>
    <n v="0"/>
    <n v="67.044375741651152"/>
    <x v="5"/>
  </r>
  <r>
    <s v="Regular"/>
    <x v="2"/>
    <x v="4"/>
    <x v="3"/>
    <x v="7"/>
    <x v="2"/>
    <x v="0"/>
    <x v="2"/>
    <x v="5"/>
    <n v="0"/>
    <n v="0"/>
    <n v="1.4279999999999999"/>
    <n v="1.4279999999999999"/>
    <n v="1.4279999999999999"/>
    <n v="1.4279999999999999"/>
    <n v="0"/>
    <s v="CATIVO"/>
    <n v="0"/>
    <n v="0"/>
    <n v="24"/>
    <n v="63"/>
    <n v="0"/>
    <n v="275.13"/>
    <n v="219.34"/>
    <m/>
    <n v="357.46414273240003"/>
    <n v="127.69146309633039"/>
    <n v="0"/>
    <n v="96.290039999999962"/>
    <n v="0"/>
    <n v="44.221417348303852"/>
    <x v="5"/>
  </r>
  <r>
    <s v="Regular"/>
    <x v="2"/>
    <x v="4"/>
    <x v="3"/>
    <x v="7"/>
    <x v="2"/>
    <x v="0"/>
    <x v="2"/>
    <x v="6"/>
    <n v="0"/>
    <n v="0"/>
    <n v="0.57299999999999995"/>
    <n v="0.57299999999999995"/>
    <n v="0.57299999999999995"/>
    <n v="0.57299999999999995"/>
    <n v="0"/>
    <s v="CATIVO"/>
    <n v="0"/>
    <n v="0"/>
    <n v="24"/>
    <n v="63"/>
    <n v="0"/>
    <n v="275.13"/>
    <n v="219.34"/>
    <m/>
    <n v="357.46414273240003"/>
    <n v="127.69146309633039"/>
    <n v="0"/>
    <n v="38.637389999999982"/>
    <n v="0"/>
    <n v="17.744308221693352"/>
    <x v="5"/>
  </r>
  <r>
    <s v="Regular"/>
    <x v="2"/>
    <x v="4"/>
    <x v="3"/>
    <x v="7"/>
    <x v="2"/>
    <x v="0"/>
    <x v="2"/>
    <x v="7"/>
    <n v="0"/>
    <n v="0"/>
    <n v="0.623"/>
    <n v="0.623"/>
    <n v="0.623"/>
    <n v="0.623"/>
    <n v="0"/>
    <s v="CATIVO"/>
    <n v="0"/>
    <n v="0"/>
    <n v="24"/>
    <n v="63"/>
    <n v="0"/>
    <n v="275.13"/>
    <n v="219.34"/>
    <m/>
    <n v="357.46414273240003"/>
    <n v="127.69146309633039"/>
    <n v="0"/>
    <n v="42.008889999999987"/>
    <n v="0"/>
    <n v="19.292677176465897"/>
    <x v="5"/>
  </r>
  <r>
    <s v="Regular"/>
    <x v="2"/>
    <x v="4"/>
    <x v="3"/>
    <x v="7"/>
    <x v="2"/>
    <x v="0"/>
    <x v="2"/>
    <x v="8"/>
    <n v="0"/>
    <n v="0"/>
    <n v="0.71699999999999997"/>
    <n v="0.71699999999999997"/>
    <n v="0.71699999999999997"/>
    <n v="0.71699999999999997"/>
    <n v="0"/>
    <s v="CATIVO"/>
    <n v="0"/>
    <n v="0"/>
    <n v="24"/>
    <n v="63"/>
    <n v="0"/>
    <n v="275.13"/>
    <n v="219.34"/>
    <m/>
    <n v="357.46414273240003"/>
    <n v="127.69146309633039"/>
    <n v="0"/>
    <n v="48.347309999999986"/>
    <n v="0"/>
    <n v="22.203610811438281"/>
    <x v="5"/>
  </r>
  <r>
    <s v="Regular"/>
    <x v="2"/>
    <x v="4"/>
    <x v="3"/>
    <x v="7"/>
    <x v="2"/>
    <x v="0"/>
    <x v="2"/>
    <x v="9"/>
    <n v="0"/>
    <n v="0"/>
    <n v="0.83799999999999997"/>
    <n v="0.83799999999999997"/>
    <n v="0.83799999999999997"/>
    <n v="0.83799999999999997"/>
    <n v="0"/>
    <s v="CATIVO"/>
    <n v="0"/>
    <n v="0"/>
    <n v="24"/>
    <n v="63"/>
    <n v="0"/>
    <n v="275.13"/>
    <n v="219.34"/>
    <m/>
    <n v="357.46414273240003"/>
    <n v="127.69146309633039"/>
    <n v="0"/>
    <n v="56.50633999999998"/>
    <n v="0"/>
    <n v="25.950663681987837"/>
    <x v="5"/>
  </r>
  <r>
    <s v="Regular"/>
    <x v="2"/>
    <x v="4"/>
    <x v="3"/>
    <x v="7"/>
    <x v="2"/>
    <x v="0"/>
    <x v="2"/>
    <x v="10"/>
    <n v="0"/>
    <n v="0"/>
    <n v="0.749"/>
    <n v="0.749"/>
    <n v="0.749"/>
    <n v="0.749"/>
    <n v="0"/>
    <s v="CATIVO"/>
    <n v="0"/>
    <n v="0"/>
    <n v="24"/>
    <n v="63"/>
    <n v="0"/>
    <n v="275.13"/>
    <n v="219.34"/>
    <m/>
    <n v="357.46414273240003"/>
    <n v="127.69146309633039"/>
    <n v="0"/>
    <n v="50.505069999999982"/>
    <n v="0"/>
    <n v="23.19456694249271"/>
    <x v="5"/>
  </r>
  <r>
    <s v="Regular"/>
    <x v="2"/>
    <x v="4"/>
    <x v="3"/>
    <x v="7"/>
    <x v="2"/>
    <x v="0"/>
    <x v="2"/>
    <x v="11"/>
    <n v="0"/>
    <n v="0"/>
    <n v="0.90300000000000002"/>
    <n v="0.90300000000000002"/>
    <n v="0.90300000000000002"/>
    <n v="0.90300000000000002"/>
    <n v="0"/>
    <s v="CATIVO"/>
    <n v="0"/>
    <n v="0"/>
    <n v="24"/>
    <n v="63"/>
    <n v="0"/>
    <n v="275.13"/>
    <n v="219.34"/>
    <m/>
    <n v="357.46414273240003"/>
    <n v="127.69146309633039"/>
    <n v="0"/>
    <n v="60.889289999999981"/>
    <n v="0"/>
    <n v="27.963543323192145"/>
    <x v="5"/>
  </r>
  <r>
    <s v="Regular"/>
    <x v="2"/>
    <x v="4"/>
    <x v="3"/>
    <x v="7"/>
    <x v="3"/>
    <x v="0"/>
    <x v="2"/>
    <x v="0"/>
    <n v="0"/>
    <n v="0"/>
    <n v="0.14299999999999999"/>
    <n v="5.7200000000000001E-2"/>
    <n v="0.14299999999999999"/>
    <n v="5.7200000000000001E-2"/>
    <n v="0"/>
    <s v="CATIVO"/>
    <n v="0"/>
    <n v="0"/>
    <n v="24"/>
    <n v="63"/>
    <n v="0"/>
    <n v="275.13"/>
    <n v="219.34"/>
    <m/>
    <n v="357.46414273240003"/>
    <n v="127.69146309633039"/>
    <n v="0"/>
    <n v="52.068015999999993"/>
    <n v="0"/>
    <n v="46.054686190754538"/>
    <x v="6"/>
  </r>
  <r>
    <s v="Regular"/>
    <x v="2"/>
    <x v="4"/>
    <x v="3"/>
    <x v="7"/>
    <x v="3"/>
    <x v="0"/>
    <x v="2"/>
    <x v="1"/>
    <n v="0"/>
    <n v="0"/>
    <n v="4.2999999999999997E-2"/>
    <n v="1.72E-2"/>
    <n v="4.2999999999999997E-2"/>
    <n v="1.72E-2"/>
    <n v="0"/>
    <s v="CATIVO"/>
    <n v="0"/>
    <n v="0"/>
    <n v="24"/>
    <n v="63"/>
    <n v="0"/>
    <n v="275.13"/>
    <n v="219.34"/>
    <m/>
    <n v="357.46414273240003"/>
    <n v="127.69146309633039"/>
    <n v="0"/>
    <n v="15.656815999999997"/>
    <n v="0"/>
    <n v="13.848611931485632"/>
    <x v="6"/>
  </r>
  <r>
    <s v="Regular"/>
    <x v="2"/>
    <x v="4"/>
    <x v="3"/>
    <x v="7"/>
    <x v="3"/>
    <x v="0"/>
    <x v="2"/>
    <x v="2"/>
    <n v="0"/>
    <n v="0"/>
    <n v="0.186"/>
    <n v="7.4399999999999994E-2"/>
    <n v="0.186"/>
    <n v="7.4399999999999994E-2"/>
    <n v="0"/>
    <s v="CATIVO"/>
    <n v="0"/>
    <n v="0"/>
    <n v="24"/>
    <n v="63"/>
    <n v="0"/>
    <n v="275.13"/>
    <n v="219.34"/>
    <m/>
    <n v="357.46414273240003"/>
    <n v="127.69146309633039"/>
    <n v="0"/>
    <n v="67.724831999999992"/>
    <n v="0"/>
    <n v="59.903298122240173"/>
    <x v="6"/>
  </r>
  <r>
    <s v="Regular"/>
    <x v="2"/>
    <x v="4"/>
    <x v="3"/>
    <x v="7"/>
    <x v="3"/>
    <x v="0"/>
    <x v="2"/>
    <x v="3"/>
    <n v="0"/>
    <n v="0"/>
    <n v="0.16300000000000001"/>
    <n v="6.5199999999999994E-2"/>
    <n v="0.16300000000000001"/>
    <n v="6.5199999999999994E-2"/>
    <n v="0"/>
    <s v="CATIVO"/>
    <n v="0"/>
    <n v="0"/>
    <n v="24"/>
    <n v="63"/>
    <n v="0"/>
    <n v="275.13"/>
    <n v="219.34"/>
    <m/>
    <n v="357.46414273240003"/>
    <n v="127.69146309633039"/>
    <n v="0"/>
    <n v="59.350256000000002"/>
    <n v="0"/>
    <n v="52.495901042608338"/>
    <x v="6"/>
  </r>
  <r>
    <s v="Regular"/>
    <x v="2"/>
    <x v="4"/>
    <x v="3"/>
    <x v="7"/>
    <x v="3"/>
    <x v="0"/>
    <x v="2"/>
    <x v="4"/>
    <n v="0"/>
    <n v="0"/>
    <n v="0.436"/>
    <n v="0.1744"/>
    <n v="0.436"/>
    <n v="0.1744"/>
    <n v="0"/>
    <s v="CATIVO"/>
    <n v="0"/>
    <n v="0"/>
    <n v="24"/>
    <n v="63"/>
    <n v="0"/>
    <n v="275.13"/>
    <n v="219.34"/>
    <m/>
    <n v="357.46414273240003"/>
    <n v="127.69146309633039"/>
    <n v="0"/>
    <n v="158.75283199999998"/>
    <n v="0"/>
    <n v="140.41848377041248"/>
    <x v="6"/>
  </r>
  <r>
    <s v="Refaturamento - Regular"/>
    <x v="2"/>
    <x v="4"/>
    <x v="3"/>
    <x v="7"/>
    <x v="3"/>
    <x v="0"/>
    <x v="2"/>
    <x v="4"/>
    <n v="0"/>
    <n v="0"/>
    <n v="-0.90100000000000002"/>
    <n v="-0.3604"/>
    <n v="-0.90100000000000002"/>
    <n v="-0.3604"/>
    <n v="0"/>
    <s v="CATIVO"/>
    <n v="0"/>
    <n v="0"/>
    <n v="24"/>
    <n v="63"/>
    <n v="0"/>
    <n v="275.13"/>
    <n v="219.34"/>
    <m/>
    <n v="357.46414273240003"/>
    <n v="127.69146309633039"/>
    <n v="0"/>
    <n v="-328.06491199999994"/>
    <n v="0"/>
    <n v="-290.17672907601292"/>
    <x v="6"/>
  </r>
  <r>
    <s v="Regular"/>
    <x v="2"/>
    <x v="4"/>
    <x v="3"/>
    <x v="7"/>
    <x v="3"/>
    <x v="0"/>
    <x v="2"/>
    <x v="5"/>
    <n v="0"/>
    <n v="0"/>
    <n v="0.42699999999999999"/>
    <n v="0.17080000000000001"/>
    <n v="0.42699999999999999"/>
    <n v="0.17080000000000001"/>
    <n v="0"/>
    <s v="CATIVO"/>
    <n v="0"/>
    <n v="0"/>
    <n v="24"/>
    <n v="63"/>
    <n v="0"/>
    <n v="275.13"/>
    <n v="219.34"/>
    <m/>
    <n v="357.46414273240003"/>
    <n v="127.69146309633039"/>
    <n v="0"/>
    <n v="155.47582399999999"/>
    <n v="0"/>
    <n v="137.51993708707826"/>
    <x v="6"/>
  </r>
  <r>
    <s v="Regular"/>
    <x v="2"/>
    <x v="4"/>
    <x v="3"/>
    <x v="7"/>
    <x v="3"/>
    <x v="0"/>
    <x v="2"/>
    <x v="6"/>
    <n v="0"/>
    <n v="0"/>
    <n v="0.245"/>
    <n v="9.8000000000000004E-2"/>
    <n v="0.245"/>
    <n v="9.8000000000000004E-2"/>
    <n v="0"/>
    <s v="CATIVO"/>
    <n v="0"/>
    <n v="0"/>
    <n v="24"/>
    <n v="63"/>
    <n v="0"/>
    <n v="275.13"/>
    <n v="219.34"/>
    <m/>
    <n v="357.46414273240003"/>
    <n v="127.69146309633039"/>
    <n v="0"/>
    <n v="89.207439999999991"/>
    <n v="0"/>
    <n v="78.904881935208834"/>
    <x v="6"/>
  </r>
  <r>
    <s v="Regular"/>
    <x v="2"/>
    <x v="4"/>
    <x v="3"/>
    <x v="7"/>
    <x v="3"/>
    <x v="0"/>
    <x v="2"/>
    <x v="7"/>
    <n v="0"/>
    <n v="0"/>
    <n v="0.114"/>
    <n v="4.5600000000000002E-2"/>
    <n v="0.114"/>
    <n v="4.5600000000000002E-2"/>
    <n v="0"/>
    <s v="CATIVO"/>
    <n v="0"/>
    <n v="0"/>
    <n v="24"/>
    <n v="63"/>
    <n v="0"/>
    <n v="275.13"/>
    <n v="219.34"/>
    <m/>
    <n v="357.46414273240003"/>
    <n v="127.69146309633039"/>
    <n v="0"/>
    <n v="41.508768000000003"/>
    <n v="0"/>
    <n v="36.714924655566563"/>
    <x v="6"/>
  </r>
  <r>
    <s v="Regular"/>
    <x v="2"/>
    <x v="4"/>
    <x v="3"/>
    <x v="7"/>
    <x v="3"/>
    <x v="0"/>
    <x v="2"/>
    <x v="8"/>
    <n v="0"/>
    <n v="0"/>
    <n v="0.16500000000000001"/>
    <n v="6.6000000000000003E-2"/>
    <n v="0.16500000000000001"/>
    <n v="6.6000000000000003E-2"/>
    <n v="0"/>
    <s v="CATIVO"/>
    <n v="0"/>
    <n v="0"/>
    <n v="24"/>
    <n v="63"/>
    <n v="0"/>
    <n v="275.13"/>
    <n v="219.34"/>
    <m/>
    <n v="357.46414273240003"/>
    <n v="127.69146309633039"/>
    <n v="0"/>
    <n v="60.078479999999999"/>
    <n v="0"/>
    <n v="53.140022527793711"/>
    <x v="6"/>
  </r>
  <r>
    <s v="Regular"/>
    <x v="2"/>
    <x v="4"/>
    <x v="3"/>
    <x v="7"/>
    <x v="3"/>
    <x v="0"/>
    <x v="2"/>
    <x v="9"/>
    <n v="0"/>
    <n v="0"/>
    <n v="0.14899999999999999"/>
    <n v="5.96E-2"/>
    <n v="0.14899999999999999"/>
    <n v="5.96E-2"/>
    <n v="0"/>
    <s v="CATIVO"/>
    <n v="0"/>
    <n v="0"/>
    <n v="24"/>
    <n v="63"/>
    <n v="0"/>
    <n v="275.13"/>
    <n v="219.34"/>
    <m/>
    <n v="357.46414273240003"/>
    <n v="127.69146309633039"/>
    <n v="0"/>
    <n v="54.252687999999999"/>
    <n v="0"/>
    <n v="47.987050646310678"/>
    <x v="6"/>
  </r>
  <r>
    <s v="Regular"/>
    <x v="2"/>
    <x v="4"/>
    <x v="3"/>
    <x v="7"/>
    <x v="3"/>
    <x v="0"/>
    <x v="2"/>
    <x v="10"/>
    <n v="0"/>
    <n v="0"/>
    <n v="0.10199999999999999"/>
    <n v="4.0800000000000003E-2"/>
    <n v="0.10199999999999999"/>
    <n v="4.0800000000000003E-2"/>
    <n v="0"/>
    <s v="CATIVO"/>
    <n v="0"/>
    <n v="0"/>
    <n v="24"/>
    <n v="63"/>
    <n v="0"/>
    <n v="275.13"/>
    <n v="219.34"/>
    <m/>
    <n v="357.46414273240003"/>
    <n v="127.69146309633039"/>
    <n v="0"/>
    <n v="37.139423999999991"/>
    <n v="0"/>
    <n v="32.85019574445429"/>
    <x v="6"/>
  </r>
  <r>
    <s v="Regular"/>
    <x v="2"/>
    <x v="4"/>
    <x v="3"/>
    <x v="7"/>
    <x v="3"/>
    <x v="0"/>
    <x v="2"/>
    <x v="11"/>
    <n v="0"/>
    <n v="0"/>
    <n v="0.22600000000000001"/>
    <n v="9.0399999999999994E-2"/>
    <n v="0.22600000000000001"/>
    <n v="9.0399999999999994E-2"/>
    <n v="0"/>
    <s v="CATIVO"/>
    <n v="0"/>
    <n v="0"/>
    <n v="24"/>
    <n v="63"/>
    <n v="0"/>
    <n v="275.13"/>
    <n v="219.34"/>
    <m/>
    <n v="357.46414273240003"/>
    <n v="127.69146309633039"/>
    <n v="0"/>
    <n v="82.289311999999995"/>
    <n v="0"/>
    <n v="72.785727825947745"/>
    <x v="6"/>
  </r>
  <r>
    <s v="Regular"/>
    <x v="2"/>
    <x v="4"/>
    <x v="3"/>
    <x v="8"/>
    <x v="2"/>
    <x v="0"/>
    <x v="2"/>
    <x v="0"/>
    <n v="0"/>
    <n v="0"/>
    <n v="45.56"/>
    <n v="45.56"/>
    <n v="45.56"/>
    <n v="45.56"/>
    <n v="0"/>
    <s v="CATIVO"/>
    <n v="0"/>
    <n v="0"/>
    <n v="24"/>
    <n v="63"/>
    <n v="0"/>
    <n v="275.13"/>
    <n v="219.34"/>
    <m/>
    <n v="357.46414273240003"/>
    <n v="127.69146309633039"/>
    <n v="0"/>
    <n v="3072.110799999999"/>
    <n v="0"/>
    <n v="1410.8737915887423"/>
    <x v="5"/>
  </r>
  <r>
    <s v="Sistema de Compensação"/>
    <x v="2"/>
    <x v="4"/>
    <x v="3"/>
    <x v="8"/>
    <x v="2"/>
    <x v="0"/>
    <x v="2"/>
    <x v="0"/>
    <n v="0"/>
    <n v="0"/>
    <n v="5.1130000000000004"/>
    <n v="5.1130000000000004"/>
    <n v="5.1130000000000004"/>
    <n v="5.1130000000000004"/>
    <n v="0"/>
    <s v="CATIVO"/>
    <n v="0"/>
    <n v="0"/>
    <n v="24"/>
    <n v="63"/>
    <n v="0"/>
    <n v="275.13"/>
    <n v="219.34"/>
    <m/>
    <n v="357.46414273240003"/>
    <n v="127.69146309633039"/>
    <n v="0"/>
    <n v="344.76958999999994"/>
    <n v="0"/>
    <n v="158.33620931504038"/>
    <x v="5"/>
  </r>
  <r>
    <s v="Regular"/>
    <x v="2"/>
    <x v="4"/>
    <x v="3"/>
    <x v="8"/>
    <x v="2"/>
    <x v="0"/>
    <x v="2"/>
    <x v="1"/>
    <n v="0"/>
    <n v="0"/>
    <n v="57.811"/>
    <n v="57.811"/>
    <n v="57.811"/>
    <n v="57.811"/>
    <n v="0"/>
    <s v="CATIVO"/>
    <n v="0"/>
    <n v="0"/>
    <n v="24"/>
    <n v="63"/>
    <n v="0"/>
    <n v="275.13"/>
    <n v="219.34"/>
    <m/>
    <n v="357.46414273240003"/>
    <n v="127.69146309633039"/>
    <n v="0"/>
    <n v="3898.1957299999985"/>
    <n v="0"/>
    <n v="1790.2551528871109"/>
    <x v="5"/>
  </r>
  <r>
    <s v="Sistema de Compensação"/>
    <x v="2"/>
    <x v="4"/>
    <x v="3"/>
    <x v="8"/>
    <x v="2"/>
    <x v="0"/>
    <x v="2"/>
    <x v="1"/>
    <n v="0"/>
    <n v="0"/>
    <n v="12.606999999999999"/>
    <n v="12.606999999999999"/>
    <n v="12.606999999999999"/>
    <n v="12.606999999999999"/>
    <n v="0"/>
    <s v="CATIVO"/>
    <n v="0"/>
    <n v="0"/>
    <n v="24"/>
    <n v="63"/>
    <n v="0"/>
    <n v="275.13"/>
    <n v="219.34"/>
    <m/>
    <n v="357.46414273240003"/>
    <n v="127.69146309633039"/>
    <n v="0"/>
    <n v="850.09000999999967"/>
    <n v="0"/>
    <n v="390.40574825634923"/>
    <x v="5"/>
  </r>
  <r>
    <s v="Regular"/>
    <x v="2"/>
    <x v="4"/>
    <x v="3"/>
    <x v="8"/>
    <x v="2"/>
    <x v="0"/>
    <x v="2"/>
    <x v="2"/>
    <n v="0"/>
    <n v="0"/>
    <n v="63.508000000000003"/>
    <n v="63.508000000000003"/>
    <n v="63.508000000000003"/>
    <n v="63.508000000000003"/>
    <n v="0"/>
    <s v="CATIVO"/>
    <n v="0"/>
    <n v="0"/>
    <n v="24"/>
    <n v="63"/>
    <n v="0"/>
    <n v="275.13"/>
    <n v="219.34"/>
    <m/>
    <n v="357.46414273240003"/>
    <n v="127.69146309633039"/>
    <n v="0"/>
    <n v="4282.3444399999989"/>
    <n v="0"/>
    <n v="1966.6763115938945"/>
    <x v="5"/>
  </r>
  <r>
    <s v="Sistema de Compensação"/>
    <x v="2"/>
    <x v="4"/>
    <x v="3"/>
    <x v="8"/>
    <x v="2"/>
    <x v="0"/>
    <x v="2"/>
    <x v="2"/>
    <n v="0"/>
    <n v="0"/>
    <n v="12.029"/>
    <n v="12.029"/>
    <n v="12.029"/>
    <n v="12.029"/>
    <n v="0"/>
    <s v="CATIVO"/>
    <n v="0"/>
    <n v="0"/>
    <n v="24"/>
    <n v="63"/>
    <n v="0"/>
    <n v="275.13"/>
    <n v="219.34"/>
    <m/>
    <n v="357.46414273240003"/>
    <n v="127.69146309633039"/>
    <n v="0"/>
    <n v="811.11546999999973"/>
    <n v="0"/>
    <n v="372.50660313917865"/>
    <x v="5"/>
  </r>
  <r>
    <s v="Regular"/>
    <x v="2"/>
    <x v="4"/>
    <x v="3"/>
    <x v="8"/>
    <x v="2"/>
    <x v="0"/>
    <x v="2"/>
    <x v="3"/>
    <n v="0"/>
    <n v="0"/>
    <n v="75.221999999999994"/>
    <n v="75.221999999999994"/>
    <n v="75.221999999999994"/>
    <n v="75.221999999999994"/>
    <n v="0"/>
    <s v="CATIVO"/>
    <n v="0"/>
    <n v="0"/>
    <n v="24"/>
    <n v="63"/>
    <n v="0"/>
    <n v="275.13"/>
    <n v="219.34"/>
    <m/>
    <n v="357.46414273240003"/>
    <n v="127.69146309633039"/>
    <n v="0"/>
    <n v="5072.2194599999984"/>
    <n v="0"/>
    <n v="2329.4281903180058"/>
    <x v="5"/>
  </r>
  <r>
    <s v="Sistema de Compensação"/>
    <x v="2"/>
    <x v="4"/>
    <x v="3"/>
    <x v="8"/>
    <x v="2"/>
    <x v="0"/>
    <x v="2"/>
    <x v="3"/>
    <n v="0"/>
    <n v="0"/>
    <n v="16.344999999999999"/>
    <n v="16.344999999999999"/>
    <n v="16.344999999999999"/>
    <n v="16.344999999999999"/>
    <n v="0"/>
    <s v="CATIVO"/>
    <n v="0"/>
    <n v="0"/>
    <n v="24"/>
    <n v="63"/>
    <n v="0"/>
    <n v="275.13"/>
    <n v="219.34"/>
    <m/>
    <n v="357.46414273240003"/>
    <n v="127.69146309633039"/>
    <n v="0"/>
    <n v="1102.1433499999996"/>
    <n v="0"/>
    <n v="506.16181131514458"/>
    <x v="5"/>
  </r>
  <r>
    <s v="Regular"/>
    <x v="2"/>
    <x v="4"/>
    <x v="3"/>
    <x v="8"/>
    <x v="2"/>
    <x v="0"/>
    <x v="2"/>
    <x v="4"/>
    <n v="0"/>
    <n v="0"/>
    <n v="82.271000000000001"/>
    <n v="82.271000000000001"/>
    <n v="82.271000000000001"/>
    <n v="82.271000000000001"/>
    <n v="0"/>
    <s v="CATIVO"/>
    <n v="0"/>
    <n v="0"/>
    <n v="24"/>
    <n v="63"/>
    <n v="0"/>
    <n v="275.13"/>
    <n v="219.34"/>
    <m/>
    <n v="357.46414273240003"/>
    <n v="127.69146309633039"/>
    <n v="0"/>
    <n v="5547.5335299999979"/>
    <n v="0"/>
    <n v="2547.7172455618393"/>
    <x v="5"/>
  </r>
  <r>
    <s v="Sistema de Compensação"/>
    <x v="2"/>
    <x v="4"/>
    <x v="3"/>
    <x v="8"/>
    <x v="2"/>
    <x v="0"/>
    <x v="2"/>
    <x v="4"/>
    <n v="0"/>
    <n v="0"/>
    <n v="19.469000000000001"/>
    <n v="19.469000000000001"/>
    <n v="19.469000000000001"/>
    <n v="19.469000000000001"/>
    <n v="0"/>
    <s v="CATIVO"/>
    <n v="0"/>
    <n v="0"/>
    <n v="24"/>
    <n v="63"/>
    <n v="0"/>
    <n v="275.13"/>
    <n v="219.34"/>
    <m/>
    <n v="357.46414273240003"/>
    <n v="127.69146309633039"/>
    <n v="0"/>
    <n v="1312.7946699999998"/>
    <n v="0"/>
    <n v="602.90390360933327"/>
    <x v="5"/>
  </r>
  <r>
    <s v="Regular"/>
    <x v="2"/>
    <x v="4"/>
    <x v="3"/>
    <x v="8"/>
    <x v="2"/>
    <x v="0"/>
    <x v="2"/>
    <x v="5"/>
    <n v="0"/>
    <n v="0"/>
    <n v="84.971999999999994"/>
    <n v="84.971999999999994"/>
    <n v="84.971999999999994"/>
    <n v="84.971999999999994"/>
    <n v="0"/>
    <s v="CATIVO"/>
    <n v="0"/>
    <n v="0"/>
    <n v="24"/>
    <n v="63"/>
    <n v="0"/>
    <n v="275.13"/>
    <n v="219.34"/>
    <m/>
    <n v="357.46414273240003"/>
    <n v="127.69146309633039"/>
    <n v="0"/>
    <n v="5729.6619599999976"/>
    <n v="0"/>
    <n v="2631.3601364986521"/>
    <x v="5"/>
  </r>
  <r>
    <s v="Refaturamento - Regular"/>
    <x v="2"/>
    <x v="4"/>
    <x v="3"/>
    <x v="8"/>
    <x v="2"/>
    <x v="0"/>
    <x v="2"/>
    <x v="5"/>
    <n v="0"/>
    <n v="0"/>
    <n v="-2"/>
    <n v="-2"/>
    <n v="-2"/>
    <n v="-2"/>
    <n v="0"/>
    <s v="CATIVO"/>
    <n v="0"/>
    <n v="0"/>
    <n v="24"/>
    <n v="63"/>
    <n v="0"/>
    <n v="275.13"/>
    <n v="219.34"/>
    <m/>
    <n v="357.46414273240003"/>
    <n v="127.69146309633039"/>
    <n v="0"/>
    <n v="-134.85999999999996"/>
    <n v="0"/>
    <n v="-61.934758190901761"/>
    <x v="5"/>
  </r>
  <r>
    <s v="Sistema de Compensação"/>
    <x v="2"/>
    <x v="4"/>
    <x v="3"/>
    <x v="8"/>
    <x v="2"/>
    <x v="0"/>
    <x v="2"/>
    <x v="5"/>
    <n v="0"/>
    <n v="0"/>
    <n v="17.23"/>
    <n v="17.23"/>
    <n v="17.23"/>
    <n v="17.23"/>
    <n v="0"/>
    <s v="CATIVO"/>
    <n v="0"/>
    <n v="0"/>
    <n v="24"/>
    <n v="63"/>
    <n v="0"/>
    <n v="275.13"/>
    <n v="219.34"/>
    <m/>
    <n v="357.46414273240003"/>
    <n v="127.69146309633039"/>
    <n v="0"/>
    <n v="1161.8188999999998"/>
    <n v="0"/>
    <n v="533.56794181461873"/>
    <x v="5"/>
  </r>
  <r>
    <s v="Regular"/>
    <x v="2"/>
    <x v="4"/>
    <x v="3"/>
    <x v="8"/>
    <x v="2"/>
    <x v="0"/>
    <x v="2"/>
    <x v="6"/>
    <n v="0"/>
    <n v="0"/>
    <n v="82.183999999999997"/>
    <n v="82.183999999999997"/>
    <n v="82.183999999999997"/>
    <n v="82.183999999999997"/>
    <n v="0"/>
    <s v="CATIVO"/>
    <n v="0"/>
    <n v="0"/>
    <n v="24"/>
    <n v="63"/>
    <n v="0"/>
    <n v="275.13"/>
    <n v="219.34"/>
    <m/>
    <n v="357.46414273240003"/>
    <n v="127.69146309633039"/>
    <n v="0"/>
    <n v="5541.6671199999982"/>
    <n v="0"/>
    <n v="2545.0230835805351"/>
    <x v="5"/>
  </r>
  <r>
    <s v="Sistema de Compensação"/>
    <x v="2"/>
    <x v="4"/>
    <x v="3"/>
    <x v="8"/>
    <x v="2"/>
    <x v="0"/>
    <x v="2"/>
    <x v="6"/>
    <n v="0"/>
    <n v="0"/>
    <n v="21.934000000000001"/>
    <n v="21.934000000000001"/>
    <n v="21.934000000000001"/>
    <n v="21.934000000000001"/>
    <n v="0"/>
    <s v="CATIVO"/>
    <n v="0"/>
    <n v="0"/>
    <n v="24"/>
    <n v="63"/>
    <n v="0"/>
    <n v="275.13"/>
    <n v="219.34"/>
    <m/>
    <n v="357.46414273240003"/>
    <n v="127.69146309633039"/>
    <n v="0"/>
    <n v="1479.0096199999996"/>
    <n v="0"/>
    <n v="679.23849307961962"/>
    <x v="5"/>
  </r>
  <r>
    <s v="Regular"/>
    <x v="2"/>
    <x v="4"/>
    <x v="3"/>
    <x v="8"/>
    <x v="2"/>
    <x v="0"/>
    <x v="2"/>
    <x v="7"/>
    <n v="0"/>
    <n v="0"/>
    <n v="82.19"/>
    <n v="82.19"/>
    <n v="82.19"/>
    <n v="82.19"/>
    <n v="0"/>
    <s v="CATIVO"/>
    <n v="0"/>
    <n v="0"/>
    <n v="24"/>
    <n v="63"/>
    <n v="0"/>
    <n v="275.13"/>
    <n v="219.34"/>
    <m/>
    <n v="357.46414273240003"/>
    <n v="127.69146309633039"/>
    <n v="0"/>
    <n v="5542.0716999999977"/>
    <n v="0"/>
    <n v="2545.2088878551076"/>
    <x v="5"/>
  </r>
  <r>
    <s v="Refaturamento - Regular"/>
    <x v="2"/>
    <x v="4"/>
    <x v="3"/>
    <x v="8"/>
    <x v="2"/>
    <x v="0"/>
    <x v="2"/>
    <x v="7"/>
    <n v="0"/>
    <n v="0"/>
    <n v="-1.958"/>
    <n v="-1.958"/>
    <n v="-1.958"/>
    <n v="-1.958"/>
    <n v="0"/>
    <s v="CATIVO"/>
    <n v="0"/>
    <n v="0"/>
    <n v="24"/>
    <n v="63"/>
    <n v="0"/>
    <n v="275.13"/>
    <n v="219.34"/>
    <m/>
    <n v="357.46414273240003"/>
    <n v="127.69146309633039"/>
    <n v="0"/>
    <n v="-132.02793999999994"/>
    <n v="0"/>
    <n v="-60.634128268892823"/>
    <x v="5"/>
  </r>
  <r>
    <s v="Sistema de Compensação"/>
    <x v="2"/>
    <x v="4"/>
    <x v="3"/>
    <x v="8"/>
    <x v="2"/>
    <x v="0"/>
    <x v="2"/>
    <x v="7"/>
    <n v="0"/>
    <n v="0"/>
    <n v="20.260999999999999"/>
    <n v="20.260999999999999"/>
    <n v="20.260999999999999"/>
    <n v="20.260999999999999"/>
    <n v="0"/>
    <s v="CATIVO"/>
    <n v="0"/>
    <n v="0"/>
    <n v="24"/>
    <n v="63"/>
    <n v="0"/>
    <n v="275.13"/>
    <n v="219.34"/>
    <m/>
    <n v="357.46414273240003"/>
    <n v="127.69146309633039"/>
    <n v="0"/>
    <n v="1366.1992299999995"/>
    <n v="0"/>
    <n v="627.43006785293028"/>
    <x v="5"/>
  </r>
  <r>
    <s v="Regular"/>
    <x v="2"/>
    <x v="4"/>
    <x v="3"/>
    <x v="8"/>
    <x v="2"/>
    <x v="0"/>
    <x v="2"/>
    <x v="8"/>
    <n v="0"/>
    <n v="0"/>
    <n v="75.430999999999997"/>
    <n v="75.430999999999997"/>
    <n v="75.430999999999997"/>
    <n v="75.430999999999997"/>
    <n v="0"/>
    <s v="CATIVO"/>
    <n v="0"/>
    <n v="0"/>
    <n v="24"/>
    <n v="63"/>
    <n v="0"/>
    <n v="275.13"/>
    <n v="219.34"/>
    <m/>
    <n v="357.46414273240003"/>
    <n v="127.69146309633039"/>
    <n v="0"/>
    <n v="5086.3123299999979"/>
    <n v="0"/>
    <n v="2335.9003725489551"/>
    <x v="5"/>
  </r>
  <r>
    <s v="Sistema de Compensação"/>
    <x v="2"/>
    <x v="4"/>
    <x v="3"/>
    <x v="8"/>
    <x v="2"/>
    <x v="0"/>
    <x v="2"/>
    <x v="8"/>
    <n v="0"/>
    <n v="0"/>
    <n v="21.283000000000001"/>
    <n v="21.283000000000001"/>
    <n v="21.283000000000001"/>
    <n v="21.283000000000001"/>
    <n v="0"/>
    <s v="CATIVO"/>
    <n v="0"/>
    <n v="0"/>
    <n v="24"/>
    <n v="63"/>
    <n v="0"/>
    <n v="275.13"/>
    <n v="219.34"/>
    <m/>
    <n v="357.46414273240003"/>
    <n v="127.69146309633039"/>
    <n v="0"/>
    <n v="1435.1126899999997"/>
    <n v="0"/>
    <n v="659.0787292884811"/>
    <x v="5"/>
  </r>
  <r>
    <s v="Regular"/>
    <x v="2"/>
    <x v="4"/>
    <x v="3"/>
    <x v="8"/>
    <x v="2"/>
    <x v="0"/>
    <x v="2"/>
    <x v="9"/>
    <n v="0"/>
    <n v="0"/>
    <n v="49.536000000000001"/>
    <n v="49.536000000000001"/>
    <n v="49.536000000000001"/>
    <n v="49.536000000000001"/>
    <n v="0"/>
    <s v="CATIVO"/>
    <n v="0"/>
    <n v="0"/>
    <n v="24"/>
    <n v="63"/>
    <n v="0"/>
    <n v="275.13"/>
    <n v="219.34"/>
    <m/>
    <n v="357.46414273240003"/>
    <n v="127.69146309633039"/>
    <n v="0"/>
    <n v="3340.2124799999992"/>
    <n v="0"/>
    <n v="1534.0000908722548"/>
    <x v="5"/>
  </r>
  <r>
    <s v="Sistema de Compensação"/>
    <x v="2"/>
    <x v="4"/>
    <x v="3"/>
    <x v="8"/>
    <x v="2"/>
    <x v="0"/>
    <x v="2"/>
    <x v="9"/>
    <n v="0"/>
    <n v="0"/>
    <n v="14.411"/>
    <n v="14.411"/>
    <n v="14.411"/>
    <n v="14.411"/>
    <n v="0"/>
    <s v="CATIVO"/>
    <n v="0"/>
    <n v="0"/>
    <n v="24"/>
    <n v="63"/>
    <n v="0"/>
    <n v="275.13"/>
    <n v="219.34"/>
    <m/>
    <n v="357.46414273240003"/>
    <n v="127.69146309633039"/>
    <n v="0"/>
    <n v="971.7337299999997"/>
    <n v="0"/>
    <n v="446.27090014454262"/>
    <x v="5"/>
  </r>
  <r>
    <s v="Regular"/>
    <x v="2"/>
    <x v="4"/>
    <x v="3"/>
    <x v="8"/>
    <x v="2"/>
    <x v="0"/>
    <x v="2"/>
    <x v="10"/>
    <n v="0"/>
    <n v="0"/>
    <n v="34.773000000000003"/>
    <n v="34.773000000000003"/>
    <n v="34.773000000000003"/>
    <n v="34.773000000000003"/>
    <n v="0"/>
    <s v="CATIVO"/>
    <n v="0"/>
    <n v="0"/>
    <n v="24"/>
    <n v="63"/>
    <n v="0"/>
    <n v="275.13"/>
    <n v="219.34"/>
    <m/>
    <n v="357.46414273240003"/>
    <n v="127.69146309633039"/>
    <n v="0"/>
    <n v="2344.7433899999996"/>
    <n v="0"/>
    <n v="1076.8286732861136"/>
    <x v="5"/>
  </r>
  <r>
    <s v="Regular"/>
    <x v="2"/>
    <x v="4"/>
    <x v="3"/>
    <x v="8"/>
    <x v="2"/>
    <x v="0"/>
    <x v="2"/>
    <x v="11"/>
    <n v="0"/>
    <n v="0"/>
    <n v="33.787999999999997"/>
    <n v="33.787999999999997"/>
    <n v="33.787999999999997"/>
    <n v="33.787999999999997"/>
    <n v="0"/>
    <s v="CATIVO"/>
    <n v="0"/>
    <n v="0"/>
    <n v="24"/>
    <n v="63"/>
    <n v="0"/>
    <n v="275.13"/>
    <n v="219.34"/>
    <m/>
    <n v="357.46414273240003"/>
    <n v="127.69146309633039"/>
    <n v="0"/>
    <n v="2278.3248399999989"/>
    <n v="0"/>
    <n v="1046.3258048770942"/>
    <x v="5"/>
  </r>
  <r>
    <s v="Sistema de Compensação"/>
    <x v="2"/>
    <x v="4"/>
    <x v="3"/>
    <x v="8"/>
    <x v="2"/>
    <x v="0"/>
    <x v="2"/>
    <x v="11"/>
    <n v="0"/>
    <n v="0"/>
    <n v="10.808999999999999"/>
    <n v="10.808999999999999"/>
    <n v="10.808999999999999"/>
    <n v="10.808999999999999"/>
    <n v="0"/>
    <s v="CATIVO"/>
    <n v="0"/>
    <n v="0"/>
    <n v="24"/>
    <n v="63"/>
    <n v="0"/>
    <n v="275.13"/>
    <n v="219.34"/>
    <m/>
    <n v="357.46414273240003"/>
    <n v="127.69146309633039"/>
    <n v="0"/>
    <n v="728.85086999999976"/>
    <n v="0"/>
    <n v="334.72640064272855"/>
    <x v="5"/>
  </r>
  <r>
    <s v="Regular"/>
    <x v="2"/>
    <x v="4"/>
    <x v="3"/>
    <x v="8"/>
    <x v="3"/>
    <x v="0"/>
    <x v="2"/>
    <x v="0"/>
    <n v="0"/>
    <n v="0"/>
    <n v="63.085000000000001"/>
    <n v="25.234000000000002"/>
    <n v="63.085000000000001"/>
    <n v="25.234000000000002"/>
    <n v="0"/>
    <s v="CATIVO"/>
    <n v="0"/>
    <n v="0"/>
    <n v="24"/>
    <n v="63"/>
    <n v="0"/>
    <n v="275.13"/>
    <n v="219.34"/>
    <m/>
    <n v="357.46414273240003"/>
    <n v="127.69146309633039"/>
    <n v="0"/>
    <n v="22970.005519999999"/>
    <n v="0"/>
    <n v="20317.201946459791"/>
    <x v="6"/>
  </r>
  <r>
    <s v="Sistema de Compensação"/>
    <x v="2"/>
    <x v="4"/>
    <x v="3"/>
    <x v="8"/>
    <x v="3"/>
    <x v="0"/>
    <x v="2"/>
    <x v="0"/>
    <n v="0"/>
    <n v="0"/>
    <n v="10.574"/>
    <n v="10.574"/>
    <n v="10.574"/>
    <n v="10.574"/>
    <n v="0"/>
    <s v="CATIVO"/>
    <n v="0"/>
    <n v="0"/>
    <n v="24"/>
    <n v="63"/>
    <n v="0"/>
    <n v="275.13"/>
    <n v="219.34"/>
    <m/>
    <n v="357.46414273240003"/>
    <n v="127.69146309633039"/>
    <n v="0"/>
    <n v="713.00481999999977"/>
    <n v="0"/>
    <n v="327.44906655529758"/>
    <x v="5"/>
  </r>
  <r>
    <s v="Regular"/>
    <x v="2"/>
    <x v="4"/>
    <x v="3"/>
    <x v="8"/>
    <x v="3"/>
    <x v="0"/>
    <x v="2"/>
    <x v="1"/>
    <n v="0"/>
    <n v="0"/>
    <n v="71.875"/>
    <n v="28.75"/>
    <n v="71.875"/>
    <n v="28.75"/>
    <n v="0"/>
    <s v="CATIVO"/>
    <n v="0"/>
    <n v="0"/>
    <n v="24"/>
    <n v="63"/>
    <n v="0"/>
    <n v="275.13"/>
    <n v="219.34"/>
    <m/>
    <n v="357.46414273240003"/>
    <n v="127.69146309633039"/>
    <n v="0"/>
    <n v="26170.550000000003"/>
    <n v="0"/>
    <n v="23148.115873849532"/>
    <x v="6"/>
  </r>
  <r>
    <s v="Sistema de Compensação"/>
    <x v="2"/>
    <x v="4"/>
    <x v="3"/>
    <x v="8"/>
    <x v="3"/>
    <x v="0"/>
    <x v="2"/>
    <x v="1"/>
    <n v="0"/>
    <n v="0"/>
    <n v="16.195"/>
    <n v="16.195"/>
    <n v="16.195"/>
    <n v="16.195"/>
    <n v="0"/>
    <s v="CATIVO"/>
    <n v="0"/>
    <n v="0"/>
    <n v="24"/>
    <n v="63"/>
    <n v="0"/>
    <n v="275.13"/>
    <n v="219.34"/>
    <m/>
    <n v="357.46414273240003"/>
    <n v="127.69146309633039"/>
    <n v="0"/>
    <n v="1092.0288499999997"/>
    <n v="0"/>
    <n v="501.51670445082704"/>
    <x v="5"/>
  </r>
  <r>
    <s v="Regular"/>
    <x v="2"/>
    <x v="4"/>
    <x v="3"/>
    <x v="8"/>
    <x v="3"/>
    <x v="0"/>
    <x v="2"/>
    <x v="2"/>
    <n v="0"/>
    <n v="0"/>
    <n v="79.635000000000005"/>
    <n v="31.853999999999999"/>
    <n v="79.635000000000005"/>
    <n v="31.853999999999999"/>
    <n v="0"/>
    <s v="CATIVO"/>
    <n v="0"/>
    <n v="0"/>
    <n v="24"/>
    <n v="63"/>
    <n v="0"/>
    <n v="275.13"/>
    <n v="219.34"/>
    <m/>
    <n v="357.46414273240003"/>
    <n v="127.69146309633039"/>
    <n v="0"/>
    <n v="28996.059120000002"/>
    <n v="0"/>
    <n v="25647.307236368801"/>
    <x v="6"/>
  </r>
  <r>
    <s v="Sistema de Compensação"/>
    <x v="2"/>
    <x v="4"/>
    <x v="3"/>
    <x v="8"/>
    <x v="3"/>
    <x v="0"/>
    <x v="2"/>
    <x v="2"/>
    <n v="0"/>
    <n v="0"/>
    <n v="14.728"/>
    <n v="14.728"/>
    <n v="14.728"/>
    <n v="14.728"/>
    <n v="0"/>
    <s v="CATIVO"/>
    <n v="0"/>
    <n v="0"/>
    <n v="24"/>
    <n v="63"/>
    <n v="0"/>
    <n v="275.13"/>
    <n v="219.34"/>
    <m/>
    <n v="357.46414273240003"/>
    <n v="127.69146309633039"/>
    <n v="0"/>
    <n v="993.10903999999971"/>
    <n v="0"/>
    <n v="456.08755931780058"/>
    <x v="5"/>
  </r>
  <r>
    <s v="Regular"/>
    <x v="2"/>
    <x v="4"/>
    <x v="3"/>
    <x v="8"/>
    <x v="3"/>
    <x v="0"/>
    <x v="2"/>
    <x v="3"/>
    <n v="0"/>
    <n v="0"/>
    <n v="92.965999999999994"/>
    <n v="37.186399999999999"/>
    <n v="92.965999999999994"/>
    <n v="37.186399999999999"/>
    <n v="0"/>
    <s v="CATIVO"/>
    <n v="0"/>
    <n v="0"/>
    <n v="24"/>
    <n v="63"/>
    <n v="0"/>
    <n v="275.13"/>
    <n v="219.34"/>
    <m/>
    <n v="357.46414273240003"/>
    <n v="127.69146309633039"/>
    <n v="0"/>
    <n v="33850.036192"/>
    <n v="0"/>
    <n v="29940.698995871935"/>
    <x v="6"/>
  </r>
  <r>
    <s v="Sistema de Compensação"/>
    <x v="2"/>
    <x v="4"/>
    <x v="3"/>
    <x v="8"/>
    <x v="3"/>
    <x v="0"/>
    <x v="2"/>
    <x v="3"/>
    <n v="0"/>
    <n v="0"/>
    <n v="15.16"/>
    <n v="15.16"/>
    <n v="15.16"/>
    <n v="15.16"/>
    <n v="0"/>
    <s v="CATIVO"/>
    <n v="0"/>
    <n v="0"/>
    <n v="24"/>
    <n v="63"/>
    <n v="0"/>
    <n v="275.13"/>
    <n v="219.34"/>
    <m/>
    <n v="357.46414273240003"/>
    <n v="127.69146309633039"/>
    <n v="0"/>
    <n v="1022.2387999999996"/>
    <n v="0"/>
    <n v="469.46546708703534"/>
    <x v="5"/>
  </r>
  <r>
    <s v="Regular"/>
    <x v="2"/>
    <x v="4"/>
    <x v="3"/>
    <x v="8"/>
    <x v="3"/>
    <x v="0"/>
    <x v="2"/>
    <x v="4"/>
    <n v="0"/>
    <n v="0"/>
    <n v="93.600999999999999"/>
    <n v="37.440399999999997"/>
    <n v="93.600999999999999"/>
    <n v="37.440399999999997"/>
    <n v="0"/>
    <s v="CATIVO"/>
    <n v="0"/>
    <n v="0"/>
    <n v="24"/>
    <n v="63"/>
    <n v="0"/>
    <n v="275.13"/>
    <n v="219.34"/>
    <m/>
    <n v="357.46414273240003"/>
    <n v="127.69146309633039"/>
    <n v="0"/>
    <n v="34081.247312"/>
    <n v="0"/>
    <n v="30145.207567418296"/>
    <x v="6"/>
  </r>
  <r>
    <s v="Sistema de Compensação"/>
    <x v="2"/>
    <x v="4"/>
    <x v="3"/>
    <x v="8"/>
    <x v="3"/>
    <x v="0"/>
    <x v="2"/>
    <x v="4"/>
    <n v="0"/>
    <n v="0"/>
    <n v="22.015000000000001"/>
    <n v="22.015000000000001"/>
    <n v="22.015000000000001"/>
    <n v="22.015000000000001"/>
    <n v="0"/>
    <s v="CATIVO"/>
    <n v="0"/>
    <n v="0"/>
    <n v="24"/>
    <n v="63"/>
    <n v="0"/>
    <n v="275.13"/>
    <n v="219.34"/>
    <m/>
    <n v="357.46414273240003"/>
    <n v="127.69146309633039"/>
    <n v="0"/>
    <n v="1484.4714499999995"/>
    <n v="0"/>
    <n v="681.74685078635116"/>
    <x v="5"/>
  </r>
  <r>
    <s v="Regular"/>
    <x v="2"/>
    <x v="4"/>
    <x v="3"/>
    <x v="8"/>
    <x v="3"/>
    <x v="0"/>
    <x v="2"/>
    <x v="5"/>
    <n v="0"/>
    <n v="0"/>
    <n v="99.396000000000001"/>
    <n v="39.758400000000002"/>
    <n v="99.396000000000001"/>
    <n v="39.758400000000002"/>
    <n v="0"/>
    <s v="CATIVO"/>
    <n v="0"/>
    <n v="0"/>
    <n v="24"/>
    <n v="63"/>
    <n v="0"/>
    <n v="275.13"/>
    <n v="219.34"/>
    <m/>
    <n v="357.46414273240003"/>
    <n v="127.69146309633039"/>
    <n v="0"/>
    <n v="36191.276352000001"/>
    <n v="0"/>
    <n v="32011.549570742929"/>
    <x v="6"/>
  </r>
  <r>
    <s v="Sistema de Compensação"/>
    <x v="2"/>
    <x v="4"/>
    <x v="3"/>
    <x v="8"/>
    <x v="3"/>
    <x v="0"/>
    <x v="2"/>
    <x v="5"/>
    <n v="0"/>
    <n v="0"/>
    <n v="19.765999999999998"/>
    <n v="19.765999999999998"/>
    <n v="19.765999999999998"/>
    <n v="19.765999999999998"/>
    <n v="0"/>
    <s v="CATIVO"/>
    <n v="0"/>
    <n v="0"/>
    <n v="24"/>
    <n v="63"/>
    <n v="0"/>
    <n v="275.13"/>
    <n v="219.34"/>
    <m/>
    <n v="357.46414273240003"/>
    <n v="127.69146309633039"/>
    <n v="0"/>
    <n v="1332.8213799999994"/>
    <n v="0"/>
    <n v="612.10121520068208"/>
    <x v="5"/>
  </r>
  <r>
    <s v="Regular"/>
    <x v="2"/>
    <x v="4"/>
    <x v="3"/>
    <x v="8"/>
    <x v="3"/>
    <x v="0"/>
    <x v="2"/>
    <x v="6"/>
    <n v="0"/>
    <n v="0"/>
    <n v="96.036000000000001"/>
    <n v="38.414400000000001"/>
    <n v="96.036000000000001"/>
    <n v="38.414400000000001"/>
    <n v="0"/>
    <s v="CATIVO"/>
    <n v="0"/>
    <n v="0"/>
    <n v="24"/>
    <n v="63"/>
    <n v="0"/>
    <n v="275.13"/>
    <n v="219.34"/>
    <m/>
    <n v="357.46414273240003"/>
    <n v="127.69146309633039"/>
    <n v="0"/>
    <n v="34967.860032000004"/>
    <n v="0"/>
    <n v="30929.425475631495"/>
    <x v="6"/>
  </r>
  <r>
    <s v="Sistema de Compensação"/>
    <x v="2"/>
    <x v="4"/>
    <x v="3"/>
    <x v="8"/>
    <x v="3"/>
    <x v="0"/>
    <x v="2"/>
    <x v="6"/>
    <n v="0"/>
    <n v="0"/>
    <n v="29.123999999999999"/>
    <n v="29.123999999999999"/>
    <n v="29.123999999999999"/>
    <n v="29.123999999999999"/>
    <n v="0"/>
    <s v="CATIVO"/>
    <n v="0"/>
    <n v="0"/>
    <n v="24"/>
    <n v="63"/>
    <n v="0"/>
    <n v="275.13"/>
    <n v="219.34"/>
    <m/>
    <n v="357.46414273240003"/>
    <n v="127.69146309633039"/>
    <n v="0"/>
    <n v="1963.8313199999993"/>
    <n v="0"/>
    <n v="901.89394877591144"/>
    <x v="5"/>
  </r>
  <r>
    <s v="Regular"/>
    <x v="2"/>
    <x v="4"/>
    <x v="3"/>
    <x v="8"/>
    <x v="3"/>
    <x v="0"/>
    <x v="2"/>
    <x v="7"/>
    <n v="0"/>
    <n v="0"/>
    <n v="86.561000000000007"/>
    <n v="34.624400000000001"/>
    <n v="86.561000000000007"/>
    <n v="34.624400000000001"/>
    <n v="0"/>
    <s v="CATIVO"/>
    <n v="0"/>
    <n v="0"/>
    <n v="24"/>
    <n v="63"/>
    <n v="0"/>
    <n v="275.13"/>
    <n v="219.34"/>
    <m/>
    <n v="357.46414273240003"/>
    <n v="127.69146309633039"/>
    <n v="0"/>
    <n v="31517.898832000003"/>
    <n v="0"/>
    <n v="27877.899939565767"/>
    <x v="6"/>
  </r>
  <r>
    <s v="Refaturamento - Regular"/>
    <x v="2"/>
    <x v="4"/>
    <x v="3"/>
    <x v="8"/>
    <x v="3"/>
    <x v="0"/>
    <x v="2"/>
    <x v="7"/>
    <n v="0"/>
    <n v="0"/>
    <n v="1.958"/>
    <n v="0.78320000000000001"/>
    <n v="1.958"/>
    <n v="0.78320000000000001"/>
    <n v="0"/>
    <s v="CATIVO"/>
    <n v="0"/>
    <n v="0"/>
    <n v="24"/>
    <n v="63"/>
    <n v="0"/>
    <n v="275.13"/>
    <n v="219.34"/>
    <m/>
    <n v="357.46414273240003"/>
    <n v="127.69146309633039"/>
    <n v="0"/>
    <n v="712.93129599999986"/>
    <n v="0"/>
    <n v="630.59493399648522"/>
    <x v="6"/>
  </r>
  <r>
    <s v="Sistema de Compensação"/>
    <x v="2"/>
    <x v="4"/>
    <x v="3"/>
    <x v="8"/>
    <x v="3"/>
    <x v="0"/>
    <x v="2"/>
    <x v="7"/>
    <n v="0"/>
    <n v="0"/>
    <n v="30.641999999999999"/>
    <n v="30.641999999999999"/>
    <n v="30.641999999999999"/>
    <n v="30.641999999999999"/>
    <n v="0"/>
    <s v="CATIVO"/>
    <n v="0"/>
    <n v="0"/>
    <n v="24"/>
    <n v="63"/>
    <n v="0"/>
    <n v="275.13"/>
    <n v="219.34"/>
    <m/>
    <n v="357.46414273240003"/>
    <n v="127.69146309633039"/>
    <n v="0"/>
    <n v="2066.1900599999994"/>
    <n v="0"/>
    <n v="948.90243024280585"/>
    <x v="5"/>
  </r>
  <r>
    <s v="Regular"/>
    <x v="2"/>
    <x v="4"/>
    <x v="3"/>
    <x v="8"/>
    <x v="3"/>
    <x v="0"/>
    <x v="2"/>
    <x v="8"/>
    <n v="0"/>
    <n v="0"/>
    <n v="76.91"/>
    <n v="30.763999999999999"/>
    <n v="76.91"/>
    <n v="30.763999999999999"/>
    <n v="0"/>
    <s v="CATIVO"/>
    <n v="0"/>
    <n v="0"/>
    <n v="24"/>
    <n v="63"/>
    <n v="0"/>
    <n v="275.13"/>
    <n v="219.34"/>
    <m/>
    <n v="357.46414273240003"/>
    <n v="127.69146309633039"/>
    <n v="0"/>
    <n v="28003.853919999998"/>
    <n v="0"/>
    <n v="24769.691712803724"/>
    <x v="6"/>
  </r>
  <r>
    <s v="Sistema de Compensação"/>
    <x v="2"/>
    <x v="4"/>
    <x v="3"/>
    <x v="8"/>
    <x v="3"/>
    <x v="0"/>
    <x v="2"/>
    <x v="8"/>
    <n v="0"/>
    <n v="0"/>
    <n v="34.271000000000001"/>
    <n v="34.271000000000001"/>
    <n v="34.271000000000001"/>
    <n v="34.271000000000001"/>
    <n v="0"/>
    <s v="CATIVO"/>
    <n v="0"/>
    <n v="0"/>
    <n v="24"/>
    <n v="63"/>
    <n v="0"/>
    <n v="275.13"/>
    <n v="219.34"/>
    <m/>
    <n v="357.46414273240003"/>
    <n v="127.69146309633039"/>
    <n v="0"/>
    <n v="2310.8935299999994"/>
    <n v="0"/>
    <n v="1061.2830489801972"/>
    <x v="5"/>
  </r>
  <r>
    <s v="Regular"/>
    <x v="2"/>
    <x v="4"/>
    <x v="3"/>
    <x v="8"/>
    <x v="3"/>
    <x v="0"/>
    <x v="2"/>
    <x v="9"/>
    <n v="0"/>
    <n v="0"/>
    <n v="51.064999999999998"/>
    <n v="20.425999999999998"/>
    <n v="51.064999999999998"/>
    <n v="20.425999999999998"/>
    <n v="0"/>
    <s v="CATIVO"/>
    <n v="0"/>
    <n v="0"/>
    <n v="24"/>
    <n v="63"/>
    <n v="0"/>
    <n v="275.13"/>
    <n v="219.34"/>
    <m/>
    <n v="357.46414273240003"/>
    <n v="127.69146309633039"/>
    <n v="0"/>
    <n v="18593.379279999997"/>
    <n v="0"/>
    <n v="16446.031820495671"/>
    <x v="6"/>
  </r>
  <r>
    <s v="Sistema de Compensação"/>
    <x v="2"/>
    <x v="4"/>
    <x v="3"/>
    <x v="8"/>
    <x v="3"/>
    <x v="0"/>
    <x v="2"/>
    <x v="9"/>
    <n v="0"/>
    <n v="0"/>
    <n v="31.675999999999998"/>
    <n v="31.675999999999998"/>
    <n v="31.675999999999998"/>
    <n v="31.675999999999998"/>
    <n v="0"/>
    <s v="CATIVO"/>
    <n v="0"/>
    <n v="0"/>
    <n v="24"/>
    <n v="63"/>
    <n v="0"/>
    <n v="275.13"/>
    <n v="219.34"/>
    <m/>
    <n v="357.46414273240003"/>
    <n v="127.69146309633039"/>
    <n v="0"/>
    <n v="2135.912679999999"/>
    <n v="0"/>
    <n v="980.92270022750199"/>
    <x v="5"/>
  </r>
  <r>
    <s v="Regular"/>
    <x v="2"/>
    <x v="4"/>
    <x v="3"/>
    <x v="8"/>
    <x v="3"/>
    <x v="0"/>
    <x v="2"/>
    <x v="10"/>
    <n v="0"/>
    <n v="0"/>
    <n v="40.271000000000001"/>
    <n v="16.1084"/>
    <n v="40.271000000000001"/>
    <n v="16.1084"/>
    <n v="0"/>
    <s v="CATIVO"/>
    <n v="0"/>
    <n v="0"/>
    <n v="24"/>
    <n v="63"/>
    <n v="0"/>
    <n v="275.13"/>
    <n v="219.34"/>
    <m/>
    <n v="357.46414273240003"/>
    <n v="127.69146309633039"/>
    <n v="0"/>
    <n v="14663.154352000001"/>
    <n v="0"/>
    <n v="12969.708164950185"/>
    <x v="6"/>
  </r>
  <r>
    <s v="Regular"/>
    <x v="2"/>
    <x v="4"/>
    <x v="3"/>
    <x v="8"/>
    <x v="3"/>
    <x v="0"/>
    <x v="2"/>
    <x v="11"/>
    <n v="0"/>
    <n v="0"/>
    <n v="41"/>
    <n v="16.399999999999999"/>
    <n v="41"/>
    <n v="16.399999999999999"/>
    <n v="0"/>
    <s v="CATIVO"/>
    <n v="0"/>
    <n v="0"/>
    <n v="24"/>
    <n v="63"/>
    <n v="0"/>
    <n v="275.13"/>
    <n v="219.34"/>
    <m/>
    <n v="357.46414273240003"/>
    <n v="127.69146309633039"/>
    <n v="0"/>
    <n v="14928.592000000001"/>
    <n v="0"/>
    <n v="13204.490446300255"/>
    <x v="6"/>
  </r>
  <r>
    <s v="Sistema de Compensação"/>
    <x v="2"/>
    <x v="4"/>
    <x v="3"/>
    <x v="8"/>
    <x v="3"/>
    <x v="0"/>
    <x v="2"/>
    <x v="11"/>
    <n v="0"/>
    <n v="0"/>
    <n v="24.759"/>
    <n v="24.759"/>
    <n v="24.759"/>
    <n v="24.759"/>
    <n v="0"/>
    <s v="CATIVO"/>
    <n v="0"/>
    <n v="0"/>
    <n v="24"/>
    <n v="63"/>
    <n v="0"/>
    <n v="275.13"/>
    <n v="219.34"/>
    <m/>
    <n v="357.46414273240003"/>
    <n v="127.69146309633039"/>
    <n v="0"/>
    <n v="1669.4993699999995"/>
    <n v="0"/>
    <n v="766.72133902426833"/>
    <x v="5"/>
  </r>
  <r>
    <s v="Regular"/>
    <x v="2"/>
    <x v="4"/>
    <x v="3"/>
    <x v="1"/>
    <x v="0"/>
    <x v="0"/>
    <x v="2"/>
    <x v="0"/>
    <n v="0"/>
    <n v="0"/>
    <n v="1994.5889999999999"/>
    <n v="1994.5889999999999"/>
    <n v="1994.5889999999999"/>
    <n v="1994.5889999999999"/>
    <n v="2816"/>
    <s v="CATIVO"/>
    <n v="0"/>
    <n v="0"/>
    <n v="24"/>
    <n v="63"/>
    <n v="0"/>
    <n v="275.13"/>
    <n v="219.34"/>
    <m/>
    <n v="357.46414273240003"/>
    <n v="127.69146309633039"/>
    <n v="0"/>
    <n v="134495.13626999996"/>
    <n v="0"/>
    <n v="61767.19370261627"/>
    <x v="5"/>
  </r>
  <r>
    <s v="Refaturamento - Regular"/>
    <x v="2"/>
    <x v="4"/>
    <x v="3"/>
    <x v="1"/>
    <x v="0"/>
    <x v="0"/>
    <x v="2"/>
    <x v="0"/>
    <n v="0"/>
    <n v="0"/>
    <n v="-1.4830000000000001"/>
    <n v="-1.4830000000000001"/>
    <n v="-1.4830000000000001"/>
    <n v="-1.4830000000000001"/>
    <n v="0"/>
    <s v="CATIVO"/>
    <n v="0"/>
    <n v="0"/>
    <n v="24"/>
    <n v="63"/>
    <n v="0"/>
    <n v="275.13"/>
    <n v="219.34"/>
    <m/>
    <n v="357.46414273240003"/>
    <n v="127.69146309633039"/>
    <n v="0"/>
    <n v="-99.998689999999968"/>
    <n v="0"/>
    <n v="-45.924623198553661"/>
    <x v="5"/>
  </r>
  <r>
    <s v="Sistema de Compensação"/>
    <x v="2"/>
    <x v="4"/>
    <x v="3"/>
    <x v="1"/>
    <x v="0"/>
    <x v="0"/>
    <x v="2"/>
    <x v="0"/>
    <n v="0"/>
    <n v="0"/>
    <n v="163.57599999999999"/>
    <n v="163.57599999999999"/>
    <n v="163.57599999999999"/>
    <n v="163.57599999999999"/>
    <n v="130"/>
    <s v="CATIVO"/>
    <n v="0"/>
    <n v="0"/>
    <n v="24"/>
    <n v="63"/>
    <n v="0"/>
    <n v="275.13"/>
    <n v="219.34"/>
    <m/>
    <n v="357.46414273240003"/>
    <n v="127.69146309633039"/>
    <n v="0"/>
    <n v="11029.929679999996"/>
    <n v="0"/>
    <n v="5065.520002917473"/>
    <x v="5"/>
  </r>
  <r>
    <s v="Regular"/>
    <x v="2"/>
    <x v="4"/>
    <x v="3"/>
    <x v="1"/>
    <x v="0"/>
    <x v="0"/>
    <x v="2"/>
    <x v="1"/>
    <n v="0"/>
    <n v="0"/>
    <n v="2005.1969999999999"/>
    <n v="2005.1969999999999"/>
    <n v="2005.1969999999999"/>
    <n v="2005.1969999999999"/>
    <n v="2802"/>
    <s v="CATIVO"/>
    <n v="0"/>
    <n v="0"/>
    <n v="24"/>
    <n v="63"/>
    <n v="0"/>
    <n v="275.13"/>
    <n v="219.34"/>
    <m/>
    <n v="357.46414273240003"/>
    <n v="127.69146309633039"/>
    <n v="0"/>
    <n v="135210.43370999995"/>
    <n v="0"/>
    <n v="62095.695660060817"/>
    <x v="5"/>
  </r>
  <r>
    <s v="Refaturamento - Regular"/>
    <x v="2"/>
    <x v="4"/>
    <x v="3"/>
    <x v="1"/>
    <x v="0"/>
    <x v="0"/>
    <x v="2"/>
    <x v="1"/>
    <n v="0"/>
    <n v="0"/>
    <n v="272.85000000000002"/>
    <n v="272.85000000000002"/>
    <n v="272.85000000000002"/>
    <n v="272.85000000000002"/>
    <n v="0"/>
    <s v="CATIVO"/>
    <n v="0"/>
    <n v="0"/>
    <n v="24"/>
    <n v="63"/>
    <n v="0"/>
    <n v="275.13"/>
    <n v="219.34"/>
    <m/>
    <n v="357.46414273240003"/>
    <n v="127.69146309633039"/>
    <n v="0"/>
    <n v="18398.275499999996"/>
    <n v="0"/>
    <n v="8449.4493861937735"/>
    <x v="5"/>
  </r>
  <r>
    <s v="Sistema de Compensação"/>
    <x v="2"/>
    <x v="4"/>
    <x v="3"/>
    <x v="1"/>
    <x v="0"/>
    <x v="0"/>
    <x v="2"/>
    <x v="1"/>
    <n v="0"/>
    <n v="0"/>
    <n v="198.13399999999999"/>
    <n v="198.13399999999999"/>
    <n v="198.13399999999999"/>
    <n v="198.13399999999999"/>
    <n v="140"/>
    <s v="CATIVO"/>
    <n v="0"/>
    <n v="0"/>
    <n v="24"/>
    <n v="63"/>
    <n v="0"/>
    <n v="275.13"/>
    <n v="219.34"/>
    <m/>
    <n v="357.46414273240003"/>
    <n v="127.69146309633039"/>
    <n v="0"/>
    <n v="13360.175619999995"/>
    <n v="0"/>
    <n v="6135.6906896980645"/>
    <x v="5"/>
  </r>
  <r>
    <s v="Regular"/>
    <x v="2"/>
    <x v="4"/>
    <x v="3"/>
    <x v="1"/>
    <x v="0"/>
    <x v="0"/>
    <x v="2"/>
    <x v="2"/>
    <n v="0"/>
    <n v="0"/>
    <n v="2034.308"/>
    <n v="2034.308"/>
    <n v="2034.308"/>
    <n v="2034.308"/>
    <n v="2784"/>
    <s v="CATIVO"/>
    <n v="0"/>
    <n v="0"/>
    <n v="24"/>
    <n v="63"/>
    <n v="0"/>
    <n v="275.13"/>
    <n v="219.34"/>
    <m/>
    <n v="357.46414273240003"/>
    <n v="127.69146309633039"/>
    <n v="0"/>
    <n v="137173.38843999995"/>
    <n v="0"/>
    <n v="62997.187032908492"/>
    <x v="5"/>
  </r>
  <r>
    <s v="Refaturamento - Regular"/>
    <x v="2"/>
    <x v="4"/>
    <x v="3"/>
    <x v="1"/>
    <x v="0"/>
    <x v="0"/>
    <x v="2"/>
    <x v="2"/>
    <n v="0"/>
    <n v="0"/>
    <n v="232.19200000000001"/>
    <n v="232.19200000000001"/>
    <n v="232.19200000000001"/>
    <n v="232.19200000000001"/>
    <n v="0"/>
    <s v="CATIVO"/>
    <n v="0"/>
    <n v="0"/>
    <n v="24"/>
    <n v="63"/>
    <n v="0"/>
    <n v="275.13"/>
    <n v="219.34"/>
    <m/>
    <n v="357.46414273240003"/>
    <n v="127.69146309633039"/>
    <n v="0"/>
    <n v="15656.706559999995"/>
    <n v="0"/>
    <n v="7190.3776869309313"/>
    <x v="5"/>
  </r>
  <r>
    <s v="Sistema de Compensação"/>
    <x v="2"/>
    <x v="4"/>
    <x v="3"/>
    <x v="1"/>
    <x v="0"/>
    <x v="0"/>
    <x v="2"/>
    <x v="2"/>
    <n v="0"/>
    <n v="0"/>
    <n v="145.69200000000001"/>
    <n v="145.69200000000001"/>
    <n v="145.69200000000001"/>
    <n v="145.69200000000001"/>
    <n v="154"/>
    <s v="CATIVO"/>
    <n v="0"/>
    <n v="0"/>
    <n v="24"/>
    <n v="63"/>
    <n v="0"/>
    <n v="275.13"/>
    <n v="219.34"/>
    <m/>
    <n v="357.46414273240003"/>
    <n v="127.69146309633039"/>
    <n v="0"/>
    <n v="9824.0115599999972"/>
    <n v="0"/>
    <n v="4511.6993951744298"/>
    <x v="5"/>
  </r>
  <r>
    <s v="Regular"/>
    <x v="2"/>
    <x v="4"/>
    <x v="3"/>
    <x v="1"/>
    <x v="0"/>
    <x v="0"/>
    <x v="2"/>
    <x v="3"/>
    <n v="0"/>
    <n v="0"/>
    <n v="2076.846"/>
    <n v="2076.846"/>
    <n v="2076.846"/>
    <n v="2076.846"/>
    <n v="2764"/>
    <s v="CATIVO"/>
    <n v="0"/>
    <n v="0"/>
    <n v="24"/>
    <n v="63"/>
    <n v="0"/>
    <n v="275.13"/>
    <n v="219.34"/>
    <m/>
    <n v="357.46414273240003"/>
    <n v="127.69146309633039"/>
    <n v="0"/>
    <n v="140041.72577999995"/>
    <n v="0"/>
    <n v="64314.477404870777"/>
    <x v="5"/>
  </r>
  <r>
    <s v="Sistema de Compensação"/>
    <x v="2"/>
    <x v="4"/>
    <x v="3"/>
    <x v="1"/>
    <x v="0"/>
    <x v="0"/>
    <x v="2"/>
    <x v="3"/>
    <n v="0"/>
    <n v="0"/>
    <n v="145.10400000000001"/>
    <n v="145.10400000000001"/>
    <n v="145.10400000000001"/>
    <n v="145.10400000000001"/>
    <n v="167"/>
    <s v="CATIVO"/>
    <n v="0"/>
    <n v="0"/>
    <n v="24"/>
    <n v="63"/>
    <n v="0"/>
    <n v="275.13"/>
    <n v="219.34"/>
    <m/>
    <n v="357.46414273240003"/>
    <n v="127.69146309633039"/>
    <n v="0"/>
    <n v="9784.3627199999974"/>
    <n v="0"/>
    <n v="4493.4905762663047"/>
    <x v="5"/>
  </r>
  <r>
    <s v="Regular"/>
    <x v="2"/>
    <x v="4"/>
    <x v="3"/>
    <x v="1"/>
    <x v="0"/>
    <x v="0"/>
    <x v="2"/>
    <x v="4"/>
    <n v="0"/>
    <n v="0"/>
    <n v="2167.7890000000002"/>
    <n v="2167.7890000000002"/>
    <n v="2167.7890000000002"/>
    <n v="2167.7890000000002"/>
    <n v="2747"/>
    <s v="CATIVO"/>
    <n v="0"/>
    <n v="0"/>
    <n v="24"/>
    <n v="63"/>
    <n v="0"/>
    <n v="275.13"/>
    <n v="219.34"/>
    <m/>
    <n v="357.46414273240003"/>
    <n v="127.69146309633039"/>
    <n v="0"/>
    <n v="146174.01226999998"/>
    <n v="0"/>
    <n v="67130.743761948368"/>
    <x v="5"/>
  </r>
  <r>
    <s v="Sistema de Compensação"/>
    <x v="2"/>
    <x v="4"/>
    <x v="3"/>
    <x v="1"/>
    <x v="0"/>
    <x v="0"/>
    <x v="2"/>
    <x v="4"/>
    <n v="0"/>
    <n v="0"/>
    <n v="142.58199999999999"/>
    <n v="142.58199999999999"/>
    <n v="142.58199999999999"/>
    <n v="142.58199999999999"/>
    <n v="179"/>
    <s v="CATIVO"/>
    <n v="0"/>
    <n v="0"/>
    <n v="24"/>
    <n v="63"/>
    <n v="0"/>
    <n v="275.13"/>
    <n v="219.34"/>
    <m/>
    <n v="357.46414273240003"/>
    <n v="127.69146309633039"/>
    <n v="0"/>
    <n v="9614.3042599999972"/>
    <n v="0"/>
    <n v="4415.3908461875772"/>
    <x v="5"/>
  </r>
  <r>
    <s v="Regular"/>
    <x v="2"/>
    <x v="4"/>
    <x v="3"/>
    <x v="1"/>
    <x v="0"/>
    <x v="0"/>
    <x v="2"/>
    <x v="5"/>
    <n v="0"/>
    <n v="0"/>
    <n v="2222.8310000000001"/>
    <n v="2222.8310000000001"/>
    <n v="2222.8310000000001"/>
    <n v="2222.8310000000001"/>
    <n v="2732"/>
    <s v="CATIVO"/>
    <n v="0"/>
    <n v="0"/>
    <n v="24"/>
    <n v="63"/>
    <n v="0"/>
    <n v="275.13"/>
    <n v="219.34"/>
    <m/>
    <n v="357.46414273240003"/>
    <n v="127.69146309633039"/>
    <n v="0"/>
    <n v="149885.49432999996"/>
    <n v="0"/>
    <n v="68835.250242120179"/>
    <x v="5"/>
  </r>
  <r>
    <s v="Refaturamento - Regular"/>
    <x v="2"/>
    <x v="4"/>
    <x v="3"/>
    <x v="1"/>
    <x v="0"/>
    <x v="0"/>
    <x v="2"/>
    <x v="5"/>
    <n v="0"/>
    <n v="0"/>
    <n v="-1.3819999999999999"/>
    <n v="-1.3819999999999999"/>
    <n v="-1.3819999999999999"/>
    <n v="-1.3819999999999999"/>
    <n v="0"/>
    <s v="CATIVO"/>
    <n v="0"/>
    <n v="0"/>
    <n v="24"/>
    <n v="63"/>
    <n v="0"/>
    <n v="275.13"/>
    <n v="219.34"/>
    <m/>
    <n v="357.46414273240003"/>
    <n v="127.69146309633039"/>
    <n v="0"/>
    <n v="-93.188259999999957"/>
    <n v="0"/>
    <n v="-42.796917909913113"/>
    <x v="5"/>
  </r>
  <r>
    <s v="Sistema de Compensação"/>
    <x v="2"/>
    <x v="4"/>
    <x v="3"/>
    <x v="1"/>
    <x v="0"/>
    <x v="0"/>
    <x v="2"/>
    <x v="5"/>
    <n v="0"/>
    <n v="0"/>
    <n v="166.44300000000001"/>
    <n v="166.44300000000001"/>
    <n v="166.44300000000001"/>
    <n v="166.44300000000001"/>
    <n v="190"/>
    <s v="CATIVO"/>
    <n v="0"/>
    <n v="0"/>
    <n v="24"/>
    <n v="63"/>
    <n v="0"/>
    <n v="275.13"/>
    <n v="219.34"/>
    <m/>
    <n v="357.46414273240003"/>
    <n v="127.69146309633039"/>
    <n v="0"/>
    <n v="11223.251489999997"/>
    <n v="0"/>
    <n v="5154.3034787841316"/>
    <x v="5"/>
  </r>
  <r>
    <s v="Regular"/>
    <x v="2"/>
    <x v="4"/>
    <x v="3"/>
    <x v="1"/>
    <x v="0"/>
    <x v="0"/>
    <x v="2"/>
    <x v="6"/>
    <n v="0"/>
    <n v="0"/>
    <n v="2046.8019999999999"/>
    <n v="2046.8019999999999"/>
    <n v="2046.8019999999999"/>
    <n v="2046.8019999999999"/>
    <n v="2718"/>
    <s v="CATIVO"/>
    <n v="0"/>
    <n v="0"/>
    <n v="24"/>
    <n v="63"/>
    <n v="0"/>
    <n v="275.13"/>
    <n v="219.34"/>
    <m/>
    <n v="357.46414273240003"/>
    <n v="127.69146309633039"/>
    <n v="0"/>
    <n v="138015.85885999995"/>
    <n v="0"/>
    <n v="63384.093467327053"/>
    <x v="5"/>
  </r>
  <r>
    <s v="Sistema de Compensação"/>
    <x v="2"/>
    <x v="4"/>
    <x v="3"/>
    <x v="1"/>
    <x v="0"/>
    <x v="0"/>
    <x v="2"/>
    <x v="6"/>
    <n v="0"/>
    <n v="0"/>
    <n v="189.286"/>
    <n v="189.286"/>
    <n v="189.286"/>
    <n v="189.286"/>
    <n v="200"/>
    <s v="CATIVO"/>
    <n v="0"/>
    <n v="0"/>
    <n v="24"/>
    <n v="63"/>
    <n v="0"/>
    <n v="275.13"/>
    <n v="219.34"/>
    <m/>
    <n v="357.46414273240003"/>
    <n v="127.69146309633039"/>
    <n v="0"/>
    <n v="12763.554979999995"/>
    <n v="0"/>
    <n v="5861.6913194615154"/>
    <x v="5"/>
  </r>
  <r>
    <s v="Regular"/>
    <x v="2"/>
    <x v="4"/>
    <x v="3"/>
    <x v="1"/>
    <x v="0"/>
    <x v="0"/>
    <x v="2"/>
    <x v="7"/>
    <n v="0"/>
    <n v="0"/>
    <n v="1817.9490000000001"/>
    <n v="1817.9490000000001"/>
    <n v="1817.9490000000001"/>
    <n v="1817.9490000000001"/>
    <n v="2700"/>
    <s v="CATIVO"/>
    <n v="0"/>
    <n v="0"/>
    <n v="24"/>
    <n v="63"/>
    <n v="0"/>
    <n v="275.13"/>
    <n v="219.34"/>
    <m/>
    <n v="357.46414273240003"/>
    <n v="127.69146309633039"/>
    <n v="0"/>
    <n v="122584.30106999997"/>
    <n v="0"/>
    <n v="56297.115859195837"/>
    <x v="5"/>
  </r>
  <r>
    <s v="Sistema de Compensação"/>
    <x v="2"/>
    <x v="4"/>
    <x v="3"/>
    <x v="1"/>
    <x v="0"/>
    <x v="0"/>
    <x v="2"/>
    <x v="7"/>
    <n v="0"/>
    <n v="0"/>
    <n v="220.4"/>
    <n v="220.4"/>
    <n v="220.4"/>
    <n v="220.4"/>
    <n v="211"/>
    <s v="CATIVO"/>
    <n v="0"/>
    <n v="0"/>
    <n v="24"/>
    <n v="63"/>
    <n v="0"/>
    <n v="275.13"/>
    <n v="219.34"/>
    <m/>
    <n v="357.46414273240003"/>
    <n v="127.69146309633039"/>
    <n v="0"/>
    <n v="14861.571999999996"/>
    <n v="0"/>
    <n v="6825.2103526373739"/>
    <x v="5"/>
  </r>
  <r>
    <s v="Regular"/>
    <x v="2"/>
    <x v="4"/>
    <x v="3"/>
    <x v="1"/>
    <x v="0"/>
    <x v="0"/>
    <x v="2"/>
    <x v="8"/>
    <n v="0"/>
    <n v="0"/>
    <n v="1770.2080000000001"/>
    <n v="1770.2080000000001"/>
    <n v="1770.2080000000001"/>
    <n v="1770.2080000000001"/>
    <n v="2683"/>
    <s v="CATIVO"/>
    <n v="0"/>
    <n v="0"/>
    <n v="24"/>
    <n v="63"/>
    <n v="0"/>
    <n v="275.13"/>
    <n v="219.34"/>
    <m/>
    <n v="357.46414273240003"/>
    <n v="127.69146309633039"/>
    <n v="0"/>
    <n v="119365.12543999997"/>
    <n v="0"/>
    <n v="54818.702213799916"/>
    <x v="5"/>
  </r>
  <r>
    <s v="Refaturamento - Regular"/>
    <x v="2"/>
    <x v="4"/>
    <x v="3"/>
    <x v="1"/>
    <x v="0"/>
    <x v="0"/>
    <x v="2"/>
    <x v="8"/>
    <n v="0"/>
    <n v="0"/>
    <n v="-1.9430000000000001"/>
    <n v="-1.9430000000000001"/>
    <n v="-1.9430000000000001"/>
    <n v="-1.9430000000000001"/>
    <n v="0"/>
    <s v="CATIVO"/>
    <n v="0"/>
    <n v="0"/>
    <n v="24"/>
    <n v="63"/>
    <n v="0"/>
    <n v="275.13"/>
    <n v="219.34"/>
    <m/>
    <n v="357.46414273240003"/>
    <n v="127.69146309633039"/>
    <n v="0"/>
    <n v="-131.01648999999998"/>
    <n v="0"/>
    <n v="-60.169617582461065"/>
    <x v="5"/>
  </r>
  <r>
    <s v="Sistema de Compensação"/>
    <x v="2"/>
    <x v="4"/>
    <x v="3"/>
    <x v="1"/>
    <x v="0"/>
    <x v="0"/>
    <x v="2"/>
    <x v="8"/>
    <n v="0"/>
    <n v="0"/>
    <n v="215.05799999999999"/>
    <n v="215.05799999999999"/>
    <n v="215.05799999999999"/>
    <n v="215.05799999999999"/>
    <n v="220"/>
    <s v="CATIVO"/>
    <n v="0"/>
    <n v="0"/>
    <n v="24"/>
    <n v="63"/>
    <n v="0"/>
    <n v="275.13"/>
    <n v="219.34"/>
    <m/>
    <n v="357.46414273240003"/>
    <n v="127.69146309633039"/>
    <n v="0"/>
    <n v="14501.360939999995"/>
    <n v="0"/>
    <n v="6659.7826135094756"/>
    <x v="5"/>
  </r>
  <r>
    <s v="Regular"/>
    <x v="2"/>
    <x v="4"/>
    <x v="3"/>
    <x v="1"/>
    <x v="0"/>
    <x v="0"/>
    <x v="2"/>
    <x v="9"/>
    <n v="0"/>
    <n v="0"/>
    <n v="1768.6010000000001"/>
    <n v="1768.6010000000001"/>
    <n v="1768.6010000000001"/>
    <n v="1768.6010000000001"/>
    <n v="2659"/>
    <s v="CATIVO"/>
    <n v="0"/>
    <n v="0"/>
    <n v="24"/>
    <n v="63"/>
    <n v="0"/>
    <n v="275.13"/>
    <n v="219.34"/>
    <m/>
    <n v="357.46414273240003"/>
    <n v="127.69146309633039"/>
    <n v="0"/>
    <n v="119256.76542999997"/>
    <n v="0"/>
    <n v="54768.937635593524"/>
    <x v="5"/>
  </r>
  <r>
    <s v="Refaturamento - Regular"/>
    <x v="2"/>
    <x v="4"/>
    <x v="3"/>
    <x v="1"/>
    <x v="0"/>
    <x v="0"/>
    <x v="2"/>
    <x v="9"/>
    <n v="0"/>
    <n v="0"/>
    <n v="1.6E-2"/>
    <n v="1.6E-2"/>
    <n v="1.6E-2"/>
    <n v="1.6E-2"/>
    <n v="0"/>
    <s v="CATIVO"/>
    <n v="0"/>
    <n v="0"/>
    <n v="24"/>
    <n v="63"/>
    <n v="0"/>
    <n v="275.13"/>
    <n v="219.34"/>
    <m/>
    <n v="357.46414273240003"/>
    <n v="127.69146309633039"/>
    <n v="0"/>
    <n v="1.0788799999999996"/>
    <n v="0"/>
    <n v="0.49547806552721407"/>
    <x v="5"/>
  </r>
  <r>
    <s v="Sistema de Compensação"/>
    <x v="2"/>
    <x v="4"/>
    <x v="3"/>
    <x v="1"/>
    <x v="0"/>
    <x v="0"/>
    <x v="2"/>
    <x v="9"/>
    <n v="0"/>
    <n v="0"/>
    <n v="272.21699999999998"/>
    <n v="272.21699999999998"/>
    <n v="272.21699999999998"/>
    <n v="272.21699999999998"/>
    <n v="234"/>
    <s v="CATIVO"/>
    <n v="0"/>
    <n v="0"/>
    <n v="24"/>
    <n v="63"/>
    <n v="0"/>
    <n v="275.13"/>
    <n v="219.34"/>
    <m/>
    <n v="357.46414273240003"/>
    <n v="127.69146309633039"/>
    <n v="0"/>
    <n v="18355.592309999993"/>
    <n v="0"/>
    <n v="8429.8470352263521"/>
    <x v="5"/>
  </r>
  <r>
    <s v="Regular"/>
    <x v="2"/>
    <x v="4"/>
    <x v="3"/>
    <x v="1"/>
    <x v="0"/>
    <x v="0"/>
    <x v="2"/>
    <x v="10"/>
    <n v="0"/>
    <n v="0"/>
    <n v="1750.258"/>
    <n v="1750.258"/>
    <n v="1750.258"/>
    <n v="1750.258"/>
    <n v="2648"/>
    <s v="CATIVO"/>
    <n v="0"/>
    <n v="0"/>
    <n v="24"/>
    <n v="63"/>
    <n v="0"/>
    <n v="275.13"/>
    <n v="219.34"/>
    <m/>
    <n v="357.46414273240003"/>
    <n v="127.69146309633039"/>
    <n v="0"/>
    <n v="118019.89693999996"/>
    <n v="0"/>
    <n v="54200.903000845668"/>
    <x v="5"/>
  </r>
  <r>
    <s v="Regular"/>
    <x v="2"/>
    <x v="4"/>
    <x v="3"/>
    <x v="1"/>
    <x v="0"/>
    <x v="0"/>
    <x v="2"/>
    <x v="11"/>
    <n v="0"/>
    <n v="0"/>
    <n v="1788.298"/>
    <n v="1788.298"/>
    <n v="1788.298"/>
    <n v="1788.298"/>
    <n v="2647"/>
    <s v="CATIVO"/>
    <n v="0"/>
    <n v="0"/>
    <n v="24"/>
    <n v="63"/>
    <n v="0"/>
    <n v="275.13"/>
    <n v="219.34"/>
    <m/>
    <n v="357.46414273240003"/>
    <n v="127.69146309633039"/>
    <n v="0"/>
    <n v="120584.93413999997"/>
    <n v="0"/>
    <n v="55378.902101636617"/>
    <x v="5"/>
  </r>
  <r>
    <s v="Sistema de Compensação"/>
    <x v="2"/>
    <x v="4"/>
    <x v="3"/>
    <x v="1"/>
    <x v="0"/>
    <x v="0"/>
    <x v="2"/>
    <x v="11"/>
    <n v="0"/>
    <n v="0"/>
    <n v="261.53300000000002"/>
    <n v="261.53300000000002"/>
    <n v="261.53300000000002"/>
    <n v="261.53300000000002"/>
    <n v="242"/>
    <s v="CATIVO"/>
    <n v="0"/>
    <n v="0"/>
    <n v="24"/>
    <n v="63"/>
    <n v="0"/>
    <n v="275.13"/>
    <n v="219.34"/>
    <m/>
    <n v="357.46414273240003"/>
    <n v="127.69146309633039"/>
    <n v="0"/>
    <n v="17635.170189999997"/>
    <n v="0"/>
    <n v="8098.9915569705554"/>
    <x v="5"/>
  </r>
  <r>
    <s v="Regular"/>
    <x v="3"/>
    <x v="4"/>
    <x v="0"/>
    <x v="0"/>
    <x v="0"/>
    <x v="0"/>
    <x v="2"/>
    <x v="0"/>
    <n v="0"/>
    <n v="0"/>
    <n v="16.821000000000002"/>
    <n v="15.81174"/>
    <n v="16.821000000000002"/>
    <n v="15.81174"/>
    <n v="12"/>
    <s v="CATIVO"/>
    <n v="0"/>
    <n v="0"/>
    <n v="35"/>
    <n v="62"/>
    <n v="0"/>
    <n v="312.64999999999998"/>
    <n v="249.25"/>
    <m/>
    <n v="380.28100290680857"/>
    <n v="135.84198201737277"/>
    <n v="0"/>
    <n v="567.1031940000006"/>
    <n v="0"/>
    <n v="520.90228376457981"/>
    <x v="0"/>
  </r>
  <r>
    <s v="Regular"/>
    <x v="3"/>
    <x v="4"/>
    <x v="0"/>
    <x v="0"/>
    <x v="0"/>
    <x v="0"/>
    <x v="2"/>
    <x v="1"/>
    <n v="0"/>
    <n v="0"/>
    <n v="17.177"/>
    <n v="16.146379999999997"/>
    <n v="17.177"/>
    <n v="16.146379999999997"/>
    <n v="12"/>
    <s v="CATIVO"/>
    <n v="0"/>
    <n v="0"/>
    <n v="35"/>
    <n v="62"/>
    <n v="0"/>
    <n v="312.64999999999998"/>
    <n v="249.25"/>
    <m/>
    <n v="380.28100290680857"/>
    <n v="135.84198201737277"/>
    <n v="0"/>
    <n v="579.10537800000145"/>
    <n v="0"/>
    <n v="531.92667072256108"/>
    <x v="0"/>
  </r>
  <r>
    <s v="Regular"/>
    <x v="3"/>
    <x v="4"/>
    <x v="0"/>
    <x v="0"/>
    <x v="0"/>
    <x v="0"/>
    <x v="2"/>
    <x v="2"/>
    <n v="0"/>
    <n v="0"/>
    <n v="18.698"/>
    <n v="17.57612"/>
    <n v="18.698"/>
    <n v="17.57612"/>
    <n v="12"/>
    <s v="CATIVO"/>
    <n v="0"/>
    <n v="0"/>
    <n v="35"/>
    <n v="62"/>
    <n v="0"/>
    <n v="312.64999999999998"/>
    <n v="249.25"/>
    <m/>
    <n v="380.28100290680857"/>
    <n v="135.84198201737277"/>
    <n v="0"/>
    <n v="630.38437200000044"/>
    <n v="0"/>
    <n v="579.02805432674097"/>
    <x v="0"/>
  </r>
  <r>
    <s v="Regular"/>
    <x v="3"/>
    <x v="4"/>
    <x v="0"/>
    <x v="0"/>
    <x v="0"/>
    <x v="0"/>
    <x v="2"/>
    <x v="3"/>
    <n v="0"/>
    <n v="0"/>
    <n v="18.474"/>
    <n v="17.365559999999999"/>
    <n v="18.474"/>
    <n v="17.365559999999999"/>
    <n v="12"/>
    <s v="CATIVO"/>
    <n v="0"/>
    <n v="0"/>
    <n v="35"/>
    <n v="62"/>
    <n v="0"/>
    <n v="312.64999999999998"/>
    <n v="249.25"/>
    <m/>
    <n v="380.28100290680857"/>
    <n v="135.84198201737277"/>
    <n v="0"/>
    <n v="622.83243600000094"/>
    <n v="0"/>
    <n v="572.09136140936039"/>
    <x v="0"/>
  </r>
  <r>
    <s v="Regular"/>
    <x v="3"/>
    <x v="4"/>
    <x v="0"/>
    <x v="0"/>
    <x v="0"/>
    <x v="0"/>
    <x v="2"/>
    <x v="4"/>
    <n v="0"/>
    <n v="0"/>
    <n v="17.599"/>
    <n v="16.543060000000001"/>
    <n v="17.599"/>
    <n v="16.543060000000001"/>
    <n v="12"/>
    <s v="CATIVO"/>
    <n v="0"/>
    <n v="0"/>
    <n v="35"/>
    <n v="62"/>
    <n v="0"/>
    <n v="312.64999999999998"/>
    <n v="249.25"/>
    <m/>
    <n v="380.28100290680857"/>
    <n v="135.84198201737277"/>
    <n v="0"/>
    <n v="593.33268599999974"/>
    <n v="0"/>
    <n v="544.99490470083992"/>
    <x v="0"/>
  </r>
  <r>
    <s v="Regular"/>
    <x v="3"/>
    <x v="4"/>
    <x v="0"/>
    <x v="0"/>
    <x v="0"/>
    <x v="0"/>
    <x v="2"/>
    <x v="5"/>
    <n v="0"/>
    <n v="0"/>
    <n v="18.004000000000001"/>
    <n v="16.923760000000001"/>
    <n v="18.004000000000001"/>
    <n v="16.923760000000001"/>
    <n v="12"/>
    <s v="CATIVO"/>
    <n v="0"/>
    <n v="0"/>
    <n v="35"/>
    <n v="62"/>
    <n v="0"/>
    <n v="312.64999999999998"/>
    <n v="249.25"/>
    <m/>
    <n v="380.28100290680857"/>
    <n v="135.84198201737277"/>
    <n v="0"/>
    <n v="606.98685599999988"/>
    <n v="0"/>
    <n v="557.53669323449753"/>
    <x v="0"/>
  </r>
  <r>
    <s v="Regular"/>
    <x v="3"/>
    <x v="4"/>
    <x v="0"/>
    <x v="0"/>
    <x v="0"/>
    <x v="0"/>
    <x v="2"/>
    <x v="6"/>
    <n v="0"/>
    <n v="0"/>
    <n v="17.201000000000001"/>
    <n v="16.168939999999999"/>
    <n v="17.201000000000001"/>
    <n v="16.168939999999999"/>
    <n v="12"/>
    <s v="CATIVO"/>
    <n v="0"/>
    <n v="0"/>
    <n v="35"/>
    <n v="62"/>
    <n v="0"/>
    <n v="312.64999999999998"/>
    <n v="249.25"/>
    <m/>
    <n v="380.28100290680857"/>
    <n v="135.84198201737277"/>
    <n v="0"/>
    <n v="579.91451400000074"/>
    <n v="0"/>
    <n v="532.66988782085127"/>
    <x v="0"/>
  </r>
  <r>
    <s v="Regular"/>
    <x v="3"/>
    <x v="4"/>
    <x v="0"/>
    <x v="0"/>
    <x v="0"/>
    <x v="0"/>
    <x v="2"/>
    <x v="7"/>
    <n v="0"/>
    <n v="0"/>
    <n v="19.294"/>
    <n v="18.13636"/>
    <n v="19.294"/>
    <n v="18.13636"/>
    <n v="12"/>
    <s v="CATIVO"/>
    <n v="0"/>
    <n v="0"/>
    <n v="35"/>
    <n v="62"/>
    <n v="0"/>
    <n v="312.64999999999998"/>
    <n v="249.25"/>
    <m/>
    <n v="380.28100290680857"/>
    <n v="135.84198201737277"/>
    <n v="0"/>
    <n v="650.47791600000028"/>
    <n v="0"/>
    <n v="597.4846122676297"/>
    <x v="0"/>
  </r>
  <r>
    <s v="Regular"/>
    <x v="3"/>
    <x v="4"/>
    <x v="0"/>
    <x v="0"/>
    <x v="0"/>
    <x v="0"/>
    <x v="2"/>
    <x v="8"/>
    <n v="0"/>
    <n v="0"/>
    <n v="18.248999999999999"/>
    <n v="17.154060000000001"/>
    <n v="18.248999999999999"/>
    <n v="17.154060000000001"/>
    <n v="12"/>
    <s v="CATIVO"/>
    <n v="0"/>
    <n v="0"/>
    <n v="35"/>
    <n v="62"/>
    <n v="0"/>
    <n v="312.64999999999998"/>
    <n v="249.25"/>
    <m/>
    <n v="380.28100290680857"/>
    <n v="135.84198201737277"/>
    <n v="0"/>
    <n v="615.24678599999856"/>
    <n v="0"/>
    <n v="565.12370111288192"/>
    <x v="0"/>
  </r>
  <r>
    <s v="Regular"/>
    <x v="3"/>
    <x v="4"/>
    <x v="0"/>
    <x v="0"/>
    <x v="0"/>
    <x v="0"/>
    <x v="2"/>
    <x v="9"/>
    <n v="0"/>
    <n v="0"/>
    <n v="19.920999999999999"/>
    <n v="18.725739999999998"/>
    <n v="19.920999999999999"/>
    <n v="18.725739999999998"/>
    <n v="12"/>
    <s v="CATIVO"/>
    <n v="0"/>
    <n v="0"/>
    <n v="35"/>
    <n v="62"/>
    <n v="0"/>
    <n v="312.64999999999998"/>
    <n v="249.25"/>
    <m/>
    <n v="380.28100290680857"/>
    <n v="135.84198201737277"/>
    <n v="0"/>
    <n v="671.61659400000053"/>
    <n v="0"/>
    <n v="616.90115896047757"/>
    <x v="0"/>
  </r>
  <r>
    <s v="Regular"/>
    <x v="3"/>
    <x v="4"/>
    <x v="0"/>
    <x v="0"/>
    <x v="0"/>
    <x v="0"/>
    <x v="2"/>
    <x v="10"/>
    <n v="0"/>
    <n v="0"/>
    <n v="19.454999999999998"/>
    <n v="18.287700000000001"/>
    <n v="19.454999999999998"/>
    <n v="18.287700000000001"/>
    <n v="12"/>
    <s v="CATIVO"/>
    <n v="0"/>
    <n v="0"/>
    <n v="35"/>
    <n v="62"/>
    <n v="0"/>
    <n v="312.64999999999998"/>
    <n v="249.25"/>
    <m/>
    <n v="380.28100290680857"/>
    <n v="135.84198201737277"/>
    <n v="0"/>
    <n v="655.90586999999846"/>
    <n v="0"/>
    <n v="602.47036030199547"/>
    <x v="0"/>
  </r>
  <r>
    <s v="Regular"/>
    <x v="3"/>
    <x v="4"/>
    <x v="0"/>
    <x v="0"/>
    <x v="0"/>
    <x v="0"/>
    <x v="2"/>
    <x v="11"/>
    <n v="0"/>
    <n v="0"/>
    <n v="19.423999999999999"/>
    <n v="18.258559999999999"/>
    <n v="19.423999999999999"/>
    <n v="18.258559999999999"/>
    <n v="12"/>
    <s v="CATIVO"/>
    <n v="0"/>
    <n v="0"/>
    <n v="35"/>
    <n v="62"/>
    <n v="0"/>
    <n v="312.64999999999998"/>
    <n v="249.25"/>
    <m/>
    <n v="380.28100290680857"/>
    <n v="135.84198201737277"/>
    <n v="0"/>
    <n v="654.86073600000009"/>
    <n v="0"/>
    <n v="601.5103715500380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">
  <r>
    <s v="Regular"/>
    <x v="0"/>
    <x v="0"/>
    <x v="0"/>
    <x v="0"/>
    <x v="0"/>
    <x v="0"/>
    <x v="0"/>
    <x v="0"/>
    <n v="119"/>
    <n v="119"/>
    <n v="67.009"/>
    <n v="67.009"/>
    <n v="67.009"/>
    <n v="67.009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480.9990444000005"/>
    <n v="15699.873654999999"/>
    <n v="2456.1580753306216"/>
    <n v="6497.168758048555"/>
    <n v="8829.5563118120681"/>
  </r>
  <r>
    <s v="Regular"/>
    <x v="0"/>
    <x v="0"/>
    <x v="0"/>
    <x v="0"/>
    <x v="0"/>
    <x v="0"/>
    <x v="0"/>
    <x v="1"/>
    <n v="119"/>
    <n v="119"/>
    <n v="67.436000000000007"/>
    <n v="67.436000000000007"/>
    <n v="67.436000000000007"/>
    <n v="67.436000000000007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509.5532176000006"/>
    <n v="15799.91762"/>
    <n v="2456.1580753306216"/>
    <n v="6538.5705258661137"/>
    <n v="8885.8207023438445"/>
  </r>
  <r>
    <s v="Regular"/>
    <x v="0"/>
    <x v="0"/>
    <x v="0"/>
    <x v="0"/>
    <x v="0"/>
    <x v="0"/>
    <x v="0"/>
    <x v="2"/>
    <n v="121"/>
    <n v="121"/>
    <n v="66.242999999999995"/>
    <n v="66.242999999999995"/>
    <n v="66.242999999999995"/>
    <n v="66.242999999999995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64.3809999999994"/>
    <n v="4429.7753987999995"/>
    <n v="15520.403684999997"/>
    <n v="2497.4380429832372"/>
    <n v="6422.897671050313"/>
    <n v="8728.6230023335193"/>
  </r>
  <r>
    <s v="Regular"/>
    <x v="0"/>
    <x v="0"/>
    <x v="0"/>
    <x v="0"/>
    <x v="0"/>
    <x v="0"/>
    <x v="0"/>
    <x v="3"/>
    <n v="119"/>
    <n v="119"/>
    <n v="67.462000000000003"/>
    <n v="67.462000000000003"/>
    <n v="67.462000000000003"/>
    <n v="67.462000000000003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511.2918792"/>
    <n v="15806.00929"/>
    <n v="2456.1580753306216"/>
    <n v="6541.091476599735"/>
    <n v="8889.2466371303217"/>
  </r>
  <r>
    <s v="Regular"/>
    <x v="0"/>
    <x v="0"/>
    <x v="0"/>
    <x v="0"/>
    <x v="0"/>
    <x v="0"/>
    <x v="0"/>
    <x v="4"/>
    <n v="123"/>
    <n v="123"/>
    <n v="71.691000000000003"/>
    <n v="71.691000000000003"/>
    <n v="71.691000000000003"/>
    <n v="71.691000000000003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98.5029999999997"/>
    <n v="4794.0918756000001"/>
    <n v="16796.842844999999"/>
    <n v="2538.7180106358528"/>
    <n v="6951.1338093876784"/>
    <n v="9446.488106823248"/>
  </r>
  <r>
    <s v="Regular"/>
    <x v="0"/>
    <x v="0"/>
    <x v="0"/>
    <x v="0"/>
    <x v="0"/>
    <x v="0"/>
    <x v="0"/>
    <x v="5"/>
    <n v="123"/>
    <n v="123"/>
    <n v="64.504000000000005"/>
    <n v="64.504000000000005"/>
    <n v="64.504000000000005"/>
    <n v="64.504000000000005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98.5029999999997"/>
    <n v="4313.4856864000003"/>
    <n v="15112.964680000001"/>
    <n v="2538.7180106358528"/>
    <n v="6254.284850828456"/>
    <n v="8499.4806718071559"/>
  </r>
  <r>
    <s v="Regular"/>
    <x v="0"/>
    <x v="0"/>
    <x v="0"/>
    <x v="0"/>
    <x v="0"/>
    <x v="0"/>
    <x v="0"/>
    <x v="6"/>
    <n v="121"/>
    <n v="121"/>
    <n v="68.736000000000004"/>
    <n v="68.736000000000004"/>
    <n v="68.736000000000004"/>
    <n v="68.736000000000004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64.3809999999994"/>
    <n v="4596.4862976000004"/>
    <n v="16104.501120000001"/>
    <n v="2497.4380429832372"/>
    <n v="6664.6180625472025"/>
    <n v="9057.1174416677513"/>
  </r>
  <r>
    <s v="Regular"/>
    <x v="0"/>
    <x v="0"/>
    <x v="0"/>
    <x v="0"/>
    <x v="0"/>
    <x v="0"/>
    <x v="0"/>
    <x v="7"/>
    <n v="119"/>
    <n v="119"/>
    <n v="69.516000000000005"/>
    <n v="69.516000000000005"/>
    <n v="69.516000000000005"/>
    <n v="69.516000000000005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648.6461456000006"/>
    <n v="16287.25122"/>
    <n v="2456.1580753306216"/>
    <n v="6740.2465845558563"/>
    <n v="9159.8954852620955"/>
  </r>
  <r>
    <s v="Regular"/>
    <x v="0"/>
    <x v="0"/>
    <x v="0"/>
    <x v="0"/>
    <x v="0"/>
    <x v="0"/>
    <x v="0"/>
    <x v="8"/>
    <n v="140"/>
    <n v="140"/>
    <n v="68.391999999999996"/>
    <n v="68.391999999999996"/>
    <n v="68.391999999999996"/>
    <n v="68.391999999999996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388.5399999999995"/>
    <n v="4573.4824671999995"/>
    <n v="16023.903639999999"/>
    <n v="2889.5977356830845"/>
    <n v="6631.2639451485138"/>
    <n v="9011.7896891081928"/>
  </r>
  <r>
    <s v="Regular"/>
    <x v="0"/>
    <x v="0"/>
    <x v="0"/>
    <x v="0"/>
    <x v="0"/>
    <x v="0"/>
    <x v="0"/>
    <x v="9"/>
    <n v="119"/>
    <n v="119"/>
    <n v="63.353000000000002"/>
    <n v="63.353000000000002"/>
    <n v="63.353000000000002"/>
    <n v="63.353000000000002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236.5164747999997"/>
    <n v="14843.291134999999"/>
    <n v="2456.1580753306216"/>
    <n v="6142.6843010438915"/>
    <n v="8347.8171741442184"/>
  </r>
  <r>
    <s v="Regular"/>
    <x v="0"/>
    <x v="0"/>
    <x v="0"/>
    <x v="0"/>
    <x v="0"/>
    <x v="0"/>
    <x v="0"/>
    <x v="10"/>
    <n v="119"/>
    <n v="119"/>
    <n v="65.085999999999999"/>
    <n v="65.085999999999999"/>
    <n v="65.085999999999999"/>
    <n v="65.085999999999999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352.4049575999998"/>
    <n v="15249.324369999998"/>
    <n v="2456.1580753306216"/>
    <n v="6310.7153634041433"/>
    <n v="8576.1689043352417"/>
  </r>
  <r>
    <s v="Regular"/>
    <x v="0"/>
    <x v="0"/>
    <x v="0"/>
    <x v="0"/>
    <x v="0"/>
    <x v="0"/>
    <x v="0"/>
    <x v="11"/>
    <n v="119"/>
    <n v="119"/>
    <n v="63.167999999999999"/>
    <n v="63.167999999999999"/>
    <n v="63.167999999999999"/>
    <n v="63.167999999999999"/>
    <n v="0"/>
    <x v="0"/>
    <n v="0"/>
    <n v="11"/>
    <n v="14"/>
    <n v="69"/>
    <n v="17.060999999999996"/>
    <n v="66.871600000000001"/>
    <n v="234.29499999999999"/>
    <n v="20.639983826307745"/>
    <n v="96.959643600838021"/>
    <n v="131.76672255685159"/>
    <n v="2030.2589999999996"/>
    <n v="4224.1452288"/>
    <n v="14799.946559999998"/>
    <n v="2456.1580753306216"/>
    <n v="6124.7467669777361"/>
    <n v="8323.4403304712014"/>
  </r>
  <r>
    <s v="Regular"/>
    <x v="0"/>
    <x v="0"/>
    <x v="0"/>
    <x v="0"/>
    <x v="0"/>
    <x v="0"/>
    <x v="1"/>
    <x v="0"/>
    <n v="119"/>
    <n v="119"/>
    <n v="8.0259999999999998"/>
    <n v="8.0259999999999998"/>
    <n v="8.0259999999999998"/>
    <n v="8.0259999999999998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536.71146160000001"/>
    <n v="1880.4516699999999"/>
    <n v="7643.4492859072679"/>
    <n v="778.19809954032598"/>
    <n v="1057.5597152412909"/>
  </r>
  <r>
    <s v="Regular"/>
    <x v="0"/>
    <x v="0"/>
    <x v="0"/>
    <x v="0"/>
    <x v="0"/>
    <x v="0"/>
    <x v="1"/>
    <x v="1"/>
    <n v="119"/>
    <n v="119"/>
    <n v="7.4390000000000001"/>
    <n v="7.4390000000000001"/>
    <n v="7.4390000000000001"/>
    <n v="7.4390000000000001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497.45783240000003"/>
    <n v="1742.9205049999998"/>
    <n v="7643.4492859072679"/>
    <n v="721.28278874663408"/>
    <n v="980.21264910041896"/>
  </r>
  <r>
    <s v="Regular"/>
    <x v="0"/>
    <x v="0"/>
    <x v="0"/>
    <x v="0"/>
    <x v="0"/>
    <x v="0"/>
    <x v="1"/>
    <x v="2"/>
    <n v="120"/>
    <n v="120"/>
    <n v="7.6929999999999996"/>
    <n v="7.6929999999999996"/>
    <n v="7.6929999999999996"/>
    <n v="7.6929999999999996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54.0239999999994"/>
    <n v="514.44321879999995"/>
    <n v="1802.4314349999997"/>
    <n v="7707.6799521753965"/>
    <n v="745.91053822124684"/>
    <n v="1013.6813966298593"/>
  </r>
  <r>
    <s v="Regular"/>
    <x v="0"/>
    <x v="0"/>
    <x v="0"/>
    <x v="0"/>
    <x v="0"/>
    <x v="0"/>
    <x v="1"/>
    <x v="3"/>
    <n v="119"/>
    <n v="119"/>
    <n v="7.806"/>
    <n v="7.806"/>
    <n v="7.806"/>
    <n v="7.806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521.99970959999996"/>
    <n v="1828.9067699999998"/>
    <n v="7643.4492859072679"/>
    <n v="756.86697794814165"/>
    <n v="1028.5710362787836"/>
  </r>
  <r>
    <s v="Regular"/>
    <x v="0"/>
    <x v="0"/>
    <x v="0"/>
    <x v="0"/>
    <x v="0"/>
    <x v="0"/>
    <x v="1"/>
    <x v="4"/>
    <n v="122"/>
    <n v="122"/>
    <n v="7.3620000000000001"/>
    <n v="7.3620000000000001"/>
    <n v="7.3620000000000001"/>
    <n v="7.3620000000000001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459.9243999999999"/>
    <n v="492.30871919999998"/>
    <n v="1724.87979"/>
    <n v="7836.1412847116526"/>
    <n v="713.81689618936957"/>
    <n v="970.06661146354145"/>
  </r>
  <r>
    <s v="Regular"/>
    <x v="0"/>
    <x v="0"/>
    <x v="0"/>
    <x v="0"/>
    <x v="0"/>
    <x v="0"/>
    <x v="1"/>
    <x v="5"/>
    <n v="122"/>
    <n v="122"/>
    <n v="7.2539999999999996"/>
    <n v="7.2539999999999996"/>
    <n v="7.2539999999999996"/>
    <n v="7.2539999999999996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459.9243999999999"/>
    <n v="485.08658639999999"/>
    <n v="1699.5759299999997"/>
    <n v="7836.1412847116526"/>
    <n v="703.345254680479"/>
    <n v="955.8358054274014"/>
  </r>
  <r>
    <s v="Regular"/>
    <x v="0"/>
    <x v="0"/>
    <x v="0"/>
    <x v="0"/>
    <x v="0"/>
    <x v="0"/>
    <x v="1"/>
    <x v="6"/>
    <n v="121"/>
    <n v="121"/>
    <n v="7.9989999999999997"/>
    <n v="7.9989999999999997"/>
    <n v="7.9989999999999997"/>
    <n v="7.9989999999999997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406.9741999999997"/>
    <n v="534.90592839999999"/>
    <n v="1874.1257049999999"/>
    <n v="7771.910618443525"/>
    <n v="775.58018916310334"/>
    <n v="1054.0020137322558"/>
  </r>
  <r>
    <s v="Regular"/>
    <x v="0"/>
    <x v="0"/>
    <x v="0"/>
    <x v="0"/>
    <x v="0"/>
    <x v="0"/>
    <x v="1"/>
    <x v="7"/>
    <n v="119"/>
    <n v="119"/>
    <n v="7.383"/>
    <n v="7.383"/>
    <n v="7.383"/>
    <n v="7.383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493.71302280000003"/>
    <n v="1729.7999849999999"/>
    <n v="7643.4492859072679"/>
    <n v="715.85304870498715"/>
    <n v="972.83371263723529"/>
  </r>
  <r>
    <s v="Regular"/>
    <x v="0"/>
    <x v="0"/>
    <x v="0"/>
    <x v="0"/>
    <x v="0"/>
    <x v="0"/>
    <x v="1"/>
    <x v="8"/>
    <n v="134"/>
    <n v="134"/>
    <n v="7.6139999999999999"/>
    <n v="7.6139999999999999"/>
    <n v="7.6139999999999999"/>
    <n v="7.6139999999999999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7095.3267999999989"/>
    <n v="509.1603624"/>
    <n v="1783.9221299999999"/>
    <n v="8606.9092799291921"/>
    <n v="738.25072637678068"/>
    <n v="1003.271825547868"/>
  </r>
  <r>
    <s v="Regular"/>
    <x v="0"/>
    <x v="0"/>
    <x v="0"/>
    <x v="0"/>
    <x v="0"/>
    <x v="0"/>
    <x v="1"/>
    <x v="9"/>
    <n v="119"/>
    <n v="119"/>
    <n v="7.6159999999999997"/>
    <n v="7.6159999999999997"/>
    <n v="7.6159999999999997"/>
    <n v="7.6159999999999997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509.29410559999997"/>
    <n v="1784.3907199999999"/>
    <n v="7643.4492859072679"/>
    <n v="738.44464566398233"/>
    <n v="1003.5353589929816"/>
  </r>
  <r>
    <s v="Regular"/>
    <x v="0"/>
    <x v="0"/>
    <x v="0"/>
    <x v="0"/>
    <x v="0"/>
    <x v="0"/>
    <x v="1"/>
    <x v="10"/>
    <n v="119"/>
    <n v="119"/>
    <n v="7.0119999999999996"/>
    <n v="7.0119999999999996"/>
    <n v="7.0119999999999996"/>
    <n v="7.0119999999999996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301.0737999999992"/>
    <n v="468.90365919999999"/>
    <n v="1642.8765399999997"/>
    <n v="7643.4492859072679"/>
    <n v="679.88102092907616"/>
    <n v="923.94825856864327"/>
  </r>
  <r>
    <s v="Regular"/>
    <x v="0"/>
    <x v="0"/>
    <x v="0"/>
    <x v="0"/>
    <x v="0"/>
    <x v="0"/>
    <x v="1"/>
    <x v="11"/>
    <n v="122"/>
    <n v="122"/>
    <n v="7.9409999999999998"/>
    <n v="7.9409999999999998"/>
    <n v="7.9409999999999998"/>
    <n v="7.9409999999999998"/>
    <n v="0"/>
    <x v="0"/>
    <n v="0"/>
    <n v="8"/>
    <n v="14"/>
    <n v="77"/>
    <n v="52.950199999999995"/>
    <n v="66.871600000000001"/>
    <n v="234.29499999999999"/>
    <n v="64.230666268128303"/>
    <n v="96.959643600838021"/>
    <n v="131.76672255685159"/>
    <n v="6459.9243999999999"/>
    <n v="531.02737560000003"/>
    <n v="1860.5365949999998"/>
    <n v="7836.1412847116526"/>
    <n v="769.95652983425475"/>
    <n v="1046.3595438239583"/>
  </r>
  <r>
    <s v="Regular"/>
    <x v="0"/>
    <x v="1"/>
    <x v="1"/>
    <x v="1"/>
    <x v="1"/>
    <x v="1"/>
    <x v="0"/>
    <x v="0"/>
    <n v="2500"/>
    <n v="750.00000000000011"/>
    <n v="481.97800000000001"/>
    <n v="144.59340000000003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0830.000000000002"/>
    <n v="1521.1225680000002"/>
    <n v="0"/>
    <n v="12644.316688368794"/>
    <n v="861.98130604671417"/>
    <n v="0"/>
  </r>
  <r>
    <s v="Regular"/>
    <x v="0"/>
    <x v="1"/>
    <x v="1"/>
    <x v="1"/>
    <x v="1"/>
    <x v="1"/>
    <x v="0"/>
    <x v="1"/>
    <n v="2500"/>
    <n v="750.00000000000011"/>
    <n v="292.416"/>
    <n v="87.724800000000016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0830.000000000002"/>
    <n v="922.86489600000016"/>
    <n v="0"/>
    <n v="12644.316688368794"/>
    <n v="522.96396430740811"/>
    <n v="0"/>
  </r>
  <r>
    <s v="Regular"/>
    <x v="0"/>
    <x v="1"/>
    <x v="1"/>
    <x v="1"/>
    <x v="1"/>
    <x v="1"/>
    <x v="0"/>
    <x v="2"/>
    <n v="2500"/>
    <n v="750.00000000000011"/>
    <n v="342.30599999999998"/>
    <n v="102.69180000000001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0830.000000000002"/>
    <n v="1080.3177360000002"/>
    <n v="0"/>
    <n v="12644.316688368794"/>
    <n v="612.1884669997936"/>
    <n v="0"/>
  </r>
  <r>
    <s v="Regular"/>
    <x v="0"/>
    <x v="1"/>
    <x v="1"/>
    <x v="1"/>
    <x v="1"/>
    <x v="1"/>
    <x v="0"/>
    <x v="3"/>
    <n v="2550"/>
    <n v="765.00000000000011"/>
    <n v="379.07299999999998"/>
    <n v="113.72190000000001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1046.6"/>
    <n v="1196.354388"/>
    <n v="0"/>
    <n v="12897.203022136169"/>
    <n v="677.94347382462695"/>
    <n v="0"/>
  </r>
  <r>
    <s v="Regular"/>
    <x v="0"/>
    <x v="1"/>
    <x v="1"/>
    <x v="1"/>
    <x v="1"/>
    <x v="1"/>
    <x v="0"/>
    <x v="4"/>
    <n v="2550"/>
    <n v="765.00000000000011"/>
    <n v="538.346"/>
    <n v="161.50380000000001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1046.6"/>
    <n v="1699.019976"/>
    <n v="0"/>
    <n v="12897.203022136169"/>
    <n v="962.79122321978252"/>
    <n v="0"/>
  </r>
  <r>
    <s v="Regular"/>
    <x v="0"/>
    <x v="1"/>
    <x v="1"/>
    <x v="1"/>
    <x v="1"/>
    <x v="1"/>
    <x v="0"/>
    <x v="5"/>
    <n v="2550"/>
    <n v="765.00000000000011"/>
    <n v="463.702"/>
    <n v="139.11060000000003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1046.6"/>
    <n v="1463.4435120000003"/>
    <n v="0"/>
    <n v="12897.203022136169"/>
    <n v="829.29605827750117"/>
    <n v="0"/>
  </r>
  <r>
    <s v="Regular"/>
    <x v="0"/>
    <x v="1"/>
    <x v="1"/>
    <x v="1"/>
    <x v="1"/>
    <x v="1"/>
    <x v="0"/>
    <x v="6"/>
    <n v="2809"/>
    <n v="842.70000000000016"/>
    <n v="449.02300000000002"/>
    <n v="134.70690000000002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2168.588000000002"/>
    <n v="1417.1165880000001"/>
    <n v="0"/>
    <n v="14207.154231051176"/>
    <n v="803.04377375111255"/>
    <n v="0"/>
  </r>
  <r>
    <s v="Regular"/>
    <x v="0"/>
    <x v="1"/>
    <x v="1"/>
    <x v="1"/>
    <x v="1"/>
    <x v="1"/>
    <x v="0"/>
    <x v="7"/>
    <n v="2832"/>
    <n v="849.60000000000014"/>
    <n v="396.52499999999998"/>
    <n v="118.95750000000001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2268.224000000002"/>
    <n v="1251.4329"/>
    <n v="0"/>
    <n v="14323.481944584169"/>
    <n v="709.15505973337645"/>
    <n v="0"/>
  </r>
  <r>
    <s v="Regular"/>
    <x v="0"/>
    <x v="1"/>
    <x v="1"/>
    <x v="1"/>
    <x v="1"/>
    <x v="1"/>
    <x v="0"/>
    <x v="8"/>
    <n v="2778"/>
    <n v="833.40000000000009"/>
    <n v="459.20699999999999"/>
    <n v="137.76210000000003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2034.296"/>
    <n v="1449.2572920000002"/>
    <n v="0"/>
    <n v="14050.364704115402"/>
    <n v="821.25708975470559"/>
    <n v="0"/>
  </r>
  <r>
    <s v="Regular"/>
    <x v="0"/>
    <x v="1"/>
    <x v="1"/>
    <x v="1"/>
    <x v="1"/>
    <x v="1"/>
    <x v="0"/>
    <x v="9"/>
    <n v="2876"/>
    <n v="862.80000000000018"/>
    <n v="480.66399999999999"/>
    <n v="144.19920000000002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2458.832000000002"/>
    <n v="1516.975584"/>
    <n v="0"/>
    <n v="14546.021918299461"/>
    <n v="859.63131613815938"/>
    <n v="0"/>
  </r>
  <r>
    <s v="Regular"/>
    <x v="0"/>
    <x v="1"/>
    <x v="1"/>
    <x v="1"/>
    <x v="1"/>
    <x v="1"/>
    <x v="0"/>
    <x v="10"/>
    <n v="2550"/>
    <n v="765.00000000000011"/>
    <n v="400.822"/>
    <n v="120.24660000000002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1046.6"/>
    <n v="1264.994232"/>
    <n v="0"/>
    <n v="12897.203022136169"/>
    <n v="716.83992018775973"/>
    <n v="0"/>
  </r>
  <r>
    <s v="Regular"/>
    <x v="0"/>
    <x v="1"/>
    <x v="1"/>
    <x v="1"/>
    <x v="1"/>
    <x v="1"/>
    <x v="0"/>
    <x v="11"/>
    <n v="3195"/>
    <n v="958.50000000000011"/>
    <n v="487.95299999999997"/>
    <n v="146.38590000000002"/>
    <n v="0"/>
    <n v="0"/>
    <n v="0"/>
    <x v="1"/>
    <n v="5351"/>
    <n v="6"/>
    <n v="1"/>
    <n v="0"/>
    <n v="14.44"/>
    <n v="10.52"/>
    <n v="0"/>
    <n v="16.859088917825055"/>
    <n v="5.9614152931372661"/>
    <n v="142.74630381648396"/>
    <n v="13840.740000000002"/>
    <n v="1539.9796680000002"/>
    <n v="0"/>
    <n v="16159.436727735318"/>
    <n v="872.66714295966267"/>
    <n v="0"/>
  </r>
  <r>
    <s v="Regular"/>
    <x v="0"/>
    <x v="1"/>
    <x v="1"/>
    <x v="1"/>
    <x v="1"/>
    <x v="1"/>
    <x v="2"/>
    <x v="0"/>
    <n v="0"/>
    <n v="0"/>
    <n v="0"/>
    <n v="0"/>
    <n v="1076.577"/>
    <n v="101.09058029999998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5139.205509003998"/>
    <n v="0"/>
    <n v="0"/>
    <n v="14430.306688488467"/>
  </r>
  <r>
    <s v="Regular"/>
    <x v="0"/>
    <x v="1"/>
    <x v="1"/>
    <x v="1"/>
    <x v="1"/>
    <x v="1"/>
    <x v="2"/>
    <x v="1"/>
    <n v="0"/>
    <n v="0"/>
    <n v="0"/>
    <n v="0"/>
    <n v="1112.021"/>
    <n v="104.41877189999998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5966.860196091995"/>
    <n v="0"/>
    <n v="0"/>
    <n v="14905.393737781535"/>
  </r>
  <r>
    <s v="Regular"/>
    <x v="0"/>
    <x v="1"/>
    <x v="1"/>
    <x v="1"/>
    <x v="1"/>
    <x v="1"/>
    <x v="2"/>
    <x v="2"/>
    <n v="0"/>
    <n v="0"/>
    <n v="0"/>
    <n v="0"/>
    <n v="1103.4000000000001"/>
    <n v="103.60925999999999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5765.550776799999"/>
    <n v="0"/>
    <n v="0"/>
    <n v="14789.838906161078"/>
  </r>
  <r>
    <s v="Regular"/>
    <x v="0"/>
    <x v="1"/>
    <x v="1"/>
    <x v="1"/>
    <x v="1"/>
    <x v="1"/>
    <x v="2"/>
    <x v="3"/>
    <n v="0"/>
    <n v="0"/>
    <n v="0"/>
    <n v="0"/>
    <n v="1146.7660000000001"/>
    <n v="107.68132739999999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6778.192497831998"/>
    <n v="0"/>
    <n v="0"/>
    <n v="15371.111476402677"/>
  </r>
  <r>
    <s v="Regular"/>
    <x v="0"/>
    <x v="1"/>
    <x v="1"/>
    <x v="1"/>
    <x v="1"/>
    <x v="1"/>
    <x v="2"/>
    <x v="4"/>
    <n v="0"/>
    <n v="0"/>
    <n v="0"/>
    <n v="0"/>
    <n v="1261.893"/>
    <n v="118.49175269999998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9466.529061435995"/>
    <n v="0"/>
    <n v="0"/>
    <n v="16914.259730661881"/>
  </r>
  <r>
    <s v="Regular"/>
    <x v="0"/>
    <x v="1"/>
    <x v="1"/>
    <x v="1"/>
    <x v="1"/>
    <x v="1"/>
    <x v="2"/>
    <x v="5"/>
    <n v="0"/>
    <n v="0"/>
    <n v="0"/>
    <n v="0"/>
    <n v="1131.1489999999999"/>
    <n v="106.21489109999997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6413.519118747994"/>
    <n v="0"/>
    <n v="0"/>
    <n v="15161.783114795355"/>
  </r>
  <r>
    <s v="Regular"/>
    <x v="0"/>
    <x v="1"/>
    <x v="1"/>
    <x v="1"/>
    <x v="1"/>
    <x v="1"/>
    <x v="2"/>
    <x v="6"/>
    <n v="0"/>
    <n v="0"/>
    <n v="0"/>
    <n v="0"/>
    <n v="1232.3889999999999"/>
    <n v="115.72132709999997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8777.579623227994"/>
    <n v="0"/>
    <n v="0"/>
    <n v="16518.791716263313"/>
  </r>
  <r>
    <s v="Regular"/>
    <x v="0"/>
    <x v="1"/>
    <x v="1"/>
    <x v="1"/>
    <x v="1"/>
    <x v="1"/>
    <x v="2"/>
    <x v="7"/>
    <n v="0"/>
    <n v="0"/>
    <n v="0"/>
    <n v="0"/>
    <n v="1130.751"/>
    <n v="106.17751889999998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6404.225400051997"/>
    <n v="0"/>
    <n v="0"/>
    <n v="15156.448371379865"/>
  </r>
  <r>
    <s v="Regular"/>
    <x v="0"/>
    <x v="1"/>
    <x v="1"/>
    <x v="1"/>
    <x v="1"/>
    <x v="1"/>
    <x v="2"/>
    <x v="8"/>
    <n v="0"/>
    <n v="0"/>
    <n v="0"/>
    <n v="0"/>
    <n v="1104.546"/>
    <n v="103.71686939999999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5792.311082392"/>
    <n v="0"/>
    <n v="0"/>
    <n v="14805.199750266987"/>
  </r>
  <r>
    <s v="Regular"/>
    <x v="0"/>
    <x v="1"/>
    <x v="1"/>
    <x v="1"/>
    <x v="1"/>
    <x v="1"/>
    <x v="2"/>
    <x v="9"/>
    <n v="0"/>
    <n v="0"/>
    <n v="0"/>
    <n v="0"/>
    <n v="1194.6420000000001"/>
    <n v="112.17688379999998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7896.147463383997"/>
    <n v="0"/>
    <n v="0"/>
    <n v="16012.835536101215"/>
  </r>
  <r>
    <s v="Regular"/>
    <x v="0"/>
    <x v="1"/>
    <x v="1"/>
    <x v="1"/>
    <x v="1"/>
    <x v="1"/>
    <x v="2"/>
    <x v="10"/>
    <n v="0"/>
    <n v="0"/>
    <n v="0"/>
    <n v="0"/>
    <n v="1172.8879999999999"/>
    <n v="110.13418319999997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7388.168678175993"/>
    <n v="0"/>
    <n v="0"/>
    <n v="15721.2475756475"/>
  </r>
  <r>
    <s v="Regular"/>
    <x v="0"/>
    <x v="1"/>
    <x v="1"/>
    <x v="1"/>
    <x v="1"/>
    <x v="1"/>
    <x v="2"/>
    <x v="11"/>
    <n v="0"/>
    <n v="0"/>
    <n v="0"/>
    <n v="0"/>
    <n v="1179.9749999999999"/>
    <n v="110.79965249999997"/>
    <n v="0"/>
    <x v="1"/>
    <n v="5351"/>
    <n v="0"/>
    <n v="0"/>
    <n v="78"/>
    <n v="0"/>
    <n v="0"/>
    <n v="248.68"/>
    <n v="53.149182930504139"/>
    <n v="5.9614152931372661"/>
    <n v="142.74630381648396"/>
    <n v="0"/>
    <n v="0"/>
    <n v="27553.657583699991"/>
    <n v="0"/>
    <n v="0"/>
    <n v="15816.240858525842"/>
  </r>
  <r>
    <s v="Regular"/>
    <x v="0"/>
    <x v="1"/>
    <x v="1"/>
    <x v="1"/>
    <x v="1"/>
    <x v="1"/>
    <x v="1"/>
    <x v="0"/>
    <n v="2450"/>
    <n v="735.00000000000011"/>
    <n v="91.91"/>
    <n v="27.5730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90.06796000000003"/>
    <n v="0"/>
    <n v="37046.13763794324"/>
    <n v="164.37410387767386"/>
    <n v="0"/>
  </r>
  <r>
    <s v="Regular"/>
    <x v="0"/>
    <x v="1"/>
    <x v="1"/>
    <x v="1"/>
    <x v="1"/>
    <x v="1"/>
    <x v="1"/>
    <x v="1"/>
    <n v="2450"/>
    <n v="735.00000000000011"/>
    <n v="70.344999999999999"/>
    <n v="21.1035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22.00882000000004"/>
    <n v="0"/>
    <n v="37046.13763794324"/>
    <n v="125.80672763872232"/>
    <n v="0"/>
  </r>
  <r>
    <s v="Regular"/>
    <x v="0"/>
    <x v="1"/>
    <x v="1"/>
    <x v="1"/>
    <x v="1"/>
    <x v="1"/>
    <x v="1"/>
    <x v="2"/>
    <n v="2450"/>
    <n v="735.00000000000011"/>
    <n v="75.930999999999997"/>
    <n v="22.779300000000003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39.63823600000001"/>
    <n v="0"/>
    <n v="37046.13763794324"/>
    <n v="135.79686738696174"/>
    <n v="0"/>
  </r>
  <r>
    <s v="Regular"/>
    <x v="0"/>
    <x v="1"/>
    <x v="1"/>
    <x v="1"/>
    <x v="1"/>
    <x v="1"/>
    <x v="1"/>
    <x v="3"/>
    <n v="2450"/>
    <n v="735.00000000000011"/>
    <n v="90.515000000000001"/>
    <n v="27.154500000000006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85.66534000000007"/>
    <n v="0"/>
    <n v="37046.13763794324"/>
    <n v="161.87925157749592"/>
    <n v="0"/>
  </r>
  <r>
    <s v="Regular"/>
    <x v="0"/>
    <x v="1"/>
    <x v="1"/>
    <x v="1"/>
    <x v="1"/>
    <x v="1"/>
    <x v="1"/>
    <x v="4"/>
    <n v="2450"/>
    <n v="735.00000000000011"/>
    <n v="93.067999999999998"/>
    <n v="27.9204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93.72260800000004"/>
    <n v="0"/>
    <n v="37046.13763794324"/>
    <n v="166.44509955050975"/>
    <n v="0"/>
  </r>
  <r>
    <s v="Regular"/>
    <x v="0"/>
    <x v="1"/>
    <x v="1"/>
    <x v="1"/>
    <x v="1"/>
    <x v="1"/>
    <x v="1"/>
    <x v="5"/>
    <n v="2450"/>
    <n v="735.00000000000011"/>
    <n v="87.688000000000002"/>
    <n v="26.3064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76.74332800000002"/>
    <n v="0"/>
    <n v="37046.13763794324"/>
    <n v="156.82337526738621"/>
    <n v="0"/>
  </r>
  <r>
    <s v="Regular"/>
    <x v="0"/>
    <x v="1"/>
    <x v="1"/>
    <x v="1"/>
    <x v="1"/>
    <x v="1"/>
    <x v="1"/>
    <x v="6"/>
    <n v="2450"/>
    <n v="735.00000000000011"/>
    <n v="89.024000000000001"/>
    <n v="26.7072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80.959744"/>
    <n v="0"/>
    <n v="37046.13763794324"/>
    <n v="159.2127105168756"/>
    <n v="0"/>
  </r>
  <r>
    <s v="Regular"/>
    <x v="0"/>
    <x v="1"/>
    <x v="1"/>
    <x v="1"/>
    <x v="1"/>
    <x v="1"/>
    <x v="1"/>
    <x v="7"/>
    <n v="2450"/>
    <n v="735.00000000000011"/>
    <n v="79.69"/>
    <n v="23.907000000000004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51.50164000000004"/>
    <n v="0"/>
    <n v="37046.13763794324"/>
    <n v="142.51955541303263"/>
    <n v="0"/>
  </r>
  <r>
    <s v="Regular"/>
    <x v="0"/>
    <x v="1"/>
    <x v="1"/>
    <x v="1"/>
    <x v="1"/>
    <x v="1"/>
    <x v="1"/>
    <x v="8"/>
    <n v="2450"/>
    <n v="735.00000000000011"/>
    <n v="91.590999999999994"/>
    <n v="27.477300000000003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89.061196"/>
    <n v="0"/>
    <n v="37046.13763794324"/>
    <n v="163.80359643412064"/>
    <n v="0"/>
  </r>
  <r>
    <s v="Regular"/>
    <x v="0"/>
    <x v="1"/>
    <x v="1"/>
    <x v="1"/>
    <x v="1"/>
    <x v="1"/>
    <x v="1"/>
    <x v="9"/>
    <n v="2450"/>
    <n v="735.00000000000011"/>
    <n v="95.867000000000004"/>
    <n v="28.760100000000005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302.55625200000003"/>
    <n v="0"/>
    <n v="37046.13763794324"/>
    <n v="171.45089997215712"/>
    <n v="0"/>
  </r>
  <r>
    <s v="Regular"/>
    <x v="0"/>
    <x v="1"/>
    <x v="1"/>
    <x v="1"/>
    <x v="1"/>
    <x v="1"/>
    <x v="1"/>
    <x v="10"/>
    <n v="2450"/>
    <n v="735.00000000000011"/>
    <n v="92.832999999999998"/>
    <n v="27.849900000000005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1627.050000000007"/>
    <n v="292.98094800000007"/>
    <n v="0"/>
    <n v="37046.13763794324"/>
    <n v="166.02481977234359"/>
    <n v="0"/>
  </r>
  <r>
    <s v="Regular"/>
    <x v="0"/>
    <x v="1"/>
    <x v="1"/>
    <x v="1"/>
    <x v="1"/>
    <x v="1"/>
    <x v="1"/>
    <x v="11"/>
    <n v="2862"/>
    <n v="858.60000000000014"/>
    <n v="112.767"/>
    <n v="33.830100000000002"/>
    <n v="0"/>
    <n v="0"/>
    <n v="0"/>
    <x v="1"/>
    <n v="5351"/>
    <n v="15"/>
    <n v="1"/>
    <n v="0"/>
    <n v="43.03"/>
    <n v="10.52"/>
    <n v="0"/>
    <n v="50.402908350943179"/>
    <n v="5.9614152931372661"/>
    <n v="142.74630381648396"/>
    <n v="36945.558000000005"/>
    <n v="355.892652"/>
    <n v="0"/>
    <n v="43275.937110119819"/>
    <n v="201.67527550836303"/>
    <n v="0"/>
  </r>
  <r>
    <s v="Regular"/>
    <x v="0"/>
    <x v="2"/>
    <x v="1"/>
    <x v="1"/>
    <x v="0"/>
    <x v="2"/>
    <x v="2"/>
    <x v="0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0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0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0"/>
    <n v="666"/>
    <n v="333"/>
    <n v="0"/>
    <n v="0"/>
    <n v="0"/>
    <n v="0"/>
    <n v="0"/>
    <x v="2"/>
    <n v="30591"/>
    <n v="16"/>
    <n v="0"/>
    <n v="0"/>
    <n v="3.52"/>
    <n v="0"/>
    <n v="0"/>
    <n v="3.5546195803828087"/>
    <m/>
    <m/>
    <n v="1172.1600000000001"/>
    <n v="0"/>
    <n v="0"/>
    <n v="1183.6883202674753"/>
    <n v="0"/>
    <n v="0"/>
  </r>
  <r>
    <s v="Regular"/>
    <x v="0"/>
    <x v="2"/>
    <x v="1"/>
    <x v="1"/>
    <x v="0"/>
    <x v="2"/>
    <x v="2"/>
    <x v="1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1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1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1"/>
    <n v="768"/>
    <n v="384"/>
    <n v="0"/>
    <n v="0"/>
    <n v="0"/>
    <n v="0"/>
    <n v="0"/>
    <x v="2"/>
    <n v="30591"/>
    <n v="16"/>
    <n v="0"/>
    <n v="0"/>
    <n v="3.52"/>
    <n v="0"/>
    <n v="0"/>
    <n v="3.5546195803828087"/>
    <m/>
    <m/>
    <n v="1351.68"/>
    <n v="0"/>
    <n v="0"/>
    <n v="1364.9739188669985"/>
    <n v="0"/>
    <n v="0"/>
  </r>
  <r>
    <s v="Regular"/>
    <x v="0"/>
    <x v="2"/>
    <x v="1"/>
    <x v="1"/>
    <x v="0"/>
    <x v="2"/>
    <x v="2"/>
    <x v="2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2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2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2"/>
    <n v="532"/>
    <n v="266"/>
    <n v="0"/>
    <n v="0"/>
    <n v="0"/>
    <n v="0"/>
    <n v="0"/>
    <x v="2"/>
    <n v="30591"/>
    <n v="16"/>
    <n v="0"/>
    <n v="0"/>
    <n v="3.52"/>
    <n v="0"/>
    <n v="0"/>
    <n v="3.5546195803828087"/>
    <m/>
    <m/>
    <n v="936.32"/>
    <n v="0"/>
    <n v="0"/>
    <n v="945.52880838182716"/>
    <n v="0"/>
    <n v="0"/>
  </r>
  <r>
    <s v="Regular"/>
    <x v="0"/>
    <x v="2"/>
    <x v="1"/>
    <x v="1"/>
    <x v="0"/>
    <x v="2"/>
    <x v="2"/>
    <x v="3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3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3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3"/>
    <n v="639"/>
    <n v="319.5"/>
    <n v="0"/>
    <n v="0"/>
    <n v="0"/>
    <n v="0"/>
    <n v="0"/>
    <x v="2"/>
    <n v="30591"/>
    <n v="16"/>
    <n v="0"/>
    <n v="0"/>
    <n v="3.52"/>
    <n v="0"/>
    <n v="0"/>
    <n v="3.5546195803828087"/>
    <m/>
    <m/>
    <n v="1124.6400000000001"/>
    <n v="0"/>
    <n v="0"/>
    <n v="1135.7009559323074"/>
    <n v="0"/>
    <n v="0"/>
  </r>
  <r>
    <s v="Regular"/>
    <x v="0"/>
    <x v="2"/>
    <x v="1"/>
    <x v="1"/>
    <x v="0"/>
    <x v="2"/>
    <x v="2"/>
    <x v="4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4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4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4"/>
    <n v="639"/>
    <n v="319.5"/>
    <n v="0"/>
    <n v="0"/>
    <n v="0"/>
    <n v="0"/>
    <n v="0"/>
    <x v="2"/>
    <n v="30591"/>
    <n v="16"/>
    <n v="0"/>
    <n v="0"/>
    <n v="3.52"/>
    <n v="0"/>
    <n v="0"/>
    <n v="3.5546195803828087"/>
    <m/>
    <m/>
    <n v="1124.6400000000001"/>
    <n v="0"/>
    <n v="0"/>
    <n v="1135.7009559323074"/>
    <n v="0"/>
    <n v="0"/>
  </r>
  <r>
    <s v="Regular"/>
    <x v="0"/>
    <x v="2"/>
    <x v="1"/>
    <x v="1"/>
    <x v="0"/>
    <x v="2"/>
    <x v="2"/>
    <x v="5"/>
    <n v="2500"/>
    <n v="2500"/>
    <n v="0"/>
    <n v="0"/>
    <n v="0"/>
    <n v="0"/>
    <n v="0"/>
    <x v="2"/>
    <n v="29137"/>
    <n v="16"/>
    <n v="0"/>
    <n v="0"/>
    <n v="3.52"/>
    <n v="0"/>
    <n v="0"/>
    <n v="3.5546195803828087"/>
    <m/>
    <m/>
    <n v="8800"/>
    <n v="0"/>
    <n v="0"/>
    <n v="8886.5489509570216"/>
    <n v="0"/>
    <n v="0"/>
  </r>
  <r>
    <s v="Regular"/>
    <x v="0"/>
    <x v="2"/>
    <x v="1"/>
    <x v="1"/>
    <x v="0"/>
    <x v="3"/>
    <x v="2"/>
    <x v="5"/>
    <n v="335"/>
    <n v="335"/>
    <n v="0"/>
    <n v="0"/>
    <n v="0"/>
    <n v="0"/>
    <n v="0"/>
    <x v="2"/>
    <m/>
    <n v="16"/>
    <n v="0"/>
    <n v="0"/>
    <n v="3.52"/>
    <n v="0"/>
    <n v="0"/>
    <n v="3.5546195803828087"/>
    <m/>
    <m/>
    <n v="1179.2"/>
    <n v="0"/>
    <n v="0"/>
    <n v="1190.7975594282409"/>
    <n v="0"/>
    <n v="0"/>
  </r>
  <r>
    <s v="Regular"/>
    <x v="0"/>
    <x v="2"/>
    <x v="1"/>
    <x v="1"/>
    <x v="0"/>
    <x v="4"/>
    <x v="2"/>
    <x v="5"/>
    <n v="1000"/>
    <n v="1000"/>
    <n v="0"/>
    <n v="0"/>
    <n v="0"/>
    <n v="0"/>
    <n v="0"/>
    <x v="2"/>
    <n v="29425"/>
    <n v="16"/>
    <n v="0"/>
    <n v="0"/>
    <n v="3.52"/>
    <n v="0"/>
    <n v="0"/>
    <n v="3.5546195803828087"/>
    <m/>
    <m/>
    <n v="3520"/>
    <n v="0"/>
    <n v="0"/>
    <n v="3554.6195803828086"/>
    <n v="0"/>
    <n v="0"/>
  </r>
  <r>
    <s v="Regular"/>
    <x v="0"/>
    <x v="2"/>
    <x v="1"/>
    <x v="1"/>
    <x v="0"/>
    <x v="5"/>
    <x v="2"/>
    <x v="5"/>
    <n v="520"/>
    <n v="260"/>
    <n v="0"/>
    <n v="0"/>
    <n v="0"/>
    <n v="0"/>
    <n v="0"/>
    <x v="2"/>
    <n v="30591"/>
    <n v="16"/>
    <n v="0"/>
    <n v="0"/>
    <n v="3.52"/>
    <n v="0"/>
    <n v="0"/>
    <n v="3.5546195803828087"/>
    <m/>
    <m/>
    <n v="915.2"/>
    <n v="0"/>
    <n v="0"/>
    <n v="924.2010908995303"/>
    <n v="0"/>
    <n v="0"/>
  </r>
  <r>
    <s v="Regular"/>
    <x v="0"/>
    <x v="2"/>
    <x v="1"/>
    <x v="1"/>
    <x v="0"/>
    <x v="2"/>
    <x v="2"/>
    <x v="6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6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6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6"/>
    <n v="726"/>
    <n v="363"/>
    <n v="0"/>
    <n v="0"/>
    <n v="0"/>
    <n v="0"/>
    <n v="0"/>
    <x v="2"/>
    <n v="30591"/>
    <n v="16"/>
    <n v="0"/>
    <n v="0"/>
    <n v="3.52"/>
    <n v="0"/>
    <n v="0"/>
    <n v="3.5546195803828087"/>
    <m/>
    <m/>
    <n v="1277.76"/>
    <n v="0"/>
    <n v="0"/>
    <n v="1290.3269076789595"/>
    <n v="0"/>
    <n v="0"/>
  </r>
  <r>
    <s v="Regular"/>
    <x v="0"/>
    <x v="2"/>
    <x v="1"/>
    <x v="1"/>
    <x v="0"/>
    <x v="2"/>
    <x v="2"/>
    <x v="7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7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7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7"/>
    <n v="663"/>
    <n v="331.5"/>
    <n v="0"/>
    <n v="0"/>
    <n v="0"/>
    <n v="0"/>
    <n v="0"/>
    <x v="2"/>
    <n v="30591"/>
    <n v="16"/>
    <n v="0"/>
    <n v="0"/>
    <n v="3.52"/>
    <n v="0"/>
    <n v="0"/>
    <n v="3.5546195803828087"/>
    <m/>
    <m/>
    <n v="1166.8800000000001"/>
    <n v="0"/>
    <n v="0"/>
    <n v="1178.3563908969011"/>
    <n v="0"/>
    <n v="0"/>
  </r>
  <r>
    <s v="Regular"/>
    <x v="0"/>
    <x v="2"/>
    <x v="1"/>
    <x v="1"/>
    <x v="0"/>
    <x v="2"/>
    <x v="2"/>
    <x v="8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8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8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8"/>
    <n v="480"/>
    <n v="240"/>
    <n v="0"/>
    <n v="0"/>
    <n v="0"/>
    <n v="0"/>
    <n v="0"/>
    <x v="2"/>
    <n v="30591"/>
    <n v="16"/>
    <n v="0"/>
    <n v="0"/>
    <n v="3.52"/>
    <n v="0"/>
    <n v="0"/>
    <n v="3.5546195803828087"/>
    <m/>
    <m/>
    <n v="844.8"/>
    <n v="0"/>
    <n v="0"/>
    <n v="853.10869929187413"/>
    <n v="0"/>
    <n v="0"/>
  </r>
  <r>
    <s v="Regular"/>
    <x v="0"/>
    <x v="2"/>
    <x v="1"/>
    <x v="1"/>
    <x v="0"/>
    <x v="2"/>
    <x v="2"/>
    <x v="9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9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9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9"/>
    <n v="509"/>
    <n v="254.5"/>
    <n v="0"/>
    <n v="0"/>
    <n v="0"/>
    <n v="0"/>
    <n v="0"/>
    <x v="2"/>
    <n v="30591"/>
    <n v="16"/>
    <n v="0"/>
    <n v="0"/>
    <n v="3.52"/>
    <n v="0"/>
    <n v="0"/>
    <n v="3.5546195803828087"/>
    <m/>
    <m/>
    <n v="895.84"/>
    <n v="0"/>
    <n v="0"/>
    <n v="904.65068320742478"/>
    <n v="0"/>
    <n v="0"/>
  </r>
  <r>
    <s v="Regular"/>
    <x v="0"/>
    <x v="2"/>
    <x v="1"/>
    <x v="1"/>
    <x v="0"/>
    <x v="2"/>
    <x v="2"/>
    <x v="10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10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10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10"/>
    <n v="643"/>
    <n v="321.5"/>
    <n v="0"/>
    <n v="0"/>
    <n v="0"/>
    <n v="0"/>
    <n v="0"/>
    <x v="2"/>
    <n v="30591"/>
    <n v="16"/>
    <n v="0"/>
    <n v="0"/>
    <n v="3.52"/>
    <n v="0"/>
    <n v="0"/>
    <n v="3.5546195803828087"/>
    <m/>
    <m/>
    <n v="1131.68"/>
    <n v="0"/>
    <n v="0"/>
    <n v="1142.8101950930729"/>
    <n v="0"/>
    <n v="0"/>
  </r>
  <r>
    <s v="Regular"/>
    <x v="0"/>
    <x v="2"/>
    <x v="1"/>
    <x v="1"/>
    <x v="0"/>
    <x v="2"/>
    <x v="2"/>
    <x v="11"/>
    <n v="2500"/>
    <n v="1250"/>
    <n v="0"/>
    <n v="0"/>
    <n v="0"/>
    <n v="0"/>
    <n v="0"/>
    <x v="2"/>
    <n v="29137"/>
    <n v="16"/>
    <n v="0"/>
    <n v="0"/>
    <n v="3.52"/>
    <n v="0"/>
    <n v="0"/>
    <n v="3.5546195803828087"/>
    <m/>
    <m/>
    <n v="4400"/>
    <n v="0"/>
    <n v="0"/>
    <n v="4443.2744754785108"/>
    <n v="0"/>
    <n v="0"/>
  </r>
  <r>
    <s v="Regular"/>
    <x v="0"/>
    <x v="2"/>
    <x v="1"/>
    <x v="1"/>
    <x v="0"/>
    <x v="3"/>
    <x v="2"/>
    <x v="11"/>
    <n v="335"/>
    <n v="167.5"/>
    <n v="0"/>
    <n v="0"/>
    <n v="0"/>
    <n v="0"/>
    <n v="0"/>
    <x v="2"/>
    <m/>
    <n v="16"/>
    <n v="0"/>
    <n v="0"/>
    <n v="3.52"/>
    <n v="0"/>
    <n v="0"/>
    <n v="3.5546195803828087"/>
    <m/>
    <m/>
    <n v="589.6"/>
    <n v="0"/>
    <n v="0"/>
    <n v="595.39877971412045"/>
    <n v="0"/>
    <n v="0"/>
  </r>
  <r>
    <s v="Regular"/>
    <x v="0"/>
    <x v="2"/>
    <x v="1"/>
    <x v="1"/>
    <x v="0"/>
    <x v="4"/>
    <x v="2"/>
    <x v="11"/>
    <n v="1000"/>
    <n v="500"/>
    <n v="0"/>
    <n v="0"/>
    <n v="0"/>
    <n v="0"/>
    <n v="0"/>
    <x v="2"/>
    <n v="29425"/>
    <n v="16"/>
    <n v="0"/>
    <n v="0"/>
    <n v="3.52"/>
    <n v="0"/>
    <n v="0"/>
    <n v="3.5546195803828087"/>
    <m/>
    <m/>
    <n v="1760"/>
    <n v="0"/>
    <n v="0"/>
    <n v="1777.3097901914043"/>
    <n v="0"/>
    <n v="0"/>
  </r>
  <r>
    <s v="Regular"/>
    <x v="0"/>
    <x v="2"/>
    <x v="1"/>
    <x v="1"/>
    <x v="0"/>
    <x v="5"/>
    <x v="2"/>
    <x v="11"/>
    <n v="605"/>
    <n v="302.5"/>
    <n v="0"/>
    <n v="0"/>
    <n v="0"/>
    <n v="0"/>
    <n v="0"/>
    <x v="2"/>
    <n v="30591"/>
    <n v="16"/>
    <n v="0"/>
    <n v="0"/>
    <n v="3.52"/>
    <n v="0"/>
    <n v="0"/>
    <n v="3.5546195803828087"/>
    <m/>
    <m/>
    <n v="1064.8"/>
    <n v="0"/>
    <n v="0"/>
    <n v="1075.2724230657996"/>
    <n v="0"/>
    <n v="0"/>
  </r>
  <r>
    <s v="Regular"/>
    <x v="0"/>
    <x v="3"/>
    <x v="2"/>
    <x v="1"/>
    <x v="0"/>
    <x v="0"/>
    <x v="0"/>
    <x v="0"/>
    <n v="0"/>
    <n v="0"/>
    <n v="305.90199999999999"/>
    <n v="305.90199999999999"/>
    <n v="305.90199999999999"/>
    <n v="305.90199999999999"/>
    <n v="0"/>
    <x v="0"/>
    <n v="0"/>
    <n v="0"/>
    <n v="13"/>
    <n v="69"/>
    <n v="0"/>
    <n v="71.14"/>
    <n v="249.25"/>
    <m/>
    <n v="99.958395464781461"/>
    <n v="135.84198201737277"/>
    <n v="0"/>
    <n v="21761.868279999999"/>
    <n v="76246.073499999999"/>
    <n v="0"/>
    <n v="30577.473089467578"/>
    <n v="41554.333983078366"/>
  </r>
  <r>
    <s v="Sistema de Compensação"/>
    <x v="0"/>
    <x v="3"/>
    <x v="2"/>
    <x v="1"/>
    <x v="0"/>
    <x v="0"/>
    <x v="0"/>
    <x v="0"/>
    <n v="0"/>
    <n v="0"/>
    <n v="12.711"/>
    <n v="12.711"/>
    <n v="12.711"/>
    <n v="12.711"/>
    <n v="0"/>
    <x v="0"/>
    <n v="0"/>
    <n v="0"/>
    <n v="13"/>
    <n v="69"/>
    <n v="0"/>
    <n v="71.14"/>
    <n v="249.25"/>
    <m/>
    <n v="99.958395464781461"/>
    <n v="135.84198201737277"/>
    <n v="0"/>
    <n v="904.26053999999999"/>
    <n v="3168.21675"/>
    <n v="0"/>
    <n v="1270.5711647528371"/>
    <n v="1726.6874334228253"/>
  </r>
  <r>
    <s v="Regular"/>
    <x v="0"/>
    <x v="3"/>
    <x v="2"/>
    <x v="1"/>
    <x v="0"/>
    <x v="0"/>
    <x v="0"/>
    <x v="1"/>
    <n v="0"/>
    <n v="0"/>
    <n v="323.27699999999999"/>
    <n v="323.27699999999999"/>
    <n v="323.27699999999999"/>
    <n v="323.27699999999999"/>
    <n v="0"/>
    <x v="0"/>
    <n v="0"/>
    <n v="0"/>
    <n v="13"/>
    <n v="69"/>
    <n v="0"/>
    <n v="71.14"/>
    <n v="249.25"/>
    <m/>
    <n v="99.958395464781461"/>
    <n v="135.84198201737277"/>
    <n v="0"/>
    <n v="22997.925779999998"/>
    <n v="80576.792249999999"/>
    <n v="0"/>
    <n v="32314.250210668153"/>
    <n v="43914.588420630214"/>
  </r>
  <r>
    <s v="Sistema de Compensação"/>
    <x v="0"/>
    <x v="3"/>
    <x v="2"/>
    <x v="1"/>
    <x v="0"/>
    <x v="0"/>
    <x v="0"/>
    <x v="1"/>
    <n v="0"/>
    <n v="0"/>
    <n v="13.173"/>
    <n v="13.173"/>
    <n v="13.173"/>
    <n v="13.173"/>
    <n v="0"/>
    <x v="0"/>
    <n v="0"/>
    <n v="0"/>
    <n v="13"/>
    <n v="69"/>
    <n v="0"/>
    <n v="71.14"/>
    <n v="249.25"/>
    <m/>
    <n v="99.958395464781461"/>
    <n v="135.84198201737277"/>
    <n v="0"/>
    <n v="937.12721999999997"/>
    <n v="3283.3702499999999"/>
    <n v="0"/>
    <n v="1316.7519434575661"/>
    <n v="1789.4464291148515"/>
  </r>
  <r>
    <s v="Regular"/>
    <x v="0"/>
    <x v="3"/>
    <x v="2"/>
    <x v="1"/>
    <x v="0"/>
    <x v="0"/>
    <x v="0"/>
    <x v="2"/>
    <n v="0"/>
    <n v="0"/>
    <n v="343.80900000000003"/>
    <n v="343.80900000000003"/>
    <n v="343.80900000000003"/>
    <n v="343.80900000000003"/>
    <n v="0"/>
    <x v="0"/>
    <n v="0"/>
    <n v="0"/>
    <n v="13"/>
    <n v="69"/>
    <n v="0"/>
    <n v="71.14"/>
    <n v="249.25"/>
    <m/>
    <n v="99.958395464781461"/>
    <n v="135.84198201737277"/>
    <n v="0"/>
    <n v="24458.572260000001"/>
    <n v="85694.393250000008"/>
    <n v="0"/>
    <n v="34366.595986351051"/>
    <n v="46703.695995410919"/>
  </r>
  <r>
    <s v="Sistema de Compensação"/>
    <x v="0"/>
    <x v="3"/>
    <x v="2"/>
    <x v="1"/>
    <x v="0"/>
    <x v="0"/>
    <x v="0"/>
    <x v="2"/>
    <n v="0"/>
    <n v="0"/>
    <n v="16.893000000000001"/>
    <n v="16.893000000000001"/>
    <n v="16.893000000000001"/>
    <n v="16.893000000000001"/>
    <n v="0"/>
    <x v="0"/>
    <n v="0"/>
    <n v="0"/>
    <n v="13"/>
    <n v="69"/>
    <n v="0"/>
    <n v="71.14"/>
    <n v="249.25"/>
    <m/>
    <n v="99.958395464781461"/>
    <n v="135.84198201737277"/>
    <n v="0"/>
    <n v="1201.76802"/>
    <n v="4210.58025"/>
    <n v="0"/>
    <n v="1688.5971745865534"/>
    <n v="2294.7786022194782"/>
  </r>
  <r>
    <s v="Regular"/>
    <x v="0"/>
    <x v="3"/>
    <x v="2"/>
    <x v="1"/>
    <x v="0"/>
    <x v="0"/>
    <x v="0"/>
    <x v="3"/>
    <n v="0"/>
    <n v="0"/>
    <n v="375.84699999999998"/>
    <n v="375.84699999999998"/>
    <n v="375.84699999999998"/>
    <n v="375.84699999999998"/>
    <n v="0"/>
    <x v="0"/>
    <n v="0"/>
    <n v="0"/>
    <n v="13"/>
    <n v="69"/>
    <n v="0"/>
    <n v="71.14"/>
    <n v="249.25"/>
    <m/>
    <n v="99.958395464781461"/>
    <n v="135.84198201737277"/>
    <n v="0"/>
    <n v="26737.755579999997"/>
    <n v="93679.864749999993"/>
    <n v="0"/>
    <n v="37569.063060251712"/>
    <n v="51055.801415283502"/>
  </r>
  <r>
    <s v="Sistema de Compensação"/>
    <x v="0"/>
    <x v="3"/>
    <x v="2"/>
    <x v="1"/>
    <x v="0"/>
    <x v="0"/>
    <x v="0"/>
    <x v="3"/>
    <n v="0"/>
    <n v="0"/>
    <n v="18.68"/>
    <n v="18.68"/>
    <n v="18.68"/>
    <n v="18.68"/>
    <n v="0"/>
    <x v="0"/>
    <n v="0"/>
    <n v="0"/>
    <n v="13"/>
    <n v="69"/>
    <n v="0"/>
    <n v="71.14"/>
    <n v="249.25"/>
    <m/>
    <n v="99.958395464781461"/>
    <n v="135.84198201737277"/>
    <n v="0"/>
    <n v="1328.8951999999999"/>
    <n v="4655.99"/>
    <n v="0"/>
    <n v="1867.2228272821176"/>
    <n v="2537.5282240845231"/>
  </r>
  <r>
    <s v="Regular"/>
    <x v="0"/>
    <x v="3"/>
    <x v="2"/>
    <x v="1"/>
    <x v="0"/>
    <x v="0"/>
    <x v="0"/>
    <x v="4"/>
    <n v="0"/>
    <n v="0"/>
    <n v="414.77"/>
    <n v="414.77"/>
    <n v="414.77"/>
    <n v="414.77"/>
    <n v="0"/>
    <x v="0"/>
    <n v="0"/>
    <n v="0"/>
    <n v="13"/>
    <n v="69"/>
    <n v="0"/>
    <n v="71.14"/>
    <n v="249.25"/>
    <m/>
    <n v="99.958395464781461"/>
    <n v="135.84198201737277"/>
    <n v="0"/>
    <n v="29506.737799999999"/>
    <n v="103381.4225"/>
    <n v="0"/>
    <n v="41459.743686927402"/>
    <n v="56343.178881345702"/>
  </r>
  <r>
    <s v="Sistema de Compensação"/>
    <x v="0"/>
    <x v="3"/>
    <x v="2"/>
    <x v="1"/>
    <x v="0"/>
    <x v="0"/>
    <x v="0"/>
    <x v="4"/>
    <n v="0"/>
    <n v="0"/>
    <n v="28.218"/>
    <n v="28.218"/>
    <n v="28.218"/>
    <n v="28.218"/>
    <n v="0"/>
    <x v="0"/>
    <n v="0"/>
    <n v="0"/>
    <n v="13"/>
    <n v="69"/>
    <n v="0"/>
    <n v="71.14"/>
    <n v="249.25"/>
    <m/>
    <n v="99.958395464781461"/>
    <n v="135.84198201737277"/>
    <n v="0"/>
    <n v="2007.4285199999999"/>
    <n v="7033.3365000000003"/>
    <n v="0"/>
    <n v="2820.6260032252035"/>
    <n v="3833.1890485662248"/>
  </r>
  <r>
    <s v="Regular"/>
    <x v="0"/>
    <x v="3"/>
    <x v="2"/>
    <x v="1"/>
    <x v="0"/>
    <x v="0"/>
    <x v="0"/>
    <x v="5"/>
    <n v="0"/>
    <n v="0"/>
    <n v="368.68900000000002"/>
    <n v="368.68900000000002"/>
    <n v="368.68900000000002"/>
    <n v="368.68900000000002"/>
    <n v="0"/>
    <x v="0"/>
    <n v="0"/>
    <n v="0"/>
    <n v="13"/>
    <n v="69"/>
    <n v="0"/>
    <n v="71.14"/>
    <n v="249.25"/>
    <m/>
    <n v="99.958395464781461"/>
    <n v="135.84198201737277"/>
    <n v="0"/>
    <n v="26228.535460000003"/>
    <n v="91895.733250000005"/>
    <n v="0"/>
    <n v="36853.560865514817"/>
    <n v="50083.444508003151"/>
  </r>
  <r>
    <s v="Sistema de Compensação"/>
    <x v="0"/>
    <x v="3"/>
    <x v="2"/>
    <x v="1"/>
    <x v="0"/>
    <x v="0"/>
    <x v="0"/>
    <x v="5"/>
    <n v="0"/>
    <n v="0"/>
    <n v="24.192"/>
    <n v="24.192"/>
    <n v="24.192"/>
    <n v="24.192"/>
    <n v="0"/>
    <x v="0"/>
    <n v="0"/>
    <n v="0"/>
    <n v="13"/>
    <n v="69"/>
    <n v="0"/>
    <n v="71.14"/>
    <n v="249.25"/>
    <m/>
    <n v="99.958395464781461"/>
    <n v="135.84198201737277"/>
    <n v="0"/>
    <n v="1721.0188800000001"/>
    <n v="6029.8559999999998"/>
    <n v="0"/>
    <n v="2418.1935030839932"/>
    <n v="3286.2892289642823"/>
  </r>
  <r>
    <s v="Regular"/>
    <x v="0"/>
    <x v="3"/>
    <x v="2"/>
    <x v="1"/>
    <x v="0"/>
    <x v="0"/>
    <x v="0"/>
    <x v="6"/>
    <n v="0"/>
    <n v="0"/>
    <n v="381.88099999999997"/>
    <n v="381.88099999999997"/>
    <n v="381.88099999999997"/>
    <n v="381.88099999999997"/>
    <n v="0"/>
    <x v="0"/>
    <n v="0"/>
    <n v="0"/>
    <n v="13"/>
    <n v="69"/>
    <n v="0"/>
    <n v="71.14"/>
    <n v="249.25"/>
    <m/>
    <n v="99.958395464781461"/>
    <n v="135.84198201737277"/>
    <n v="0"/>
    <n v="27167.014339999998"/>
    <n v="95183.83924999999"/>
    <n v="0"/>
    <n v="38172.212018486207"/>
    <n v="51875.471934776324"/>
  </r>
  <r>
    <s v="Sistema de Compensação"/>
    <x v="0"/>
    <x v="3"/>
    <x v="2"/>
    <x v="1"/>
    <x v="0"/>
    <x v="0"/>
    <x v="0"/>
    <x v="6"/>
    <n v="0"/>
    <n v="0"/>
    <n v="21.207000000000001"/>
    <n v="21.207000000000001"/>
    <n v="21.207000000000001"/>
    <n v="21.207000000000001"/>
    <n v="0"/>
    <x v="0"/>
    <n v="0"/>
    <n v="0"/>
    <n v="13"/>
    <n v="69"/>
    <n v="0"/>
    <n v="71.14"/>
    <n v="249.25"/>
    <m/>
    <n v="99.958395464781461"/>
    <n v="135.84198201737277"/>
    <n v="0"/>
    <n v="1508.66598"/>
    <n v="5285.8447500000002"/>
    <n v="0"/>
    <n v="2119.8176926216206"/>
    <n v="2880.8009126424245"/>
  </r>
  <r>
    <s v="Regular"/>
    <x v="0"/>
    <x v="3"/>
    <x v="2"/>
    <x v="1"/>
    <x v="0"/>
    <x v="0"/>
    <x v="0"/>
    <x v="7"/>
    <n v="0"/>
    <n v="0"/>
    <n v="325.738"/>
    <n v="325.738"/>
    <n v="325.738"/>
    <n v="325.738"/>
    <n v="0"/>
    <x v="0"/>
    <n v="0"/>
    <n v="0"/>
    <n v="13"/>
    <n v="69"/>
    <n v="0"/>
    <n v="71.14"/>
    <n v="249.25"/>
    <m/>
    <n v="99.958395464781461"/>
    <n v="135.84198201737277"/>
    <n v="0"/>
    <n v="23173.001319999999"/>
    <n v="81190.196500000005"/>
    <n v="0"/>
    <n v="32560.247821906982"/>
    <n v="44248.895538374971"/>
  </r>
  <r>
    <s v="Sistema de Compensação"/>
    <x v="0"/>
    <x v="3"/>
    <x v="2"/>
    <x v="1"/>
    <x v="0"/>
    <x v="0"/>
    <x v="0"/>
    <x v="7"/>
    <n v="0"/>
    <n v="0"/>
    <n v="12.904"/>
    <n v="12.904"/>
    <n v="12.904"/>
    <n v="12.904"/>
    <n v="0"/>
    <x v="0"/>
    <n v="0"/>
    <n v="0"/>
    <n v="13"/>
    <n v="69"/>
    <n v="0"/>
    <n v="71.14"/>
    <n v="249.25"/>
    <m/>
    <n v="99.958395464781461"/>
    <n v="135.84198201737277"/>
    <n v="0"/>
    <n v="917.99055999999996"/>
    <n v="3216.3220000000001"/>
    <n v="0"/>
    <n v="1289.8631350775399"/>
    <n v="1752.9049359521782"/>
  </r>
  <r>
    <s v="Regular"/>
    <x v="0"/>
    <x v="3"/>
    <x v="2"/>
    <x v="1"/>
    <x v="0"/>
    <x v="0"/>
    <x v="0"/>
    <x v="8"/>
    <n v="0"/>
    <n v="0"/>
    <n v="304.75299999999999"/>
    <n v="304.75299999999999"/>
    <n v="304.75299999999999"/>
    <n v="304.75299999999999"/>
    <n v="0"/>
    <x v="0"/>
    <n v="0"/>
    <n v="0"/>
    <n v="13"/>
    <n v="69"/>
    <n v="0"/>
    <n v="71.14"/>
    <n v="249.25"/>
    <m/>
    <n v="99.958395464781461"/>
    <n v="135.84198201737277"/>
    <n v="0"/>
    <n v="21680.128420000001"/>
    <n v="75959.685249999995"/>
    <n v="0"/>
    <n v="30462.620893078543"/>
    <n v="41398.251545740401"/>
  </r>
  <r>
    <s v="Sistema de Compensação"/>
    <x v="0"/>
    <x v="3"/>
    <x v="2"/>
    <x v="1"/>
    <x v="0"/>
    <x v="0"/>
    <x v="0"/>
    <x v="8"/>
    <n v="0"/>
    <n v="0"/>
    <n v="8.58"/>
    <n v="8.58"/>
    <n v="8.58"/>
    <n v="8.58"/>
    <n v="0"/>
    <x v="0"/>
    <n v="0"/>
    <n v="0"/>
    <n v="13"/>
    <n v="69"/>
    <n v="0"/>
    <n v="71.14"/>
    <n v="249.25"/>
    <m/>
    <n v="99.958395464781461"/>
    <n v="135.84198201737277"/>
    <n v="0"/>
    <n v="610.38120000000004"/>
    <n v="2138.5650000000001"/>
    <n v="0"/>
    <n v="857.64303308782496"/>
    <n v="1165.5242057090584"/>
  </r>
  <r>
    <s v="Regular"/>
    <x v="0"/>
    <x v="3"/>
    <x v="2"/>
    <x v="1"/>
    <x v="0"/>
    <x v="0"/>
    <x v="0"/>
    <x v="9"/>
    <n v="0"/>
    <n v="0"/>
    <n v="282.12700000000001"/>
    <n v="282.12700000000001"/>
    <n v="282.12700000000001"/>
    <n v="282.12700000000001"/>
    <n v="0"/>
    <x v="0"/>
    <n v="0"/>
    <n v="0"/>
    <n v="13"/>
    <n v="69"/>
    <n v="0"/>
    <n v="71.14"/>
    <n v="249.25"/>
    <m/>
    <n v="99.958395464781461"/>
    <n v="135.84198201737277"/>
    <n v="0"/>
    <n v="20070.514780000001"/>
    <n v="70320.154750000002"/>
    <n v="0"/>
    <n v="28200.962237292399"/>
    <n v="38324.69086061533"/>
  </r>
  <r>
    <s v="Sistema de Compensação"/>
    <x v="0"/>
    <x v="3"/>
    <x v="2"/>
    <x v="1"/>
    <x v="0"/>
    <x v="0"/>
    <x v="0"/>
    <x v="9"/>
    <n v="0"/>
    <n v="0"/>
    <n v="13.981999999999999"/>
    <n v="13.981999999999999"/>
    <n v="13.981999999999999"/>
    <n v="13.981999999999999"/>
    <n v="0"/>
    <x v="0"/>
    <n v="0"/>
    <n v="0"/>
    <n v="13"/>
    <n v="69"/>
    <n v="0"/>
    <n v="71.14"/>
    <n v="249.25"/>
    <m/>
    <n v="99.958395464781461"/>
    <n v="135.84198201737277"/>
    <n v="0"/>
    <n v="994.67948000000001"/>
    <n v="3485.0135"/>
    <n v="0"/>
    <n v="1397.6182853885743"/>
    <n v="1899.342592566906"/>
  </r>
  <r>
    <s v="Regular"/>
    <x v="0"/>
    <x v="3"/>
    <x v="2"/>
    <x v="1"/>
    <x v="0"/>
    <x v="0"/>
    <x v="0"/>
    <x v="10"/>
    <n v="0"/>
    <n v="0"/>
    <n v="282.83699999999999"/>
    <n v="282.83699999999999"/>
    <n v="282.83699999999999"/>
    <n v="282.83699999999999"/>
    <n v="0"/>
    <x v="0"/>
    <n v="0"/>
    <n v="0"/>
    <n v="13"/>
    <n v="69"/>
    <n v="0"/>
    <n v="71.14"/>
    <n v="249.25"/>
    <m/>
    <n v="99.958395464781461"/>
    <n v="135.84198201737277"/>
    <n v="0"/>
    <n v="20121.02418"/>
    <n v="70497.12225"/>
    <n v="0"/>
    <n v="28271.932698072393"/>
    <n v="38421.138667847663"/>
  </r>
  <r>
    <s v="Regular"/>
    <x v="0"/>
    <x v="3"/>
    <x v="2"/>
    <x v="1"/>
    <x v="0"/>
    <x v="0"/>
    <x v="0"/>
    <x v="11"/>
    <n v="0"/>
    <n v="0"/>
    <n v="289.649"/>
    <n v="289.649"/>
    <n v="289.649"/>
    <n v="289.649"/>
    <n v="0"/>
    <x v="0"/>
    <n v="0"/>
    <n v="0"/>
    <n v="13"/>
    <n v="69"/>
    <n v="0"/>
    <n v="71.14"/>
    <n v="249.25"/>
    <m/>
    <n v="99.958395464781461"/>
    <n v="135.84198201737277"/>
    <n v="0"/>
    <n v="20605.629860000001"/>
    <n v="72195.013250000004"/>
    <n v="0"/>
    <n v="28952.849287978486"/>
    <n v="39346.494249350006"/>
  </r>
  <r>
    <s v="Sistema de Compensação"/>
    <x v="0"/>
    <x v="3"/>
    <x v="2"/>
    <x v="1"/>
    <x v="0"/>
    <x v="0"/>
    <x v="0"/>
    <x v="11"/>
    <n v="0"/>
    <n v="0"/>
    <n v="7.3029999999999999"/>
    <n v="7.3029999999999999"/>
    <n v="7.3029999999999999"/>
    <n v="7.3029999999999999"/>
    <n v="0"/>
    <x v="0"/>
    <n v="0"/>
    <n v="0"/>
    <n v="13"/>
    <n v="69"/>
    <n v="0"/>
    <n v="71.14"/>
    <n v="249.25"/>
    <m/>
    <n v="99.958395464781461"/>
    <n v="135.84198201737277"/>
    <n v="0"/>
    <n v="519.53542000000004"/>
    <n v="1820.2727500000001"/>
    <n v="0"/>
    <n v="729.99616207929898"/>
    <n v="992.05399467287339"/>
  </r>
  <r>
    <s v="Regular"/>
    <x v="0"/>
    <x v="3"/>
    <x v="2"/>
    <x v="1"/>
    <x v="0"/>
    <x v="0"/>
    <x v="2"/>
    <x v="0"/>
    <n v="1307"/>
    <n v="1307"/>
    <n v="0"/>
    <n v="0"/>
    <n v="0"/>
    <n v="0"/>
    <n v="12"/>
    <x v="0"/>
    <n v="0"/>
    <n v="9"/>
    <n v="0"/>
    <n v="0"/>
    <n v="18.149999999999999"/>
    <n v="0"/>
    <n v="0"/>
    <n v="21.278333841554378"/>
    <m/>
    <m/>
    <n v="23722.05"/>
    <n v="0"/>
    <n v="0"/>
    <n v="27810.782330911574"/>
    <n v="0"/>
    <n v="0"/>
  </r>
  <r>
    <s v="Sistema de Compensação"/>
    <x v="0"/>
    <x v="3"/>
    <x v="2"/>
    <x v="1"/>
    <x v="0"/>
    <x v="0"/>
    <x v="2"/>
    <x v="0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1"/>
    <n v="1332"/>
    <n v="1332"/>
    <n v="0"/>
    <n v="0"/>
    <n v="0"/>
    <n v="0"/>
    <n v="12"/>
    <x v="0"/>
    <n v="0"/>
    <n v="9"/>
    <n v="0"/>
    <n v="0"/>
    <n v="18.149999999999999"/>
    <n v="0"/>
    <n v="0"/>
    <n v="21.278333841554378"/>
    <m/>
    <m/>
    <n v="24175.8"/>
    <n v="0"/>
    <n v="0"/>
    <n v="28342.74067695043"/>
    <n v="0"/>
    <n v="0"/>
  </r>
  <r>
    <s v="Sistema de Compensação"/>
    <x v="0"/>
    <x v="3"/>
    <x v="2"/>
    <x v="1"/>
    <x v="0"/>
    <x v="0"/>
    <x v="2"/>
    <x v="1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2"/>
    <n v="1388"/>
    <n v="1388"/>
    <n v="0"/>
    <n v="0"/>
    <n v="0"/>
    <n v="0"/>
    <n v="12"/>
    <x v="0"/>
    <n v="0"/>
    <n v="9"/>
    <n v="0"/>
    <n v="0"/>
    <n v="18.149999999999999"/>
    <n v="0"/>
    <n v="0"/>
    <n v="21.278333841554378"/>
    <m/>
    <m/>
    <n v="25192.199999999997"/>
    <n v="0"/>
    <n v="0"/>
    <n v="29534.327372077478"/>
    <n v="0"/>
    <n v="0"/>
  </r>
  <r>
    <s v="Sistema de Compensação"/>
    <x v="0"/>
    <x v="3"/>
    <x v="2"/>
    <x v="1"/>
    <x v="0"/>
    <x v="0"/>
    <x v="2"/>
    <x v="2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3"/>
    <n v="1386"/>
    <n v="1386"/>
    <n v="0"/>
    <n v="0"/>
    <n v="0"/>
    <n v="0"/>
    <n v="12"/>
    <x v="0"/>
    <n v="0"/>
    <n v="9"/>
    <n v="0"/>
    <n v="0"/>
    <n v="18.149999999999999"/>
    <n v="0"/>
    <n v="0"/>
    <n v="21.278333841554378"/>
    <m/>
    <m/>
    <n v="25155.899999999998"/>
    <n v="0"/>
    <n v="0"/>
    <n v="29491.770704394366"/>
    <n v="0"/>
    <n v="0"/>
  </r>
  <r>
    <s v="Sistema de Compensação"/>
    <x v="0"/>
    <x v="3"/>
    <x v="2"/>
    <x v="1"/>
    <x v="0"/>
    <x v="0"/>
    <x v="2"/>
    <x v="3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4"/>
    <n v="1425"/>
    <n v="1425"/>
    <n v="0"/>
    <n v="0"/>
    <n v="0"/>
    <n v="0"/>
    <n v="12"/>
    <x v="0"/>
    <n v="0"/>
    <n v="9"/>
    <n v="0"/>
    <n v="0"/>
    <n v="18.149999999999999"/>
    <n v="0"/>
    <n v="0"/>
    <n v="21.278333841554378"/>
    <m/>
    <m/>
    <n v="25863.749999999996"/>
    <n v="0"/>
    <n v="0"/>
    <n v="30321.625724214988"/>
    <n v="0"/>
    <n v="0"/>
  </r>
  <r>
    <s v="Sistema de Compensação"/>
    <x v="0"/>
    <x v="3"/>
    <x v="2"/>
    <x v="1"/>
    <x v="0"/>
    <x v="0"/>
    <x v="2"/>
    <x v="4"/>
    <n v="135"/>
    <n v="135"/>
    <n v="0"/>
    <n v="0"/>
    <n v="0"/>
    <n v="0"/>
    <n v="1"/>
    <x v="0"/>
    <n v="0"/>
    <n v="9"/>
    <n v="0"/>
    <n v="0"/>
    <n v="18.149999999999999"/>
    <n v="0"/>
    <n v="0"/>
    <n v="21.278333841554378"/>
    <m/>
    <m/>
    <n v="2450.25"/>
    <n v="0"/>
    <n v="0"/>
    <n v="2872.5750686098409"/>
    <n v="0"/>
    <n v="0"/>
  </r>
  <r>
    <s v="Regular"/>
    <x v="0"/>
    <x v="3"/>
    <x v="2"/>
    <x v="1"/>
    <x v="0"/>
    <x v="0"/>
    <x v="2"/>
    <x v="5"/>
    <n v="1425"/>
    <n v="1425"/>
    <n v="0"/>
    <n v="0"/>
    <n v="0"/>
    <n v="0"/>
    <n v="12"/>
    <x v="0"/>
    <n v="0"/>
    <n v="9"/>
    <n v="0"/>
    <n v="0"/>
    <n v="18.149999999999999"/>
    <n v="0"/>
    <n v="0"/>
    <n v="21.278333841554378"/>
    <m/>
    <m/>
    <n v="25863.749999999996"/>
    <n v="0"/>
    <n v="0"/>
    <n v="30321.625724214988"/>
    <n v="0"/>
    <n v="0"/>
  </r>
  <r>
    <s v="Sistema de Compensação"/>
    <x v="0"/>
    <x v="3"/>
    <x v="2"/>
    <x v="1"/>
    <x v="0"/>
    <x v="0"/>
    <x v="2"/>
    <x v="5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6"/>
    <n v="1536"/>
    <n v="1536"/>
    <n v="0"/>
    <n v="0"/>
    <n v="0"/>
    <n v="0"/>
    <n v="13"/>
    <x v="0"/>
    <n v="0"/>
    <n v="9"/>
    <n v="0"/>
    <n v="0"/>
    <n v="18.149999999999999"/>
    <n v="0"/>
    <n v="0"/>
    <n v="21.278333841554378"/>
    <m/>
    <m/>
    <n v="27878.399999999998"/>
    <n v="0"/>
    <n v="0"/>
    <n v="32683.520780627525"/>
    <n v="0"/>
    <n v="0"/>
  </r>
  <r>
    <s v="Sistema de Compensação"/>
    <x v="0"/>
    <x v="3"/>
    <x v="2"/>
    <x v="1"/>
    <x v="0"/>
    <x v="0"/>
    <x v="2"/>
    <x v="6"/>
    <n v="133"/>
    <n v="133"/>
    <n v="0"/>
    <n v="0"/>
    <n v="0"/>
    <n v="0"/>
    <n v="1"/>
    <x v="0"/>
    <n v="0"/>
    <n v="9"/>
    <n v="0"/>
    <n v="0"/>
    <n v="18.149999999999999"/>
    <n v="0"/>
    <n v="0"/>
    <n v="21.278333841554378"/>
    <m/>
    <m/>
    <n v="2413.9499999999998"/>
    <n v="0"/>
    <n v="0"/>
    <n v="2830.0184009267323"/>
    <n v="0"/>
    <n v="0"/>
  </r>
  <r>
    <s v="Regular"/>
    <x v="0"/>
    <x v="3"/>
    <x v="2"/>
    <x v="1"/>
    <x v="0"/>
    <x v="0"/>
    <x v="2"/>
    <x v="7"/>
    <n v="1399"/>
    <n v="1399"/>
    <n v="0"/>
    <n v="0"/>
    <n v="0"/>
    <n v="0"/>
    <n v="13"/>
    <x v="0"/>
    <n v="0"/>
    <n v="9"/>
    <n v="0"/>
    <n v="0"/>
    <n v="18.149999999999999"/>
    <n v="0"/>
    <n v="0"/>
    <n v="21.278333841554378"/>
    <m/>
    <m/>
    <n v="25391.85"/>
    <n v="0"/>
    <n v="0"/>
    <n v="29768.389044334574"/>
    <n v="0"/>
    <n v="0"/>
  </r>
  <r>
    <s v="Sistema de Compensação"/>
    <x v="0"/>
    <x v="3"/>
    <x v="2"/>
    <x v="1"/>
    <x v="0"/>
    <x v="0"/>
    <x v="2"/>
    <x v="7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8"/>
    <n v="1380"/>
    <n v="1380"/>
    <n v="0"/>
    <n v="0"/>
    <n v="0"/>
    <n v="0"/>
    <n v="13"/>
    <x v="0"/>
    <n v="0"/>
    <n v="9"/>
    <n v="0"/>
    <n v="0"/>
    <n v="18.149999999999999"/>
    <n v="0"/>
    <n v="0"/>
    <n v="21.278333841554378"/>
    <m/>
    <m/>
    <n v="25046.999999999996"/>
    <n v="0"/>
    <n v="0"/>
    <n v="29364.100701345043"/>
    <n v="0"/>
    <n v="0"/>
  </r>
  <r>
    <s v="Sistema de Compensação"/>
    <x v="0"/>
    <x v="3"/>
    <x v="2"/>
    <x v="1"/>
    <x v="0"/>
    <x v="0"/>
    <x v="2"/>
    <x v="8"/>
    <n v="120"/>
    <n v="120"/>
    <n v="0"/>
    <n v="0"/>
    <n v="0"/>
    <n v="0"/>
    <n v="1"/>
    <x v="0"/>
    <n v="0"/>
    <n v="9"/>
    <n v="0"/>
    <n v="0"/>
    <n v="18.149999999999999"/>
    <n v="0"/>
    <n v="0"/>
    <n v="21.278333841554378"/>
    <m/>
    <m/>
    <n v="2178"/>
    <n v="0"/>
    <n v="0"/>
    <n v="2553.4000609865252"/>
    <n v="0"/>
    <n v="0"/>
  </r>
  <r>
    <s v="Regular"/>
    <x v="0"/>
    <x v="3"/>
    <x v="2"/>
    <x v="1"/>
    <x v="0"/>
    <x v="0"/>
    <x v="2"/>
    <x v="9"/>
    <n v="1460"/>
    <n v="1460"/>
    <n v="0"/>
    <n v="0"/>
    <n v="0"/>
    <n v="0"/>
    <n v="13"/>
    <x v="0"/>
    <n v="0"/>
    <n v="9"/>
    <n v="0"/>
    <n v="0"/>
    <n v="18.149999999999999"/>
    <n v="0"/>
    <n v="0"/>
    <n v="21.278333841554378"/>
    <m/>
    <m/>
    <n v="26498.999999999996"/>
    <n v="0"/>
    <n v="0"/>
    <n v="31066.367408669394"/>
    <n v="0"/>
    <n v="0"/>
  </r>
  <r>
    <s v="Sistema de Compensação"/>
    <x v="0"/>
    <x v="3"/>
    <x v="2"/>
    <x v="1"/>
    <x v="0"/>
    <x v="0"/>
    <x v="2"/>
    <x v="9"/>
    <n v="175"/>
    <n v="175"/>
    <n v="0"/>
    <n v="0"/>
    <n v="0"/>
    <n v="0"/>
    <n v="2"/>
    <x v="0"/>
    <n v="0"/>
    <n v="9"/>
    <n v="0"/>
    <n v="0"/>
    <n v="18.149999999999999"/>
    <n v="0"/>
    <n v="0"/>
    <n v="21.278333841554378"/>
    <m/>
    <m/>
    <n v="3176.2499999999995"/>
    <n v="0"/>
    <n v="0"/>
    <n v="3723.7084222720164"/>
    <n v="0"/>
    <n v="0"/>
  </r>
  <r>
    <s v="Regular"/>
    <x v="0"/>
    <x v="3"/>
    <x v="2"/>
    <x v="1"/>
    <x v="0"/>
    <x v="0"/>
    <x v="2"/>
    <x v="10"/>
    <n v="1445"/>
    <n v="1445"/>
    <n v="0"/>
    <n v="0"/>
    <n v="0"/>
    <n v="0"/>
    <n v="13"/>
    <x v="0"/>
    <n v="0"/>
    <n v="9"/>
    <n v="0"/>
    <n v="0"/>
    <n v="18.149999999999999"/>
    <n v="0"/>
    <n v="0"/>
    <n v="21.278333841554378"/>
    <m/>
    <m/>
    <n v="26226.749999999996"/>
    <n v="0"/>
    <n v="0"/>
    <n v="30747.192401046075"/>
    <n v="0"/>
    <n v="0"/>
  </r>
  <r>
    <s v="Regular"/>
    <x v="0"/>
    <x v="3"/>
    <x v="2"/>
    <x v="1"/>
    <x v="0"/>
    <x v="0"/>
    <x v="2"/>
    <x v="11"/>
    <n v="1421"/>
    <n v="1421"/>
    <n v="0"/>
    <n v="0"/>
    <n v="0"/>
    <n v="0"/>
    <n v="13"/>
    <x v="0"/>
    <n v="0"/>
    <n v="9"/>
    <n v="0"/>
    <n v="0"/>
    <n v="18.149999999999999"/>
    <n v="0"/>
    <n v="0"/>
    <n v="21.278333841554378"/>
    <m/>
    <m/>
    <n v="25791.149999999998"/>
    <n v="0"/>
    <n v="0"/>
    <n v="30236.512388848772"/>
    <n v="0"/>
    <n v="0"/>
  </r>
  <r>
    <s v="Sistema de Compensação"/>
    <x v="0"/>
    <x v="3"/>
    <x v="2"/>
    <x v="1"/>
    <x v="0"/>
    <x v="0"/>
    <x v="2"/>
    <x v="11"/>
    <n v="178"/>
    <n v="178"/>
    <n v="0"/>
    <n v="0"/>
    <n v="0"/>
    <n v="0"/>
    <n v="2"/>
    <x v="0"/>
    <n v="0"/>
    <n v="9"/>
    <n v="0"/>
    <n v="0"/>
    <n v="18.149999999999999"/>
    <n v="0"/>
    <n v="0"/>
    <n v="21.278333841554378"/>
    <m/>
    <m/>
    <n v="3230.7"/>
    <n v="0"/>
    <n v="0"/>
    <n v="3787.5434237966792"/>
    <n v="0"/>
    <n v="0"/>
  </r>
  <r>
    <s v="Regular"/>
    <x v="0"/>
    <x v="3"/>
    <x v="2"/>
    <x v="1"/>
    <x v="0"/>
    <x v="0"/>
    <x v="1"/>
    <x v="0"/>
    <n v="0"/>
    <n v="0"/>
    <n v="29.524000000000001"/>
    <n v="29.524000000000001"/>
    <n v="29.524000000000001"/>
    <n v="29.524000000000001"/>
    <n v="0"/>
    <x v="0"/>
    <n v="0"/>
    <n v="0"/>
    <n v="10"/>
    <n v="77"/>
    <n v="0"/>
    <n v="1426.09"/>
    <n v="249.25"/>
    <m/>
    <n v="1692.6949328691251"/>
    <n v="135.84198201737277"/>
    <n v="0"/>
    <n v="42103.881159999997"/>
    <n v="7358.857"/>
    <n v="0"/>
    <n v="49975.12519802805"/>
    <n v="4010.5986770809136"/>
  </r>
  <r>
    <s v="Sistema de Compensação"/>
    <x v="0"/>
    <x v="3"/>
    <x v="2"/>
    <x v="1"/>
    <x v="0"/>
    <x v="0"/>
    <x v="1"/>
    <x v="0"/>
    <n v="0"/>
    <n v="0"/>
    <n v="3.823"/>
    <n v="3.823"/>
    <n v="3.823"/>
    <n v="3.823"/>
    <n v="0"/>
    <x v="0"/>
    <n v="0"/>
    <n v="0"/>
    <n v="10"/>
    <n v="77"/>
    <n v="0"/>
    <n v="1426.09"/>
    <n v="249.25"/>
    <m/>
    <n v="1692.6949328691251"/>
    <n v="135.84198201737277"/>
    <n v="0"/>
    <n v="5451.9420700000001"/>
    <n v="952.88274999999999"/>
    <n v="0"/>
    <n v="6471.1727283586652"/>
    <n v="519.32389725241615"/>
  </r>
  <r>
    <s v="Regular"/>
    <x v="0"/>
    <x v="3"/>
    <x v="2"/>
    <x v="1"/>
    <x v="0"/>
    <x v="0"/>
    <x v="1"/>
    <x v="1"/>
    <n v="0"/>
    <n v="0"/>
    <n v="30.707000000000001"/>
    <n v="30.707000000000001"/>
    <n v="30.707000000000001"/>
    <n v="30.707000000000001"/>
    <n v="0"/>
    <x v="0"/>
    <n v="0"/>
    <n v="0"/>
    <n v="10"/>
    <n v="77"/>
    <n v="0"/>
    <n v="1426.09"/>
    <n v="249.25"/>
    <m/>
    <n v="1692.6949328691251"/>
    <n v="135.84198201737277"/>
    <n v="0"/>
    <n v="43790.945630000002"/>
    <n v="7653.7197500000002"/>
    <n v="0"/>
    <n v="51977.583303612228"/>
    <n v="4171.2997418074656"/>
  </r>
  <r>
    <s v="Sistema de Compensação"/>
    <x v="0"/>
    <x v="3"/>
    <x v="2"/>
    <x v="1"/>
    <x v="0"/>
    <x v="0"/>
    <x v="1"/>
    <x v="1"/>
    <n v="0"/>
    <n v="0"/>
    <n v="3.6850000000000001"/>
    <n v="3.6850000000000001"/>
    <n v="3.6850000000000001"/>
    <n v="3.6850000000000001"/>
    <n v="0"/>
    <x v="0"/>
    <n v="0"/>
    <n v="0"/>
    <n v="10"/>
    <n v="77"/>
    <n v="0"/>
    <n v="1426.09"/>
    <n v="249.25"/>
    <m/>
    <n v="1692.6949328691251"/>
    <n v="135.84198201737277"/>
    <n v="0"/>
    <n v="5255.1416499999996"/>
    <n v="918.48625000000004"/>
    <n v="0"/>
    <n v="6237.5808276227262"/>
    <n v="500.57770373401866"/>
  </r>
  <r>
    <s v="Regular"/>
    <x v="0"/>
    <x v="3"/>
    <x v="2"/>
    <x v="1"/>
    <x v="0"/>
    <x v="0"/>
    <x v="1"/>
    <x v="2"/>
    <n v="0"/>
    <n v="0"/>
    <n v="33.686"/>
    <n v="33.686"/>
    <n v="33.686"/>
    <n v="33.686"/>
    <n v="0"/>
    <x v="0"/>
    <n v="0"/>
    <n v="0"/>
    <n v="10"/>
    <n v="77"/>
    <n v="0"/>
    <n v="1426.09"/>
    <n v="249.25"/>
    <m/>
    <n v="1692.6949328691251"/>
    <n v="135.84198201737277"/>
    <n v="0"/>
    <n v="48039.267739999996"/>
    <n v="8396.2355000000007"/>
    <n v="0"/>
    <n v="57020.121508629345"/>
    <n v="4575.9730062372191"/>
  </r>
  <r>
    <s v="Sistema de Compensação"/>
    <x v="0"/>
    <x v="3"/>
    <x v="2"/>
    <x v="1"/>
    <x v="0"/>
    <x v="0"/>
    <x v="1"/>
    <x v="2"/>
    <n v="0"/>
    <n v="0"/>
    <n v="4.4489999999999998"/>
    <n v="4.4489999999999998"/>
    <n v="4.4489999999999998"/>
    <n v="4.4489999999999998"/>
    <n v="0"/>
    <x v="0"/>
    <n v="0"/>
    <n v="0"/>
    <n v="10"/>
    <n v="77"/>
    <n v="0"/>
    <n v="1426.09"/>
    <n v="249.25"/>
    <m/>
    <n v="1692.6949328691251"/>
    <n v="135.84198201737277"/>
    <n v="0"/>
    <n v="6344.6744099999996"/>
    <n v="1108.9132500000001"/>
    <n v="0"/>
    <n v="7530.7997563347371"/>
    <n v="604.36097799529148"/>
  </r>
  <r>
    <s v="Regular"/>
    <x v="0"/>
    <x v="3"/>
    <x v="2"/>
    <x v="1"/>
    <x v="0"/>
    <x v="0"/>
    <x v="1"/>
    <x v="3"/>
    <n v="0"/>
    <n v="0"/>
    <n v="36.746000000000002"/>
    <n v="36.746000000000002"/>
    <n v="36.746000000000002"/>
    <n v="36.746000000000002"/>
    <n v="0"/>
    <x v="0"/>
    <n v="0"/>
    <n v="0"/>
    <n v="10"/>
    <n v="77"/>
    <n v="0"/>
    <n v="1426.09"/>
    <n v="249.25"/>
    <m/>
    <n v="1692.6949328691251"/>
    <n v="135.84198201737277"/>
    <n v="0"/>
    <n v="52403.103139999999"/>
    <n v="9158.9405000000006"/>
    <n v="0"/>
    <n v="62199.768003208876"/>
    <n v="4991.6494712103804"/>
  </r>
  <r>
    <s v="Sistema de Compensação"/>
    <x v="0"/>
    <x v="3"/>
    <x v="2"/>
    <x v="1"/>
    <x v="0"/>
    <x v="0"/>
    <x v="1"/>
    <x v="3"/>
    <n v="0"/>
    <n v="0"/>
    <n v="4.6210000000000004"/>
    <n v="4.6210000000000004"/>
    <n v="4.6210000000000004"/>
    <n v="4.6210000000000004"/>
    <n v="0"/>
    <x v="0"/>
    <n v="0"/>
    <n v="0"/>
    <n v="10"/>
    <n v="77"/>
    <n v="0"/>
    <n v="1426.09"/>
    <n v="249.25"/>
    <m/>
    <n v="1692.6949328691251"/>
    <n v="135.84198201737277"/>
    <n v="0"/>
    <n v="6589.9618900000005"/>
    <n v="1151.7842500000002"/>
    <n v="0"/>
    <n v="7821.9432847882281"/>
    <n v="627.72579890227962"/>
  </r>
  <r>
    <s v="Regular"/>
    <x v="0"/>
    <x v="3"/>
    <x v="2"/>
    <x v="1"/>
    <x v="0"/>
    <x v="0"/>
    <x v="1"/>
    <x v="4"/>
    <n v="0"/>
    <n v="0"/>
    <n v="38.350999999999999"/>
    <n v="38.350999999999999"/>
    <n v="38.350999999999999"/>
    <n v="38.350999999999999"/>
    <n v="0"/>
    <x v="0"/>
    <n v="0"/>
    <n v="0"/>
    <n v="10"/>
    <n v="77"/>
    <n v="0"/>
    <n v="1426.09"/>
    <n v="249.25"/>
    <m/>
    <n v="1692.6949328691251"/>
    <n v="135.84198201737277"/>
    <n v="0"/>
    <n v="54691.977589999995"/>
    <n v="9558.98675"/>
    <n v="0"/>
    <n v="64916.543370463813"/>
    <n v="5209.6758523482631"/>
  </r>
  <r>
    <s v="Sistema de Compensação"/>
    <x v="0"/>
    <x v="3"/>
    <x v="2"/>
    <x v="1"/>
    <x v="0"/>
    <x v="0"/>
    <x v="1"/>
    <x v="4"/>
    <n v="0"/>
    <n v="0"/>
    <n v="6.48"/>
    <n v="6.48"/>
    <n v="6.48"/>
    <n v="6.48"/>
    <n v="0"/>
    <x v="0"/>
    <n v="0"/>
    <n v="0"/>
    <n v="10"/>
    <n v="77"/>
    <n v="0"/>
    <n v="1426.09"/>
    <n v="249.25"/>
    <m/>
    <n v="1692.6949328691251"/>
    <n v="135.84198201737277"/>
    <n v="0"/>
    <n v="9241.0632000000005"/>
    <n v="1615.14"/>
    <n v="0"/>
    <n v="10968.663164991931"/>
    <n v="880.25604347257558"/>
  </r>
  <r>
    <s v="Regular"/>
    <x v="0"/>
    <x v="3"/>
    <x v="2"/>
    <x v="1"/>
    <x v="0"/>
    <x v="0"/>
    <x v="1"/>
    <x v="5"/>
    <n v="0"/>
    <n v="0"/>
    <n v="33.164999999999999"/>
    <n v="33.164999999999999"/>
    <n v="33.164999999999999"/>
    <n v="33.164999999999999"/>
    <n v="0"/>
    <x v="0"/>
    <n v="0"/>
    <n v="0"/>
    <n v="10"/>
    <n v="77"/>
    <n v="0"/>
    <n v="1426.09"/>
    <n v="249.25"/>
    <m/>
    <n v="1692.6949328691251"/>
    <n v="135.84198201737277"/>
    <n v="0"/>
    <n v="47296.274849999994"/>
    <n v="8266.3762499999993"/>
    <n v="0"/>
    <n v="56138.227448604528"/>
    <n v="4505.1993336061678"/>
  </r>
  <r>
    <s v="Sistema de Compensação"/>
    <x v="0"/>
    <x v="3"/>
    <x v="2"/>
    <x v="1"/>
    <x v="0"/>
    <x v="0"/>
    <x v="1"/>
    <x v="5"/>
    <n v="0"/>
    <n v="0"/>
    <n v="5.5640000000000001"/>
    <n v="5.5640000000000001"/>
    <n v="5.5640000000000001"/>
    <n v="5.5640000000000001"/>
    <n v="0"/>
    <x v="0"/>
    <n v="0"/>
    <n v="0"/>
    <n v="10"/>
    <n v="77"/>
    <n v="0"/>
    <n v="1426.09"/>
    <n v="249.25"/>
    <m/>
    <n v="1692.6949328691251"/>
    <n v="135.84198201737277"/>
    <n v="0"/>
    <n v="7934.76476"/>
    <n v="1386.827"/>
    <n v="0"/>
    <n v="9418.1546064838112"/>
    <n v="755.82478794466215"/>
  </r>
  <r>
    <s v="Regular"/>
    <x v="0"/>
    <x v="3"/>
    <x v="2"/>
    <x v="1"/>
    <x v="0"/>
    <x v="0"/>
    <x v="1"/>
    <x v="6"/>
    <n v="0"/>
    <n v="0"/>
    <n v="35.601999999999997"/>
    <n v="35.601999999999997"/>
    <n v="35.601999999999997"/>
    <n v="35.601999999999997"/>
    <n v="0"/>
    <x v="0"/>
    <n v="0"/>
    <n v="0"/>
    <n v="10"/>
    <n v="77"/>
    <n v="0"/>
    <n v="1426.09"/>
    <n v="249.25"/>
    <m/>
    <n v="1692.6949328691251"/>
    <n v="135.84198201737277"/>
    <n v="0"/>
    <n v="50771.656179999991"/>
    <n v="8873.798499999999"/>
    <n v="0"/>
    <n v="60263.325000006582"/>
    <n v="4836.2462437825052"/>
  </r>
  <r>
    <s v="Sistema de Compensação"/>
    <x v="0"/>
    <x v="3"/>
    <x v="2"/>
    <x v="1"/>
    <x v="0"/>
    <x v="0"/>
    <x v="1"/>
    <x v="6"/>
    <n v="0"/>
    <n v="0"/>
    <n v="4.49"/>
    <n v="4.49"/>
    <n v="4.49"/>
    <n v="4.49"/>
    <n v="0"/>
    <x v="0"/>
    <n v="0"/>
    <n v="0"/>
    <n v="10"/>
    <n v="77"/>
    <n v="0"/>
    <n v="1426.09"/>
    <n v="249.25"/>
    <m/>
    <n v="1692.6949328691251"/>
    <n v="135.84198201737277"/>
    <n v="0"/>
    <n v="6403.1440999999995"/>
    <n v="1119.1325000000002"/>
    <n v="0"/>
    <n v="7600.2002485823723"/>
    <n v="609.93049925800381"/>
  </r>
  <r>
    <s v="Regular"/>
    <x v="0"/>
    <x v="3"/>
    <x v="2"/>
    <x v="1"/>
    <x v="0"/>
    <x v="0"/>
    <x v="1"/>
    <x v="7"/>
    <n v="0"/>
    <n v="0"/>
    <n v="27.852"/>
    <n v="27.852"/>
    <n v="27.852"/>
    <n v="27.852"/>
    <n v="0"/>
    <x v="0"/>
    <n v="0"/>
    <n v="0"/>
    <n v="10"/>
    <n v="77"/>
    <n v="0"/>
    <n v="1426.09"/>
    <n v="249.25"/>
    <m/>
    <n v="1692.6949328691251"/>
    <n v="135.84198201737277"/>
    <n v="0"/>
    <n v="39719.458679999996"/>
    <n v="6942.1109999999999"/>
    <n v="0"/>
    <n v="47144.939270270872"/>
    <n v="3783.4708831478665"/>
  </r>
  <r>
    <s v="Sistema de Compensação"/>
    <x v="0"/>
    <x v="3"/>
    <x v="2"/>
    <x v="1"/>
    <x v="0"/>
    <x v="0"/>
    <x v="1"/>
    <x v="7"/>
    <n v="0"/>
    <n v="0"/>
    <n v="3.7040000000000002"/>
    <n v="3.7040000000000002"/>
    <n v="3.7040000000000002"/>
    <n v="3.7040000000000002"/>
    <n v="0"/>
    <x v="0"/>
    <n v="0"/>
    <n v="0"/>
    <n v="10"/>
    <n v="77"/>
    <n v="0"/>
    <n v="1426.09"/>
    <n v="249.25"/>
    <m/>
    <n v="1692.6949328691251"/>
    <n v="135.84198201737277"/>
    <n v="0"/>
    <n v="5282.2373600000001"/>
    <n v="923.22200000000009"/>
    <n v="0"/>
    <n v="6269.7420313472394"/>
    <n v="503.15870139234875"/>
  </r>
  <r>
    <s v="Regular"/>
    <x v="0"/>
    <x v="3"/>
    <x v="2"/>
    <x v="1"/>
    <x v="0"/>
    <x v="0"/>
    <x v="1"/>
    <x v="8"/>
    <n v="0"/>
    <n v="0"/>
    <n v="24.446000000000002"/>
    <n v="24.446000000000002"/>
    <n v="24.446000000000002"/>
    <n v="24.446000000000002"/>
    <n v="0"/>
    <x v="0"/>
    <n v="0"/>
    <n v="0"/>
    <n v="10"/>
    <n v="77"/>
    <n v="0"/>
    <n v="1426.09"/>
    <n v="249.25"/>
    <m/>
    <n v="1692.6949328691251"/>
    <n v="135.84198201737277"/>
    <n v="0"/>
    <n v="34862.19614"/>
    <n v="6093.1655000000001"/>
    <n v="0"/>
    <n v="41379.620328918631"/>
    <n v="3320.7930923966951"/>
  </r>
  <r>
    <s v="Sistema de Compensação"/>
    <x v="0"/>
    <x v="3"/>
    <x v="2"/>
    <x v="1"/>
    <x v="0"/>
    <x v="0"/>
    <x v="1"/>
    <x v="8"/>
    <n v="0"/>
    <n v="0"/>
    <n v="3.0270000000000001"/>
    <n v="3.0270000000000001"/>
    <n v="3.0270000000000001"/>
    <n v="3.0270000000000001"/>
    <n v="0"/>
    <x v="0"/>
    <n v="0"/>
    <n v="0"/>
    <n v="10"/>
    <n v="77"/>
    <n v="0"/>
    <n v="1426.09"/>
    <n v="249.25"/>
    <m/>
    <n v="1692.6949328691251"/>
    <n v="135.84198201737277"/>
    <n v="0"/>
    <n v="4316.7744300000004"/>
    <n v="754.47975000000008"/>
    <n v="0"/>
    <n v="5123.7875617948421"/>
    <n v="411.19367956658738"/>
  </r>
  <r>
    <s v="Regular"/>
    <x v="0"/>
    <x v="3"/>
    <x v="2"/>
    <x v="1"/>
    <x v="0"/>
    <x v="0"/>
    <x v="1"/>
    <x v="9"/>
    <n v="0"/>
    <n v="0"/>
    <n v="20.832999999999998"/>
    <n v="20.832999999999998"/>
    <n v="20.832999999999998"/>
    <n v="20.832999999999998"/>
    <n v="0"/>
    <x v="0"/>
    <n v="0"/>
    <n v="0"/>
    <n v="10"/>
    <n v="77"/>
    <n v="0"/>
    <n v="1426.09"/>
    <n v="249.25"/>
    <m/>
    <n v="1692.6949328691251"/>
    <n v="135.84198201737277"/>
    <n v="0"/>
    <n v="29709.732969999997"/>
    <n v="5192.6252500000001"/>
    <n v="0"/>
    <n v="35263.913536462482"/>
    <n v="2829.9960113679267"/>
  </r>
  <r>
    <s v="Sistema de Compensação"/>
    <x v="0"/>
    <x v="3"/>
    <x v="2"/>
    <x v="1"/>
    <x v="0"/>
    <x v="0"/>
    <x v="1"/>
    <x v="9"/>
    <n v="0"/>
    <n v="0"/>
    <n v="3.5369999999999999"/>
    <n v="3.5369999999999999"/>
    <n v="3.5369999999999999"/>
    <n v="3.5369999999999999"/>
    <n v="0"/>
    <x v="0"/>
    <n v="0"/>
    <n v="0"/>
    <n v="10"/>
    <n v="77"/>
    <n v="0"/>
    <n v="1426.09"/>
    <n v="249.25"/>
    <m/>
    <n v="1692.6949328691251"/>
    <n v="135.84198201737277"/>
    <n v="0"/>
    <n v="5044.0803299999998"/>
    <n v="881.59725000000003"/>
    <n v="0"/>
    <n v="5987.0619775580954"/>
    <n v="480.47309039544746"/>
  </r>
  <r>
    <s v="Regular"/>
    <x v="0"/>
    <x v="3"/>
    <x v="2"/>
    <x v="1"/>
    <x v="0"/>
    <x v="0"/>
    <x v="1"/>
    <x v="10"/>
    <n v="0"/>
    <n v="0"/>
    <n v="20.38"/>
    <n v="20.38"/>
    <n v="20.38"/>
    <n v="20.38"/>
    <n v="0"/>
    <x v="0"/>
    <n v="0"/>
    <n v="0"/>
    <n v="10"/>
    <n v="77"/>
    <n v="0"/>
    <n v="1426.09"/>
    <n v="249.25"/>
    <m/>
    <n v="1692.6949328691251"/>
    <n v="135.84198201737277"/>
    <n v="0"/>
    <n v="29063.714199999999"/>
    <n v="5079.7150000000001"/>
    <n v="0"/>
    <n v="34497.122731872769"/>
    <n v="2768.4595935140569"/>
  </r>
  <r>
    <s v="Regular"/>
    <x v="0"/>
    <x v="3"/>
    <x v="2"/>
    <x v="1"/>
    <x v="0"/>
    <x v="0"/>
    <x v="1"/>
    <x v="11"/>
    <n v="0"/>
    <n v="0"/>
    <n v="22.19"/>
    <n v="22.19"/>
    <n v="22.19"/>
    <n v="22.19"/>
    <n v="0"/>
    <x v="0"/>
    <n v="0"/>
    <n v="0"/>
    <n v="10"/>
    <n v="77"/>
    <n v="0"/>
    <n v="1426.09"/>
    <n v="249.25"/>
    <m/>
    <n v="1692.6949328691251"/>
    <n v="135.84198201737277"/>
    <n v="0"/>
    <n v="31644.937099999999"/>
    <n v="5530.8575000000001"/>
    <n v="0"/>
    <n v="37560.900560365888"/>
    <n v="3014.3335809655018"/>
  </r>
  <r>
    <s v="Sistema de Compensação"/>
    <x v="0"/>
    <x v="3"/>
    <x v="2"/>
    <x v="1"/>
    <x v="0"/>
    <x v="0"/>
    <x v="1"/>
    <x v="11"/>
    <n v="0"/>
    <n v="0"/>
    <n v="4.1639999999999997"/>
    <n v="4.1639999999999997"/>
    <n v="4.1639999999999997"/>
    <n v="4.1639999999999997"/>
    <n v="0"/>
    <x v="0"/>
    <n v="0"/>
    <n v="0"/>
    <n v="10"/>
    <n v="77"/>
    <n v="0"/>
    <n v="1426.09"/>
    <n v="249.25"/>
    <m/>
    <n v="1692.6949328691251"/>
    <n v="135.84198201737277"/>
    <n v="0"/>
    <n v="5938.2387599999993"/>
    <n v="1037.877"/>
    <n v="0"/>
    <n v="7048.3817004670364"/>
    <n v="565.64601312034017"/>
  </r>
  <r>
    <s v="Regular"/>
    <x v="0"/>
    <x v="3"/>
    <x v="3"/>
    <x v="1"/>
    <x v="2"/>
    <x v="0"/>
    <x v="0"/>
    <x v="0"/>
    <n v="0"/>
    <n v="0"/>
    <n v="6.2770000000000001"/>
    <n v="6.2770000000000001"/>
    <n v="0"/>
    <n v="0"/>
    <n v="0"/>
    <x v="3"/>
    <n v="0"/>
    <n v="0"/>
    <n v="5"/>
    <n v="0"/>
    <n v="0"/>
    <n v="11.28"/>
    <n v="0"/>
    <m/>
    <n v="6.9040348860227052"/>
    <m/>
    <n v="0"/>
    <n v="70.804559999999995"/>
    <n v="0"/>
    <n v="0"/>
    <n v="43.336626979564521"/>
    <n v="0"/>
  </r>
  <r>
    <s v="Regular"/>
    <x v="0"/>
    <x v="3"/>
    <x v="3"/>
    <x v="1"/>
    <x v="2"/>
    <x v="0"/>
    <x v="0"/>
    <x v="1"/>
    <n v="0"/>
    <n v="0"/>
    <n v="0.56899999999999995"/>
    <n v="0.56899999999999995"/>
    <n v="0"/>
    <n v="0"/>
    <n v="0"/>
    <x v="3"/>
    <n v="0"/>
    <n v="0"/>
    <n v="5"/>
    <n v="0"/>
    <n v="0"/>
    <n v="11.28"/>
    <n v="0"/>
    <m/>
    <n v="6.9040348860227052"/>
    <m/>
    <n v="0"/>
    <n v="6.4183199999999987"/>
    <n v="0"/>
    <n v="0"/>
    <n v="3.9283958501469187"/>
    <n v="0"/>
  </r>
  <r>
    <s v="Regular"/>
    <x v="0"/>
    <x v="3"/>
    <x v="3"/>
    <x v="1"/>
    <x v="2"/>
    <x v="0"/>
    <x v="0"/>
    <x v="2"/>
    <n v="0"/>
    <n v="0"/>
    <n v="2.83"/>
    <n v="2.83"/>
    <n v="0"/>
    <n v="0"/>
    <n v="0"/>
    <x v="3"/>
    <n v="0"/>
    <n v="0"/>
    <n v="5"/>
    <n v="0"/>
    <n v="0"/>
    <n v="11.28"/>
    <n v="0"/>
    <m/>
    <n v="6.9040348860227052"/>
    <m/>
    <n v="0"/>
    <n v="31.9224"/>
    <n v="0"/>
    <n v="0"/>
    <n v="19.538418727444256"/>
    <n v="0"/>
  </r>
  <r>
    <s v="Regular"/>
    <x v="0"/>
    <x v="3"/>
    <x v="3"/>
    <x v="1"/>
    <x v="2"/>
    <x v="0"/>
    <x v="0"/>
    <x v="3"/>
    <n v="0"/>
    <n v="0"/>
    <n v="1.4339999999999999"/>
    <n v="1.4339999999999999"/>
    <n v="0"/>
    <n v="0"/>
    <n v="0"/>
    <x v="3"/>
    <n v="0"/>
    <n v="0"/>
    <n v="5"/>
    <n v="0"/>
    <n v="0"/>
    <n v="11.28"/>
    <n v="0"/>
    <m/>
    <n v="6.9040348860227052"/>
    <m/>
    <n v="0"/>
    <n v="16.175519999999999"/>
    <n v="0"/>
    <n v="0"/>
    <n v="9.9003860265565589"/>
    <n v="0"/>
  </r>
  <r>
    <s v="Regular"/>
    <x v="0"/>
    <x v="3"/>
    <x v="3"/>
    <x v="1"/>
    <x v="2"/>
    <x v="0"/>
    <x v="0"/>
    <x v="4"/>
    <n v="0"/>
    <n v="0"/>
    <n v="4.8289999999999997"/>
    <n v="4.8289999999999997"/>
    <n v="0"/>
    <n v="0"/>
    <n v="0"/>
    <x v="3"/>
    <n v="0"/>
    <n v="0"/>
    <n v="5"/>
    <n v="0"/>
    <n v="0"/>
    <n v="11.28"/>
    <n v="0"/>
    <m/>
    <n v="6.9040348860227052"/>
    <m/>
    <n v="0"/>
    <n v="54.471119999999992"/>
    <n v="0"/>
    <n v="0"/>
    <n v="33.339584464603639"/>
    <n v="0"/>
  </r>
  <r>
    <s v="Regular"/>
    <x v="0"/>
    <x v="3"/>
    <x v="3"/>
    <x v="1"/>
    <x v="2"/>
    <x v="0"/>
    <x v="0"/>
    <x v="5"/>
    <n v="0"/>
    <n v="0"/>
    <n v="3.5619999999999998"/>
    <n v="3.5619999999999998"/>
    <n v="0"/>
    <n v="0"/>
    <n v="0"/>
    <x v="3"/>
    <n v="0"/>
    <n v="0"/>
    <n v="5"/>
    <n v="0"/>
    <n v="0"/>
    <n v="11.28"/>
    <n v="0"/>
    <m/>
    <n v="6.9040348860227052"/>
    <m/>
    <n v="0"/>
    <n v="40.179359999999996"/>
    <n v="0"/>
    <n v="0"/>
    <n v="24.592172264012873"/>
    <n v="0"/>
  </r>
  <r>
    <s v="Regular"/>
    <x v="0"/>
    <x v="3"/>
    <x v="3"/>
    <x v="1"/>
    <x v="2"/>
    <x v="0"/>
    <x v="0"/>
    <x v="6"/>
    <n v="0"/>
    <n v="0"/>
    <n v="0.72499999999999998"/>
    <n v="0.72499999999999998"/>
    <n v="0"/>
    <n v="0"/>
    <n v="0"/>
    <x v="3"/>
    <n v="0"/>
    <n v="0"/>
    <n v="5"/>
    <n v="0"/>
    <n v="0"/>
    <n v="11.28"/>
    <n v="0"/>
    <m/>
    <n v="6.9040348860227052"/>
    <m/>
    <n v="0"/>
    <n v="8.177999999999999"/>
    <n v="0"/>
    <n v="0"/>
    <n v="5.0054252923664615"/>
    <n v="0"/>
  </r>
  <r>
    <s v="Regular"/>
    <x v="0"/>
    <x v="3"/>
    <x v="3"/>
    <x v="1"/>
    <x v="2"/>
    <x v="0"/>
    <x v="0"/>
    <x v="7"/>
    <n v="0"/>
    <n v="0"/>
    <n v="2.2400000000000002"/>
    <n v="2.2400000000000002"/>
    <n v="0"/>
    <n v="0"/>
    <n v="0"/>
    <x v="3"/>
    <n v="0"/>
    <n v="0"/>
    <n v="5"/>
    <n v="0"/>
    <n v="0"/>
    <n v="11.28"/>
    <n v="0"/>
    <m/>
    <n v="6.9040348860227052"/>
    <m/>
    <n v="0"/>
    <n v="25.267200000000003"/>
    <n v="0"/>
    <n v="0"/>
    <n v="15.465038144690862"/>
    <n v="0"/>
  </r>
  <r>
    <s v="Regular"/>
    <x v="0"/>
    <x v="3"/>
    <x v="3"/>
    <x v="1"/>
    <x v="2"/>
    <x v="0"/>
    <x v="0"/>
    <x v="8"/>
    <n v="0"/>
    <n v="0"/>
    <n v="14.170999999999999"/>
    <n v="14.170999999999999"/>
    <n v="0"/>
    <n v="0"/>
    <n v="0"/>
    <x v="3"/>
    <n v="0"/>
    <n v="0"/>
    <n v="5"/>
    <n v="0"/>
    <n v="0"/>
    <n v="11.28"/>
    <n v="0"/>
    <m/>
    <n v="6.9040348860227052"/>
    <m/>
    <n v="0"/>
    <n v="159.84887999999998"/>
    <n v="0"/>
    <n v="0"/>
    <n v="97.837078369827751"/>
    <n v="0"/>
  </r>
  <r>
    <s v="Regular"/>
    <x v="0"/>
    <x v="3"/>
    <x v="3"/>
    <x v="1"/>
    <x v="2"/>
    <x v="0"/>
    <x v="0"/>
    <x v="9"/>
    <n v="0"/>
    <n v="0"/>
    <n v="9.1029999999999998"/>
    <n v="9.1029999999999998"/>
    <n v="0"/>
    <n v="0"/>
    <n v="0"/>
    <x v="3"/>
    <n v="0"/>
    <n v="0"/>
    <n v="5"/>
    <n v="0"/>
    <n v="0"/>
    <n v="11.28"/>
    <n v="0"/>
    <m/>
    <n v="6.9040348860227052"/>
    <m/>
    <n v="0"/>
    <n v="102.68183999999999"/>
    <n v="0"/>
    <n v="0"/>
    <n v="62.847429567464687"/>
    <n v="0"/>
  </r>
  <r>
    <s v="Regular"/>
    <x v="0"/>
    <x v="3"/>
    <x v="3"/>
    <x v="1"/>
    <x v="2"/>
    <x v="0"/>
    <x v="0"/>
    <x v="10"/>
    <n v="0"/>
    <n v="0"/>
    <n v="9.84"/>
    <n v="9.84"/>
    <n v="0"/>
    <n v="0"/>
    <n v="0"/>
    <x v="3"/>
    <n v="0"/>
    <n v="0"/>
    <n v="5"/>
    <n v="0"/>
    <n v="0"/>
    <n v="11.28"/>
    <n v="0"/>
    <m/>
    <n v="6.9040348860227052"/>
    <m/>
    <n v="0"/>
    <n v="110.9952"/>
    <n v="0"/>
    <n v="0"/>
    <n v="67.935703278463421"/>
    <n v="0"/>
  </r>
  <r>
    <s v="Regular"/>
    <x v="0"/>
    <x v="3"/>
    <x v="3"/>
    <x v="1"/>
    <x v="2"/>
    <x v="0"/>
    <x v="0"/>
    <x v="11"/>
    <n v="0"/>
    <n v="0"/>
    <n v="9.7360000000000007"/>
    <n v="9.7360000000000007"/>
    <n v="0"/>
    <n v="0"/>
    <n v="0"/>
    <x v="3"/>
    <n v="0"/>
    <n v="0"/>
    <n v="5"/>
    <n v="0"/>
    <n v="0"/>
    <n v="11.28"/>
    <n v="0"/>
    <m/>
    <n v="6.9040348860227052"/>
    <m/>
    <n v="0"/>
    <n v="109.82208"/>
    <n v="0"/>
    <n v="0"/>
    <n v="67.217683650317056"/>
    <n v="0"/>
  </r>
  <r>
    <s v="Regular"/>
    <x v="0"/>
    <x v="3"/>
    <x v="3"/>
    <x v="1"/>
    <x v="2"/>
    <x v="0"/>
    <x v="2"/>
    <x v="0"/>
    <n v="234"/>
    <n v="234"/>
    <n v="0"/>
    <n v="0"/>
    <n v="0"/>
    <n v="0"/>
    <n v="1"/>
    <x v="3"/>
    <n v="0"/>
    <n v="9"/>
    <n v="0"/>
    <n v="0"/>
    <n v="18.149999999999999"/>
    <n v="0"/>
    <n v="0"/>
    <n v="21.278333841554378"/>
    <m/>
    <m/>
    <n v="4247.0999999999995"/>
    <n v="0"/>
    <n v="0"/>
    <n v="4979.1301189237247"/>
    <n v="0"/>
    <n v="0"/>
  </r>
  <r>
    <s v="Regular"/>
    <x v="0"/>
    <x v="3"/>
    <x v="3"/>
    <x v="1"/>
    <x v="2"/>
    <x v="0"/>
    <x v="2"/>
    <x v="1"/>
    <n v="132"/>
    <n v="132"/>
    <n v="0"/>
    <n v="0"/>
    <n v="0"/>
    <n v="0"/>
    <n v="1"/>
    <x v="3"/>
    <n v="0"/>
    <n v="9"/>
    <n v="0"/>
    <n v="0"/>
    <n v="18.149999999999999"/>
    <n v="0"/>
    <n v="0"/>
    <n v="21.278333841554378"/>
    <m/>
    <m/>
    <n v="2395.7999999999997"/>
    <n v="0"/>
    <n v="0"/>
    <n v="2808.740067085178"/>
    <n v="0"/>
    <n v="0"/>
  </r>
  <r>
    <s v="Regular"/>
    <x v="0"/>
    <x v="3"/>
    <x v="3"/>
    <x v="1"/>
    <x v="2"/>
    <x v="0"/>
    <x v="2"/>
    <x v="2"/>
    <n v="368"/>
    <n v="368"/>
    <n v="0"/>
    <n v="0"/>
    <n v="0"/>
    <n v="0"/>
    <n v="1"/>
    <x v="3"/>
    <n v="0"/>
    <n v="9"/>
    <n v="0"/>
    <n v="0"/>
    <n v="18.149999999999999"/>
    <n v="0"/>
    <n v="0"/>
    <n v="21.278333841554378"/>
    <m/>
    <m/>
    <n v="6679.2"/>
    <n v="0"/>
    <n v="0"/>
    <n v="7830.4268536920108"/>
    <n v="0"/>
    <n v="0"/>
  </r>
  <r>
    <s v="Regular"/>
    <x v="0"/>
    <x v="3"/>
    <x v="3"/>
    <x v="1"/>
    <x v="2"/>
    <x v="0"/>
    <x v="2"/>
    <x v="3"/>
    <n v="261"/>
    <n v="261"/>
    <n v="0"/>
    <n v="0"/>
    <n v="0"/>
    <n v="0"/>
    <n v="1"/>
    <x v="3"/>
    <n v="0"/>
    <n v="9"/>
    <n v="0"/>
    <n v="0"/>
    <n v="18.149999999999999"/>
    <n v="0"/>
    <n v="0"/>
    <n v="21.278333841554378"/>
    <m/>
    <m/>
    <n v="4737.1499999999996"/>
    <n v="0"/>
    <n v="0"/>
    <n v="5553.6451326456927"/>
    <n v="0"/>
    <n v="0"/>
  </r>
  <r>
    <s v="Regular"/>
    <x v="0"/>
    <x v="3"/>
    <x v="3"/>
    <x v="1"/>
    <x v="2"/>
    <x v="0"/>
    <x v="2"/>
    <x v="4"/>
    <n v="396"/>
    <n v="396"/>
    <n v="0"/>
    <n v="0"/>
    <n v="0"/>
    <n v="0"/>
    <n v="1"/>
    <x v="3"/>
    <n v="0"/>
    <n v="9"/>
    <n v="0"/>
    <n v="0"/>
    <n v="18.149999999999999"/>
    <n v="0"/>
    <n v="0"/>
    <n v="21.278333841554378"/>
    <m/>
    <m/>
    <n v="7187.4"/>
    <n v="0"/>
    <n v="0"/>
    <n v="8426.2202012555335"/>
    <n v="0"/>
    <n v="0"/>
  </r>
  <r>
    <s v="Regular"/>
    <x v="0"/>
    <x v="3"/>
    <x v="3"/>
    <x v="1"/>
    <x v="2"/>
    <x v="0"/>
    <x v="2"/>
    <x v="5"/>
    <n v="380"/>
    <n v="380"/>
    <n v="0"/>
    <n v="0"/>
    <n v="0"/>
    <n v="0"/>
    <n v="1"/>
    <x v="3"/>
    <n v="0"/>
    <n v="9"/>
    <n v="0"/>
    <n v="0"/>
    <n v="18.149999999999999"/>
    <n v="0"/>
    <n v="0"/>
    <n v="21.278333841554378"/>
    <m/>
    <m/>
    <n v="6896.9999999999991"/>
    <n v="0"/>
    <n v="0"/>
    <n v="8085.7668597906641"/>
    <n v="0"/>
    <n v="0"/>
  </r>
  <r>
    <s v="Regular"/>
    <x v="0"/>
    <x v="3"/>
    <x v="3"/>
    <x v="1"/>
    <x v="2"/>
    <x v="0"/>
    <x v="2"/>
    <x v="6"/>
    <n v="174"/>
    <n v="174"/>
    <n v="0"/>
    <n v="0"/>
    <n v="0"/>
    <n v="0"/>
    <n v="1"/>
    <x v="3"/>
    <n v="0"/>
    <n v="9"/>
    <n v="0"/>
    <n v="0"/>
    <n v="18.149999999999999"/>
    <n v="0"/>
    <n v="0"/>
    <n v="21.278333841554378"/>
    <m/>
    <m/>
    <n v="3158.1"/>
    <n v="0"/>
    <n v="0"/>
    <n v="3702.4300884304616"/>
    <n v="0"/>
    <n v="0"/>
  </r>
  <r>
    <s v="Regular"/>
    <x v="0"/>
    <x v="3"/>
    <x v="3"/>
    <x v="1"/>
    <x v="2"/>
    <x v="0"/>
    <x v="2"/>
    <x v="7"/>
    <n v="237"/>
    <n v="237"/>
    <n v="0"/>
    <n v="0"/>
    <n v="0"/>
    <n v="0"/>
    <n v="1"/>
    <x v="3"/>
    <n v="0"/>
    <n v="9"/>
    <n v="0"/>
    <n v="0"/>
    <n v="18.149999999999999"/>
    <n v="0"/>
    <n v="0"/>
    <n v="21.278333841554378"/>
    <m/>
    <m/>
    <n v="4301.5499999999993"/>
    <n v="0"/>
    <n v="0"/>
    <n v="5042.965120448388"/>
    <n v="0"/>
    <n v="0"/>
  </r>
  <r>
    <s v="Regular"/>
    <x v="0"/>
    <x v="3"/>
    <x v="3"/>
    <x v="1"/>
    <x v="2"/>
    <x v="0"/>
    <x v="2"/>
    <x v="8"/>
    <n v="420"/>
    <n v="420"/>
    <n v="0"/>
    <n v="0"/>
    <n v="0"/>
    <n v="0"/>
    <n v="1"/>
    <x v="3"/>
    <n v="0"/>
    <n v="9"/>
    <n v="0"/>
    <n v="0"/>
    <n v="18.149999999999999"/>
    <n v="0"/>
    <n v="0"/>
    <n v="21.278333841554378"/>
    <m/>
    <m/>
    <n v="7622.9999999999991"/>
    <n v="0"/>
    <n v="0"/>
    <n v="8936.9002134528382"/>
    <n v="0"/>
    <n v="0"/>
  </r>
  <r>
    <s v="Regular"/>
    <x v="0"/>
    <x v="3"/>
    <x v="3"/>
    <x v="1"/>
    <x v="2"/>
    <x v="0"/>
    <x v="2"/>
    <x v="9"/>
    <n v="391"/>
    <n v="391"/>
    <n v="0"/>
    <n v="0"/>
    <n v="0"/>
    <n v="0"/>
    <n v="1"/>
    <x v="3"/>
    <n v="0"/>
    <n v="9"/>
    <n v="0"/>
    <n v="0"/>
    <n v="18.149999999999999"/>
    <n v="0"/>
    <n v="0"/>
    <n v="21.278333841554378"/>
    <m/>
    <m/>
    <n v="7096.65"/>
    <n v="0"/>
    <n v="0"/>
    <n v="8319.8285320477626"/>
    <n v="0"/>
    <n v="0"/>
  </r>
  <r>
    <s v="Regular"/>
    <x v="0"/>
    <x v="3"/>
    <x v="3"/>
    <x v="1"/>
    <x v="2"/>
    <x v="0"/>
    <x v="2"/>
    <x v="10"/>
    <n v="257"/>
    <n v="257"/>
    <n v="0"/>
    <n v="0"/>
    <n v="0"/>
    <n v="0"/>
    <n v="1"/>
    <x v="3"/>
    <n v="0"/>
    <n v="9"/>
    <n v="0"/>
    <n v="0"/>
    <n v="18.149999999999999"/>
    <n v="0"/>
    <n v="0"/>
    <n v="21.278333841554378"/>
    <m/>
    <m/>
    <n v="4664.5499999999993"/>
    <n v="0"/>
    <n v="0"/>
    <n v="5468.5317972794755"/>
    <n v="0"/>
    <n v="0"/>
  </r>
  <r>
    <s v="Regular"/>
    <x v="0"/>
    <x v="3"/>
    <x v="3"/>
    <x v="1"/>
    <x v="2"/>
    <x v="0"/>
    <x v="2"/>
    <x v="11"/>
    <n v="590"/>
    <n v="590"/>
    <n v="0"/>
    <n v="0"/>
    <n v="0"/>
    <n v="0"/>
    <n v="2"/>
    <x v="3"/>
    <n v="0"/>
    <n v="9"/>
    <n v="0"/>
    <n v="0"/>
    <n v="18.149999999999999"/>
    <n v="0"/>
    <n v="0"/>
    <n v="21.278333841554378"/>
    <m/>
    <m/>
    <n v="10708.5"/>
    <n v="0"/>
    <n v="0"/>
    <n v="12554.216966517082"/>
    <n v="0"/>
    <n v="0"/>
  </r>
  <r>
    <s v="Regular"/>
    <x v="0"/>
    <x v="3"/>
    <x v="3"/>
    <x v="1"/>
    <x v="2"/>
    <x v="0"/>
    <x v="1"/>
    <x v="3"/>
    <n v="0"/>
    <n v="0"/>
    <n v="2.7E-2"/>
    <n v="2.7E-2"/>
    <n v="0"/>
    <n v="0"/>
    <n v="0"/>
    <x v="3"/>
    <n v="0"/>
    <n v="0"/>
    <n v="4"/>
    <n v="0"/>
    <n v="0"/>
    <n v="1366.23"/>
    <n v="0"/>
    <m/>
    <n v="1599.6405722903667"/>
    <m/>
    <n v="0"/>
    <n v="36.888210000000001"/>
    <n v="0"/>
    <n v="0"/>
    <n v="43.190295451839901"/>
    <n v="0"/>
  </r>
  <r>
    <s v="Regular"/>
    <x v="0"/>
    <x v="3"/>
    <x v="3"/>
    <x v="1"/>
    <x v="2"/>
    <x v="0"/>
    <x v="1"/>
    <x v="4"/>
    <n v="0"/>
    <n v="0"/>
    <n v="0.25600000000000001"/>
    <n v="0.25600000000000001"/>
    <n v="0"/>
    <n v="0"/>
    <n v="0"/>
    <x v="3"/>
    <n v="0"/>
    <n v="0"/>
    <n v="4"/>
    <n v="0"/>
    <n v="0"/>
    <n v="1366.23"/>
    <n v="0"/>
    <m/>
    <n v="1599.6405722903667"/>
    <m/>
    <n v="0"/>
    <n v="349.75488000000001"/>
    <n v="0"/>
    <n v="0"/>
    <n v="409.50798650633385"/>
    <n v="0"/>
  </r>
  <r>
    <s v="Regular"/>
    <x v="0"/>
    <x v="3"/>
    <x v="3"/>
    <x v="1"/>
    <x v="2"/>
    <x v="0"/>
    <x v="1"/>
    <x v="6"/>
    <n v="0"/>
    <n v="0"/>
    <n v="5.1999999999999998E-2"/>
    <n v="5.1999999999999998E-2"/>
    <n v="0"/>
    <n v="0"/>
    <n v="0"/>
    <x v="3"/>
    <n v="0"/>
    <n v="0"/>
    <n v="4"/>
    <n v="0"/>
    <n v="0"/>
    <n v="1366.23"/>
    <n v="0"/>
    <m/>
    <n v="1599.6405722903667"/>
    <m/>
    <n v="0"/>
    <n v="71.043959999999998"/>
    <n v="0"/>
    <n v="0"/>
    <n v="83.181309759099065"/>
    <n v="0"/>
  </r>
  <r>
    <s v="Regular"/>
    <x v="0"/>
    <x v="3"/>
    <x v="3"/>
    <x v="1"/>
    <x v="2"/>
    <x v="0"/>
    <x v="1"/>
    <x v="8"/>
    <n v="0"/>
    <n v="0"/>
    <n v="0.52300000000000002"/>
    <n v="0.52300000000000002"/>
    <n v="0"/>
    <n v="0"/>
    <n v="0"/>
    <x v="3"/>
    <n v="0"/>
    <n v="0"/>
    <n v="4"/>
    <n v="0"/>
    <n v="0"/>
    <n v="1366.23"/>
    <n v="0"/>
    <m/>
    <n v="1599.6405722903667"/>
    <m/>
    <n v="0"/>
    <n v="714.53829000000007"/>
    <n v="0"/>
    <n v="0"/>
    <n v="836.61201930786183"/>
    <n v="0"/>
  </r>
  <r>
    <s v="Regular"/>
    <x v="0"/>
    <x v="3"/>
    <x v="3"/>
    <x v="1"/>
    <x v="2"/>
    <x v="0"/>
    <x v="1"/>
    <x v="10"/>
    <n v="0"/>
    <n v="0"/>
    <n v="0.114"/>
    <n v="0.114"/>
    <n v="0"/>
    <n v="0"/>
    <n v="0"/>
    <x v="3"/>
    <n v="0"/>
    <n v="0"/>
    <n v="4"/>
    <n v="0"/>
    <n v="0"/>
    <n v="1366.23"/>
    <n v="0"/>
    <m/>
    <n v="1599.6405722903667"/>
    <m/>
    <n v="0"/>
    <n v="155.75022000000001"/>
    <n v="0"/>
    <n v="0"/>
    <n v="182.35902524110182"/>
    <n v="0"/>
  </r>
  <r>
    <s v="Regular"/>
    <x v="0"/>
    <x v="3"/>
    <x v="3"/>
    <x v="1"/>
    <x v="2"/>
    <x v="0"/>
    <x v="1"/>
    <x v="11"/>
    <n v="0"/>
    <n v="0"/>
    <n v="0.06"/>
    <n v="0.06"/>
    <n v="0"/>
    <n v="0"/>
    <n v="0"/>
    <x v="3"/>
    <n v="0"/>
    <n v="0"/>
    <n v="4"/>
    <n v="0"/>
    <n v="0"/>
    <n v="1366.23"/>
    <n v="0"/>
    <m/>
    <n v="1599.6405722903667"/>
    <m/>
    <n v="0"/>
    <n v="81.973799999999997"/>
    <n v="0"/>
    <n v="0"/>
    <n v="95.978434337422001"/>
    <n v="0"/>
  </r>
  <r>
    <s v="Regular"/>
    <x v="0"/>
    <x v="3"/>
    <x v="3"/>
    <x v="1"/>
    <x v="0"/>
    <x v="0"/>
    <x v="0"/>
    <x v="0"/>
    <n v="0"/>
    <n v="0"/>
    <n v="3253.942"/>
    <n v="3253.942"/>
    <n v="3253.942"/>
    <n v="3253.942"/>
    <n v="0"/>
    <x v="0"/>
    <n v="0"/>
    <n v="0"/>
    <n v="13"/>
    <n v="69"/>
    <n v="0"/>
    <n v="71.14"/>
    <n v="249.25"/>
    <m/>
    <n v="99.958395464781461"/>
    <n v="135.84198201737277"/>
    <n v="0"/>
    <n v="231485.43388"/>
    <n v="811045.04350000003"/>
    <n v="0"/>
    <n v="325258.82125546189"/>
    <n v="442021.93064957397"/>
  </r>
  <r>
    <s v="Sistema de Compensação"/>
    <x v="0"/>
    <x v="3"/>
    <x v="3"/>
    <x v="1"/>
    <x v="0"/>
    <x v="0"/>
    <x v="0"/>
    <x v="0"/>
    <n v="0"/>
    <n v="0"/>
    <n v="25.477"/>
    <n v="25.477"/>
    <n v="25.477"/>
    <n v="25.477"/>
    <n v="0"/>
    <x v="0"/>
    <n v="0"/>
    <n v="0"/>
    <n v="13"/>
    <n v="69"/>
    <n v="0"/>
    <n v="71.14"/>
    <n v="249.25"/>
    <m/>
    <n v="99.958395464781461"/>
    <n v="135.84198201737277"/>
    <n v="0"/>
    <n v="1812.4337800000001"/>
    <n v="6350.1422499999999"/>
    <n v="0"/>
    <n v="2546.6400412562375"/>
    <n v="3460.8461758566064"/>
  </r>
  <r>
    <s v="Regular"/>
    <x v="0"/>
    <x v="3"/>
    <x v="3"/>
    <x v="1"/>
    <x v="0"/>
    <x v="0"/>
    <x v="0"/>
    <x v="1"/>
    <n v="0"/>
    <n v="0"/>
    <n v="3176.6480000000001"/>
    <n v="3176.6480000000001"/>
    <n v="3176.6480000000001"/>
    <n v="3176.6480000000001"/>
    <n v="0"/>
    <x v="0"/>
    <n v="0"/>
    <n v="0"/>
    <n v="13"/>
    <n v="69"/>
    <n v="0"/>
    <n v="71.14"/>
    <n v="249.25"/>
    <m/>
    <n v="99.958395464781461"/>
    <n v="135.84198201737277"/>
    <n v="0"/>
    <n v="225986.73872000002"/>
    <n v="791779.51400000008"/>
    <n v="0"/>
    <n v="317532.63703640713"/>
    <n v="431522.16049152322"/>
  </r>
  <r>
    <s v="Sistema de Compensação"/>
    <x v="0"/>
    <x v="3"/>
    <x v="3"/>
    <x v="1"/>
    <x v="0"/>
    <x v="0"/>
    <x v="0"/>
    <x v="1"/>
    <n v="0"/>
    <n v="0"/>
    <n v="48.094000000000001"/>
    <n v="48.094000000000001"/>
    <n v="48.094000000000001"/>
    <n v="48.094000000000001"/>
    <n v="0"/>
    <x v="0"/>
    <n v="0"/>
    <n v="0"/>
    <n v="13"/>
    <n v="69"/>
    <n v="0"/>
    <n v="71.14"/>
    <n v="249.25"/>
    <m/>
    <n v="99.958395464781461"/>
    <n v="135.84198201737277"/>
    <n v="0"/>
    <n v="3421.4071600000002"/>
    <n v="11987.4295"/>
    <n v="0"/>
    <n v="4807.3990714831998"/>
    <n v="6533.184283143526"/>
  </r>
  <r>
    <s v="Regular"/>
    <x v="0"/>
    <x v="3"/>
    <x v="3"/>
    <x v="1"/>
    <x v="0"/>
    <x v="0"/>
    <x v="0"/>
    <x v="2"/>
    <n v="0"/>
    <n v="0"/>
    <n v="3155.5859999999998"/>
    <n v="3155.5859999999998"/>
    <n v="3155.5859999999998"/>
    <n v="3155.5859999999998"/>
    <n v="0"/>
    <x v="0"/>
    <n v="0"/>
    <n v="0"/>
    <n v="13"/>
    <n v="69"/>
    <n v="0"/>
    <n v="71.14"/>
    <n v="249.25"/>
    <m/>
    <n v="99.958395464781461"/>
    <n v="135.84198201737277"/>
    <n v="0"/>
    <n v="224488.38803999999"/>
    <n v="786529.81049999991"/>
    <n v="0"/>
    <n v="315427.31331112783"/>
    <n v="428661.05666627322"/>
  </r>
  <r>
    <s v="Sistema de Compensação"/>
    <x v="0"/>
    <x v="3"/>
    <x v="3"/>
    <x v="1"/>
    <x v="0"/>
    <x v="0"/>
    <x v="0"/>
    <x v="2"/>
    <n v="0"/>
    <n v="0"/>
    <n v="45.576000000000001"/>
    <n v="45.576000000000001"/>
    <n v="45.576000000000001"/>
    <n v="45.576000000000001"/>
    <n v="0"/>
    <x v="0"/>
    <n v="0"/>
    <n v="0"/>
    <n v="13"/>
    <n v="69"/>
    <n v="0"/>
    <n v="71.14"/>
    <n v="249.25"/>
    <m/>
    <n v="99.958395464781461"/>
    <n v="135.84198201737277"/>
    <n v="0"/>
    <n v="3242.27664"/>
    <n v="11359.817999999999"/>
    <n v="0"/>
    <n v="4555.7038317028801"/>
    <n v="6191.1341724237818"/>
  </r>
  <r>
    <s v="Regular"/>
    <x v="0"/>
    <x v="3"/>
    <x v="3"/>
    <x v="1"/>
    <x v="0"/>
    <x v="0"/>
    <x v="0"/>
    <x v="3"/>
    <n v="0"/>
    <n v="0"/>
    <n v="2791.8620000000001"/>
    <n v="2791.8620000000001"/>
    <n v="2791.8620000000001"/>
    <n v="2791.8620000000001"/>
    <n v="0"/>
    <x v="0"/>
    <n v="0"/>
    <n v="0"/>
    <n v="13"/>
    <n v="69"/>
    <n v="0"/>
    <n v="71.14"/>
    <n v="249.25"/>
    <m/>
    <n v="99.958395464781461"/>
    <n v="135.84198201737277"/>
    <n v="0"/>
    <n v="198613.06268"/>
    <n v="695871.60349999997"/>
    <n v="0"/>
    <n v="279070.04587909573"/>
    <n v="379252.06759898638"/>
  </r>
  <r>
    <s v="Sistema de Compensação"/>
    <x v="0"/>
    <x v="3"/>
    <x v="3"/>
    <x v="1"/>
    <x v="0"/>
    <x v="0"/>
    <x v="0"/>
    <x v="3"/>
    <n v="0"/>
    <n v="0"/>
    <n v="17.79"/>
    <n v="17.79"/>
    <n v="17.79"/>
    <n v="17.79"/>
    <n v="0"/>
    <x v="0"/>
    <n v="0"/>
    <n v="0"/>
    <n v="13"/>
    <n v="69"/>
    <n v="0"/>
    <n v="71.14"/>
    <n v="249.25"/>
    <m/>
    <n v="99.958395464781461"/>
    <n v="135.84198201737277"/>
    <n v="0"/>
    <n v="1265.5806"/>
    <n v="4434.1574999999993"/>
    <n v="0"/>
    <n v="1778.2598553184621"/>
    <n v="2416.6288600890616"/>
  </r>
  <r>
    <s v="Regular"/>
    <x v="0"/>
    <x v="3"/>
    <x v="3"/>
    <x v="1"/>
    <x v="0"/>
    <x v="0"/>
    <x v="0"/>
    <x v="4"/>
    <n v="0"/>
    <n v="0"/>
    <n v="3006.0529999999999"/>
    <n v="3006.0529999999999"/>
    <n v="3006.0529999999999"/>
    <n v="3006.0529999999999"/>
    <n v="0"/>
    <x v="0"/>
    <n v="0"/>
    <n v="0"/>
    <n v="13"/>
    <n v="69"/>
    <n v="0"/>
    <n v="71.14"/>
    <n v="249.25"/>
    <m/>
    <n v="99.958395464781461"/>
    <n v="135.84198201737277"/>
    <n v="0"/>
    <n v="213850.61041999998"/>
    <n v="749258.71025"/>
    <n v="0"/>
    <n v="300480.23456209269"/>
    <n v="408348.19756926945"/>
  </r>
  <r>
    <s v="Sistema de Compensação"/>
    <x v="0"/>
    <x v="3"/>
    <x v="3"/>
    <x v="1"/>
    <x v="0"/>
    <x v="0"/>
    <x v="0"/>
    <x v="4"/>
    <n v="0"/>
    <n v="0"/>
    <n v="23.614999999999998"/>
    <n v="23.614999999999998"/>
    <n v="23.614999999999998"/>
    <n v="23.614999999999998"/>
    <n v="0"/>
    <x v="0"/>
    <n v="0"/>
    <n v="0"/>
    <n v="13"/>
    <n v="69"/>
    <n v="0"/>
    <n v="71.14"/>
    <n v="249.25"/>
    <m/>
    <n v="99.958395464781461"/>
    <n v="135.84198201737277"/>
    <n v="0"/>
    <n v="1679.9711"/>
    <n v="5886.0387499999997"/>
    <n v="0"/>
    <n v="2360.5175089008139"/>
    <n v="3207.9084053402576"/>
  </r>
  <r>
    <s v="Regular"/>
    <x v="0"/>
    <x v="3"/>
    <x v="3"/>
    <x v="1"/>
    <x v="0"/>
    <x v="0"/>
    <x v="0"/>
    <x v="5"/>
    <n v="0"/>
    <n v="0"/>
    <n v="3134.6329999999998"/>
    <n v="3134.6329999999998"/>
    <n v="3134.6329999999998"/>
    <n v="3134.6329999999998"/>
    <n v="0"/>
    <x v="0"/>
    <n v="0"/>
    <n v="0"/>
    <n v="13"/>
    <n v="69"/>
    <n v="0"/>
    <n v="71.14"/>
    <n v="249.25"/>
    <m/>
    <n v="99.958395464781461"/>
    <n v="135.84198201737277"/>
    <n v="0"/>
    <n v="222997.79161999997"/>
    <n v="781307.27524999995"/>
    <n v="0"/>
    <n v="313332.8850509543"/>
    <n v="425814.75961706322"/>
  </r>
  <r>
    <s v="Sistema de Compensação"/>
    <x v="0"/>
    <x v="3"/>
    <x v="3"/>
    <x v="1"/>
    <x v="0"/>
    <x v="0"/>
    <x v="0"/>
    <x v="5"/>
    <n v="0"/>
    <n v="0"/>
    <n v="32.112000000000002"/>
    <n v="32.112000000000002"/>
    <n v="32.112000000000002"/>
    <n v="32.112000000000002"/>
    <n v="0"/>
    <x v="0"/>
    <n v="0"/>
    <n v="0"/>
    <n v="13"/>
    <n v="69"/>
    <n v="0"/>
    <n v="71.14"/>
    <n v="249.25"/>
    <m/>
    <n v="99.958395464781461"/>
    <n v="135.84198201737277"/>
    <n v="0"/>
    <n v="2284.4476800000002"/>
    <n v="8003.9160000000002"/>
    <n v="0"/>
    <n v="3209.8639951650625"/>
    <n v="4362.1577265418746"/>
  </r>
  <r>
    <s v="Regular"/>
    <x v="0"/>
    <x v="3"/>
    <x v="3"/>
    <x v="1"/>
    <x v="0"/>
    <x v="0"/>
    <x v="0"/>
    <x v="6"/>
    <n v="0"/>
    <n v="0"/>
    <n v="3319.9679999999998"/>
    <n v="3319.9679999999998"/>
    <n v="3319.9679999999998"/>
    <n v="3319.9679999999998"/>
    <n v="0"/>
    <x v="0"/>
    <n v="0"/>
    <n v="0"/>
    <n v="13"/>
    <n v="69"/>
    <n v="0"/>
    <n v="71.14"/>
    <n v="249.25"/>
    <m/>
    <n v="99.958395464781461"/>
    <n v="135.84198201737277"/>
    <n v="0"/>
    <n v="236182.52351999999"/>
    <n v="827502.02399999998"/>
    <n v="0"/>
    <n v="331858.67427441955"/>
    <n v="450991.03335425304"/>
  </r>
  <r>
    <s v="Sistema de Compensação"/>
    <x v="0"/>
    <x v="3"/>
    <x v="3"/>
    <x v="1"/>
    <x v="0"/>
    <x v="0"/>
    <x v="0"/>
    <x v="6"/>
    <n v="0"/>
    <n v="0"/>
    <n v="54.151000000000003"/>
    <n v="54.151000000000003"/>
    <n v="54.151000000000003"/>
    <n v="54.151000000000003"/>
    <n v="0"/>
    <x v="0"/>
    <n v="0"/>
    <n v="0"/>
    <n v="13"/>
    <n v="69"/>
    <n v="0"/>
    <n v="71.14"/>
    <n v="249.25"/>
    <m/>
    <n v="99.958395464781461"/>
    <n v="135.84198201737277"/>
    <n v="0"/>
    <n v="3852.3021400000002"/>
    <n v="13497.136750000001"/>
    <n v="0"/>
    <n v="5412.8470728133816"/>
    <n v="7355.9791682227533"/>
  </r>
  <r>
    <s v="Regular"/>
    <x v="0"/>
    <x v="3"/>
    <x v="3"/>
    <x v="1"/>
    <x v="0"/>
    <x v="0"/>
    <x v="0"/>
    <x v="7"/>
    <n v="0"/>
    <n v="0"/>
    <n v="2904.549"/>
    <n v="2904.549"/>
    <n v="2904.549"/>
    <n v="2904.549"/>
    <n v="0"/>
    <x v="0"/>
    <n v="0"/>
    <n v="0"/>
    <n v="13"/>
    <n v="69"/>
    <n v="0"/>
    <n v="71.14"/>
    <n v="249.25"/>
    <m/>
    <n v="99.958395464781461"/>
    <n v="135.84198201737277"/>
    <n v="0"/>
    <n v="206629.61585999999"/>
    <n v="723958.83825000003"/>
    <n v="0"/>
    <n v="290334.05758883554"/>
    <n v="394559.69302657805"/>
  </r>
  <r>
    <s v="Sistema de Compensação"/>
    <x v="0"/>
    <x v="3"/>
    <x v="3"/>
    <x v="1"/>
    <x v="0"/>
    <x v="0"/>
    <x v="0"/>
    <x v="7"/>
    <n v="0"/>
    <n v="0"/>
    <n v="51.328000000000003"/>
    <n v="51.328000000000003"/>
    <n v="51.328000000000003"/>
    <n v="51.328000000000003"/>
    <n v="0"/>
    <x v="0"/>
    <n v="0"/>
    <n v="0"/>
    <n v="13"/>
    <n v="69"/>
    <n v="0"/>
    <n v="71.14"/>
    <n v="249.25"/>
    <m/>
    <n v="99.958395464781461"/>
    <n v="135.84198201737277"/>
    <n v="0"/>
    <n v="3651.4739200000004"/>
    <n v="12793.504000000001"/>
    <n v="0"/>
    <n v="5130.664522416303"/>
    <n v="6972.4972529877105"/>
  </r>
  <r>
    <s v="Regular"/>
    <x v="0"/>
    <x v="3"/>
    <x v="3"/>
    <x v="1"/>
    <x v="0"/>
    <x v="0"/>
    <x v="0"/>
    <x v="8"/>
    <n v="0"/>
    <n v="0"/>
    <n v="3033.93"/>
    <n v="3033.93"/>
    <n v="3033.93"/>
    <n v="3033.93"/>
    <n v="0"/>
    <x v="0"/>
    <n v="0"/>
    <n v="0"/>
    <n v="13"/>
    <n v="69"/>
    <n v="0"/>
    <n v="71.14"/>
    <n v="249.25"/>
    <m/>
    <n v="99.958395464781461"/>
    <n v="135.84198201737277"/>
    <n v="0"/>
    <n v="215833.78019999998"/>
    <n v="756207.05249999999"/>
    <n v="0"/>
    <n v="303266.77475246438"/>
    <n v="412135.06450196775"/>
  </r>
  <r>
    <s v="Sistema de Compensação"/>
    <x v="0"/>
    <x v="3"/>
    <x v="3"/>
    <x v="1"/>
    <x v="0"/>
    <x v="0"/>
    <x v="0"/>
    <x v="8"/>
    <n v="0"/>
    <n v="0"/>
    <n v="42.043999999999997"/>
    <n v="42.043999999999997"/>
    <n v="42.043999999999997"/>
    <n v="42.043999999999997"/>
    <n v="0"/>
    <x v="0"/>
    <n v="0"/>
    <n v="0"/>
    <n v="13"/>
    <n v="69"/>
    <n v="0"/>
    <n v="71.14"/>
    <n v="249.25"/>
    <m/>
    <n v="99.958395464781461"/>
    <n v="135.84198201737277"/>
    <n v="0"/>
    <n v="2991.0101599999998"/>
    <n v="10479.466999999999"/>
    <n v="0"/>
    <n v="4202.650778921271"/>
    <n v="5711.3402919384207"/>
  </r>
  <r>
    <s v="Regular"/>
    <x v="0"/>
    <x v="3"/>
    <x v="3"/>
    <x v="1"/>
    <x v="0"/>
    <x v="0"/>
    <x v="0"/>
    <x v="9"/>
    <n v="0"/>
    <n v="0"/>
    <n v="3103.0410000000002"/>
    <n v="3103.0410000000002"/>
    <n v="3103.0410000000002"/>
    <n v="3103.0410000000002"/>
    <n v="0"/>
    <x v="0"/>
    <n v="0"/>
    <n v="0"/>
    <n v="13"/>
    <n v="69"/>
    <n v="0"/>
    <n v="71.14"/>
    <n v="249.25"/>
    <m/>
    <n v="99.958395464781461"/>
    <n v="135.84198201737277"/>
    <n v="0"/>
    <n v="220750.33674000003"/>
    <n v="773432.96925000008"/>
    <n v="0"/>
    <n v="310174.99942143093"/>
    <n v="421523.23972117045"/>
  </r>
  <r>
    <s v="Sistema de Compensação"/>
    <x v="0"/>
    <x v="3"/>
    <x v="3"/>
    <x v="1"/>
    <x v="0"/>
    <x v="0"/>
    <x v="0"/>
    <x v="9"/>
    <n v="0"/>
    <n v="0"/>
    <n v="47.524999999999999"/>
    <n v="47.524999999999999"/>
    <n v="47.524999999999999"/>
    <n v="47.524999999999999"/>
    <n v="0"/>
    <x v="0"/>
    <n v="0"/>
    <n v="0"/>
    <n v="13"/>
    <n v="69"/>
    <n v="0"/>
    <n v="71.14"/>
    <n v="249.25"/>
    <m/>
    <n v="99.958395464781461"/>
    <n v="135.84198201737277"/>
    <n v="0"/>
    <n v="3380.9285"/>
    <n v="11845.606249999999"/>
    <n v="0"/>
    <n v="4750.5227444637385"/>
    <n v="6455.8901953756404"/>
  </r>
  <r>
    <s v="Regular"/>
    <x v="0"/>
    <x v="3"/>
    <x v="3"/>
    <x v="1"/>
    <x v="0"/>
    <x v="0"/>
    <x v="0"/>
    <x v="10"/>
    <n v="0"/>
    <n v="0"/>
    <n v="3133.2829999999999"/>
    <n v="3133.2829999999999"/>
    <n v="3133.2829999999999"/>
    <n v="3133.2829999999999"/>
    <n v="0"/>
    <x v="0"/>
    <n v="0"/>
    <n v="0"/>
    <n v="13"/>
    <n v="69"/>
    <n v="0"/>
    <n v="71.14"/>
    <n v="249.25"/>
    <m/>
    <n v="99.958395464781461"/>
    <n v="135.84198201737277"/>
    <n v="0"/>
    <n v="222901.75261999998"/>
    <n v="780970.78775000002"/>
    <n v="0"/>
    <n v="313197.94121707685"/>
    <n v="425631.3729413398"/>
  </r>
  <r>
    <s v="Regular"/>
    <x v="0"/>
    <x v="3"/>
    <x v="3"/>
    <x v="1"/>
    <x v="0"/>
    <x v="0"/>
    <x v="0"/>
    <x v="11"/>
    <n v="0"/>
    <n v="0"/>
    <n v="3267.473"/>
    <n v="3267.473"/>
    <n v="3267.473"/>
    <n v="3267.473"/>
    <n v="0"/>
    <x v="0"/>
    <n v="0"/>
    <n v="0"/>
    <n v="13"/>
    <n v="69"/>
    <n v="0"/>
    <n v="71.14"/>
    <n v="249.25"/>
    <m/>
    <n v="99.958395464781461"/>
    <n v="135.84198201737277"/>
    <n v="0"/>
    <n v="232448.02922"/>
    <n v="814417.64524999994"/>
    <n v="0"/>
    <n v="326611.35830449587"/>
    <n v="443860.00850825105"/>
  </r>
  <r>
    <s v="Refaturamento - Regular"/>
    <x v="0"/>
    <x v="3"/>
    <x v="3"/>
    <x v="1"/>
    <x v="0"/>
    <x v="0"/>
    <x v="0"/>
    <x v="11"/>
    <n v="0"/>
    <n v="0"/>
    <n v="-35.652999999999999"/>
    <n v="-35.652999999999999"/>
    <n v="-35.652999999999999"/>
    <n v="-35.652999999999999"/>
    <n v="0"/>
    <x v="0"/>
    <n v="0"/>
    <n v="0"/>
    <n v="13"/>
    <n v="69"/>
    <n v="0"/>
    <n v="71.14"/>
    <n v="249.25"/>
    <m/>
    <n v="99.958395464781461"/>
    <n v="135.84198201737277"/>
    <n v="0"/>
    <n v="-2536.3544200000001"/>
    <n v="-8886.5102499999994"/>
    <n v="0"/>
    <n v="-3563.8166735058535"/>
    <n v="-4843.174184865391"/>
  </r>
  <r>
    <s v="Sistema de Compensação"/>
    <x v="0"/>
    <x v="3"/>
    <x v="3"/>
    <x v="1"/>
    <x v="0"/>
    <x v="0"/>
    <x v="0"/>
    <x v="11"/>
    <n v="0"/>
    <n v="0"/>
    <n v="116.622"/>
    <n v="116.622"/>
    <n v="116.622"/>
    <n v="116.622"/>
    <n v="0"/>
    <x v="0"/>
    <n v="0"/>
    <n v="0"/>
    <n v="13"/>
    <n v="69"/>
    <n v="0"/>
    <n v="71.14"/>
    <n v="249.25"/>
    <m/>
    <n v="99.958395464781461"/>
    <n v="135.84198201737277"/>
    <n v="0"/>
    <n v="8296.4890799999994"/>
    <n v="29068.033500000001"/>
    <n v="0"/>
    <n v="11657.347995893744"/>
    <n v="15842.163626830048"/>
  </r>
  <r>
    <s v="Regular"/>
    <x v="0"/>
    <x v="3"/>
    <x v="3"/>
    <x v="1"/>
    <x v="0"/>
    <x v="0"/>
    <x v="2"/>
    <x v="0"/>
    <n v="13463"/>
    <n v="13463"/>
    <n v="0"/>
    <n v="0"/>
    <n v="0"/>
    <n v="0"/>
    <n v="53"/>
    <x v="0"/>
    <n v="0"/>
    <n v="9"/>
    <n v="0"/>
    <n v="0"/>
    <n v="18.149999999999999"/>
    <n v="0"/>
    <n v="0"/>
    <n v="21.278333841554378"/>
    <m/>
    <m/>
    <n v="244353.44999999998"/>
    <n v="0"/>
    <n v="0"/>
    <n v="286470.20850884658"/>
    <n v="0"/>
    <n v="0"/>
  </r>
  <r>
    <s v="Sistema de Compensação"/>
    <x v="0"/>
    <x v="3"/>
    <x v="3"/>
    <x v="1"/>
    <x v="0"/>
    <x v="0"/>
    <x v="2"/>
    <x v="0"/>
    <n v="776"/>
    <n v="776"/>
    <n v="0"/>
    <n v="0"/>
    <n v="0"/>
    <n v="0"/>
    <n v="5"/>
    <x v="0"/>
    <n v="0"/>
    <n v="9"/>
    <n v="0"/>
    <n v="0"/>
    <n v="18.149999999999999"/>
    <n v="0"/>
    <n v="0"/>
    <n v="21.278333841554378"/>
    <m/>
    <m/>
    <n v="14084.4"/>
    <n v="0"/>
    <n v="0"/>
    <n v="16511.987061046199"/>
    <n v="0"/>
    <n v="0"/>
  </r>
  <r>
    <s v="Regular"/>
    <x v="0"/>
    <x v="3"/>
    <x v="3"/>
    <x v="1"/>
    <x v="0"/>
    <x v="0"/>
    <x v="2"/>
    <x v="1"/>
    <n v="13374"/>
    <n v="13374"/>
    <n v="0"/>
    <n v="0"/>
    <n v="0"/>
    <n v="0"/>
    <n v="52"/>
    <x v="0"/>
    <n v="0"/>
    <n v="9"/>
    <n v="0"/>
    <n v="0"/>
    <n v="18.149999999999999"/>
    <n v="0"/>
    <n v="0"/>
    <n v="21.278333841554378"/>
    <m/>
    <m/>
    <n v="242738.09999999998"/>
    <n v="0"/>
    <n v="0"/>
    <n v="284576.43679694826"/>
    <n v="0"/>
    <n v="0"/>
  </r>
  <r>
    <s v="Sistema de Compensação"/>
    <x v="0"/>
    <x v="3"/>
    <x v="3"/>
    <x v="1"/>
    <x v="0"/>
    <x v="0"/>
    <x v="2"/>
    <x v="1"/>
    <n v="946"/>
    <n v="946"/>
    <n v="0"/>
    <n v="0"/>
    <n v="0"/>
    <n v="0"/>
    <n v="6"/>
    <x v="0"/>
    <n v="0"/>
    <n v="9"/>
    <n v="0"/>
    <n v="0"/>
    <n v="18.149999999999999"/>
    <n v="0"/>
    <n v="0"/>
    <n v="21.278333841554378"/>
    <m/>
    <m/>
    <n v="17169.899999999998"/>
    <n v="0"/>
    <n v="0"/>
    <n v="20129.303814110441"/>
    <n v="0"/>
    <n v="0"/>
  </r>
  <r>
    <s v="Regular"/>
    <x v="0"/>
    <x v="3"/>
    <x v="3"/>
    <x v="1"/>
    <x v="0"/>
    <x v="0"/>
    <x v="2"/>
    <x v="2"/>
    <n v="13587"/>
    <n v="13587"/>
    <n v="0"/>
    <n v="0"/>
    <n v="0"/>
    <n v="0"/>
    <n v="52"/>
    <x v="0"/>
    <n v="0"/>
    <n v="9"/>
    <n v="0"/>
    <n v="0"/>
    <n v="18.149999999999999"/>
    <n v="0"/>
    <n v="0"/>
    <n v="21.278333841554378"/>
    <m/>
    <m/>
    <n v="246604.05"/>
    <n v="0"/>
    <n v="0"/>
    <n v="289108.72190519935"/>
    <n v="0"/>
    <n v="0"/>
  </r>
  <r>
    <s v="Sistema de Compensação"/>
    <x v="0"/>
    <x v="3"/>
    <x v="3"/>
    <x v="1"/>
    <x v="0"/>
    <x v="0"/>
    <x v="2"/>
    <x v="2"/>
    <n v="948"/>
    <n v="948"/>
    <n v="0"/>
    <n v="0"/>
    <n v="0"/>
    <n v="0"/>
    <n v="6"/>
    <x v="0"/>
    <n v="0"/>
    <n v="9"/>
    <n v="0"/>
    <n v="0"/>
    <n v="18.149999999999999"/>
    <n v="0"/>
    <n v="0"/>
    <n v="21.278333841554378"/>
    <m/>
    <m/>
    <n v="17206.199999999997"/>
    <n v="0"/>
    <n v="0"/>
    <n v="20171.860481793552"/>
    <n v="0"/>
    <n v="0"/>
  </r>
  <r>
    <s v="Regular"/>
    <x v="0"/>
    <x v="3"/>
    <x v="3"/>
    <x v="1"/>
    <x v="0"/>
    <x v="0"/>
    <x v="2"/>
    <x v="3"/>
    <n v="13697"/>
    <n v="13697"/>
    <n v="0"/>
    <n v="0"/>
    <n v="0"/>
    <n v="0"/>
    <n v="53"/>
    <x v="0"/>
    <n v="0"/>
    <n v="9"/>
    <n v="0"/>
    <n v="0"/>
    <n v="18.149999999999999"/>
    <n v="0"/>
    <n v="0"/>
    <n v="21.278333841554378"/>
    <m/>
    <m/>
    <n v="248600.55"/>
    <n v="0"/>
    <n v="0"/>
    <n v="291449.33862777031"/>
    <n v="0"/>
    <n v="0"/>
  </r>
  <r>
    <s v="Sistema de Compensação"/>
    <x v="0"/>
    <x v="3"/>
    <x v="3"/>
    <x v="1"/>
    <x v="0"/>
    <x v="0"/>
    <x v="2"/>
    <x v="3"/>
    <n v="957"/>
    <n v="957"/>
    <n v="0"/>
    <n v="0"/>
    <n v="0"/>
    <n v="0"/>
    <n v="6"/>
    <x v="0"/>
    <n v="0"/>
    <n v="9"/>
    <n v="0"/>
    <n v="0"/>
    <n v="18.149999999999999"/>
    <n v="0"/>
    <n v="0"/>
    <n v="21.278333841554378"/>
    <m/>
    <m/>
    <n v="17369.55"/>
    <n v="0"/>
    <n v="0"/>
    <n v="20363.36548636754"/>
    <n v="0"/>
    <n v="0"/>
  </r>
  <r>
    <s v="Regular"/>
    <x v="0"/>
    <x v="3"/>
    <x v="3"/>
    <x v="1"/>
    <x v="0"/>
    <x v="0"/>
    <x v="2"/>
    <x v="4"/>
    <n v="13595"/>
    <n v="13595"/>
    <n v="0"/>
    <n v="0"/>
    <n v="0"/>
    <n v="0"/>
    <n v="53"/>
    <x v="0"/>
    <n v="0"/>
    <n v="9"/>
    <n v="0"/>
    <n v="0"/>
    <n v="18.149999999999999"/>
    <n v="0"/>
    <n v="0"/>
    <n v="21.278333841554378"/>
    <m/>
    <m/>
    <n v="246749.24999999997"/>
    <n v="0"/>
    <n v="0"/>
    <n v="289278.94857593178"/>
    <n v="0"/>
    <n v="0"/>
  </r>
  <r>
    <s v="Sistema de Compensação"/>
    <x v="0"/>
    <x v="3"/>
    <x v="3"/>
    <x v="1"/>
    <x v="0"/>
    <x v="0"/>
    <x v="2"/>
    <x v="4"/>
    <n v="953"/>
    <n v="953"/>
    <n v="0"/>
    <n v="0"/>
    <n v="0"/>
    <n v="0"/>
    <n v="6"/>
    <x v="0"/>
    <n v="0"/>
    <n v="9"/>
    <n v="0"/>
    <n v="0"/>
    <n v="18.149999999999999"/>
    <n v="0"/>
    <n v="0"/>
    <n v="21.278333841554378"/>
    <m/>
    <m/>
    <n v="17296.949999999997"/>
    <n v="0"/>
    <n v="0"/>
    <n v="20278.252151001321"/>
    <n v="0"/>
    <n v="0"/>
  </r>
  <r>
    <s v="Regular"/>
    <x v="0"/>
    <x v="3"/>
    <x v="3"/>
    <x v="1"/>
    <x v="0"/>
    <x v="0"/>
    <x v="2"/>
    <x v="5"/>
    <n v="13739"/>
    <n v="13739"/>
    <n v="0"/>
    <n v="0"/>
    <n v="0"/>
    <n v="0"/>
    <n v="53"/>
    <x v="0"/>
    <n v="0"/>
    <n v="9"/>
    <n v="0"/>
    <n v="0"/>
    <n v="18.149999999999999"/>
    <n v="0"/>
    <n v="0"/>
    <n v="21.278333841554378"/>
    <m/>
    <m/>
    <n v="249362.84999999998"/>
    <n v="0"/>
    <n v="0"/>
    <n v="292343.02864911559"/>
    <n v="0"/>
    <n v="0"/>
  </r>
  <r>
    <s v="Sistema de Compensação"/>
    <x v="0"/>
    <x v="3"/>
    <x v="3"/>
    <x v="1"/>
    <x v="0"/>
    <x v="0"/>
    <x v="2"/>
    <x v="5"/>
    <n v="953"/>
    <n v="953"/>
    <n v="0"/>
    <n v="0"/>
    <n v="0"/>
    <n v="0"/>
    <n v="6"/>
    <x v="0"/>
    <n v="0"/>
    <n v="9"/>
    <n v="0"/>
    <n v="0"/>
    <n v="18.149999999999999"/>
    <n v="0"/>
    <n v="0"/>
    <n v="21.278333841554378"/>
    <m/>
    <m/>
    <n v="17296.949999999997"/>
    <n v="0"/>
    <n v="0"/>
    <n v="20278.252151001321"/>
    <n v="0"/>
    <n v="0"/>
  </r>
  <r>
    <s v="Regular"/>
    <x v="0"/>
    <x v="3"/>
    <x v="3"/>
    <x v="1"/>
    <x v="0"/>
    <x v="0"/>
    <x v="2"/>
    <x v="6"/>
    <n v="13788"/>
    <n v="13788"/>
    <n v="0"/>
    <n v="0"/>
    <n v="0"/>
    <n v="0"/>
    <n v="54"/>
    <x v="0"/>
    <n v="0"/>
    <n v="9"/>
    <n v="0"/>
    <n v="0"/>
    <n v="18.149999999999999"/>
    <n v="0"/>
    <n v="0"/>
    <n v="21.278333841554378"/>
    <m/>
    <m/>
    <n v="250252.19999999998"/>
    <n v="0"/>
    <n v="0"/>
    <n v="293385.66700735176"/>
    <n v="0"/>
    <n v="0"/>
  </r>
  <r>
    <s v="Refaturamento - Regular"/>
    <x v="0"/>
    <x v="3"/>
    <x v="3"/>
    <x v="1"/>
    <x v="0"/>
    <x v="0"/>
    <x v="2"/>
    <x v="6"/>
    <n v="-151"/>
    <n v="-151"/>
    <n v="0"/>
    <n v="0"/>
    <n v="0"/>
    <n v="0"/>
    <n v="0"/>
    <x v="0"/>
    <n v="0"/>
    <n v="9"/>
    <n v="0"/>
    <n v="0"/>
    <n v="18.149999999999999"/>
    <n v="0"/>
    <n v="0"/>
    <n v="21.278333841554378"/>
    <m/>
    <m/>
    <n v="-2740.6499999999996"/>
    <n v="0"/>
    <n v="0"/>
    <n v="-3213.0284100747112"/>
    <n v="0"/>
    <n v="0"/>
  </r>
  <r>
    <s v="Sistema de Compensação"/>
    <x v="0"/>
    <x v="3"/>
    <x v="3"/>
    <x v="1"/>
    <x v="0"/>
    <x v="0"/>
    <x v="2"/>
    <x v="6"/>
    <n v="950"/>
    <n v="950"/>
    <n v="0"/>
    <n v="0"/>
    <n v="0"/>
    <n v="0"/>
    <n v="6"/>
    <x v="0"/>
    <n v="0"/>
    <n v="9"/>
    <n v="0"/>
    <n v="0"/>
    <n v="18.149999999999999"/>
    <n v="0"/>
    <n v="0"/>
    <n v="21.278333841554378"/>
    <m/>
    <m/>
    <n v="17242.5"/>
    <n v="0"/>
    <n v="0"/>
    <n v="20214.41714947666"/>
    <n v="0"/>
    <n v="0"/>
  </r>
  <r>
    <s v="Regular"/>
    <x v="0"/>
    <x v="3"/>
    <x v="3"/>
    <x v="1"/>
    <x v="0"/>
    <x v="0"/>
    <x v="2"/>
    <x v="7"/>
    <n v="13551"/>
    <n v="13551"/>
    <n v="0"/>
    <n v="0"/>
    <n v="0"/>
    <n v="0"/>
    <n v="54"/>
    <x v="0"/>
    <n v="0"/>
    <n v="9"/>
    <n v="0"/>
    <n v="0"/>
    <n v="18.149999999999999"/>
    <n v="0"/>
    <n v="0"/>
    <n v="21.278333841554378"/>
    <m/>
    <m/>
    <n v="245950.65"/>
    <n v="0"/>
    <n v="0"/>
    <n v="288342.70188690338"/>
    <n v="0"/>
    <n v="0"/>
  </r>
  <r>
    <s v="Refaturamento - Regular"/>
    <x v="0"/>
    <x v="3"/>
    <x v="3"/>
    <x v="1"/>
    <x v="0"/>
    <x v="0"/>
    <x v="2"/>
    <x v="7"/>
    <n v="-46"/>
    <n v="-46"/>
    <n v="0"/>
    <n v="0"/>
    <n v="0"/>
    <n v="0"/>
    <n v="0"/>
    <x v="0"/>
    <n v="0"/>
    <n v="9"/>
    <n v="0"/>
    <n v="0"/>
    <n v="18.149999999999999"/>
    <n v="0"/>
    <n v="0"/>
    <n v="21.278333841554378"/>
    <m/>
    <m/>
    <n v="-834.9"/>
    <n v="0"/>
    <n v="0"/>
    <n v="-978.80335671150135"/>
    <n v="0"/>
    <n v="0"/>
  </r>
  <r>
    <s v="Sistema de Compensação"/>
    <x v="0"/>
    <x v="3"/>
    <x v="3"/>
    <x v="1"/>
    <x v="0"/>
    <x v="0"/>
    <x v="2"/>
    <x v="7"/>
    <n v="950"/>
    <n v="950"/>
    <n v="0"/>
    <n v="0"/>
    <n v="0"/>
    <n v="0"/>
    <n v="6"/>
    <x v="0"/>
    <n v="0"/>
    <n v="9"/>
    <n v="0"/>
    <n v="0"/>
    <n v="18.149999999999999"/>
    <n v="0"/>
    <n v="0"/>
    <n v="21.278333841554378"/>
    <m/>
    <m/>
    <n v="17242.5"/>
    <n v="0"/>
    <n v="0"/>
    <n v="20214.41714947666"/>
    <n v="0"/>
    <n v="0"/>
  </r>
  <r>
    <s v="Regular"/>
    <x v="0"/>
    <x v="3"/>
    <x v="3"/>
    <x v="1"/>
    <x v="0"/>
    <x v="0"/>
    <x v="2"/>
    <x v="8"/>
    <n v="13991"/>
    <n v="13991"/>
    <n v="0"/>
    <n v="0"/>
    <n v="0"/>
    <n v="0"/>
    <n v="55"/>
    <x v="0"/>
    <n v="0"/>
    <n v="9"/>
    <n v="0"/>
    <n v="0"/>
    <n v="18.149999999999999"/>
    <n v="0"/>
    <n v="0"/>
    <n v="21.278333841554378"/>
    <m/>
    <m/>
    <n v="253936.65"/>
    <n v="0"/>
    <n v="0"/>
    <n v="297705.1687771873"/>
    <n v="0"/>
    <n v="0"/>
  </r>
  <r>
    <s v="Sistema de Compensação"/>
    <x v="0"/>
    <x v="3"/>
    <x v="3"/>
    <x v="1"/>
    <x v="0"/>
    <x v="0"/>
    <x v="2"/>
    <x v="8"/>
    <n v="776"/>
    <n v="776"/>
    <n v="0"/>
    <n v="0"/>
    <n v="0"/>
    <n v="0"/>
    <n v="5"/>
    <x v="0"/>
    <n v="0"/>
    <n v="9"/>
    <n v="0"/>
    <n v="0"/>
    <n v="18.149999999999999"/>
    <n v="0"/>
    <n v="0"/>
    <n v="21.278333841554378"/>
    <m/>
    <m/>
    <n v="14084.4"/>
    <n v="0"/>
    <n v="0"/>
    <n v="16511.987061046199"/>
    <n v="0"/>
    <n v="0"/>
  </r>
  <r>
    <s v="Regular"/>
    <x v="0"/>
    <x v="3"/>
    <x v="3"/>
    <x v="1"/>
    <x v="0"/>
    <x v="0"/>
    <x v="2"/>
    <x v="9"/>
    <n v="14010"/>
    <n v="14010"/>
    <n v="0"/>
    <n v="0"/>
    <n v="0"/>
    <n v="0"/>
    <n v="56"/>
    <x v="0"/>
    <n v="0"/>
    <n v="9"/>
    <n v="0"/>
    <n v="0"/>
    <n v="18.149999999999999"/>
    <n v="0"/>
    <n v="0"/>
    <n v="21.278333841554378"/>
    <m/>
    <m/>
    <n v="254281.49999999997"/>
    <n v="0"/>
    <n v="0"/>
    <n v="298109.45712017681"/>
    <n v="0"/>
    <n v="0"/>
  </r>
  <r>
    <s v="Sistema de Compensação"/>
    <x v="0"/>
    <x v="3"/>
    <x v="3"/>
    <x v="1"/>
    <x v="0"/>
    <x v="0"/>
    <x v="2"/>
    <x v="9"/>
    <n v="776"/>
    <n v="776"/>
    <n v="0"/>
    <n v="0"/>
    <n v="0"/>
    <n v="0"/>
    <n v="5"/>
    <x v="0"/>
    <n v="0"/>
    <n v="9"/>
    <n v="0"/>
    <n v="0"/>
    <n v="18.149999999999999"/>
    <n v="0"/>
    <n v="0"/>
    <n v="21.278333841554378"/>
    <m/>
    <m/>
    <n v="14084.4"/>
    <n v="0"/>
    <n v="0"/>
    <n v="16511.987061046199"/>
    <n v="0"/>
    <n v="0"/>
  </r>
  <r>
    <s v="Regular"/>
    <x v="0"/>
    <x v="3"/>
    <x v="3"/>
    <x v="1"/>
    <x v="0"/>
    <x v="0"/>
    <x v="2"/>
    <x v="10"/>
    <n v="14031"/>
    <n v="14031"/>
    <n v="0"/>
    <n v="0"/>
    <n v="0"/>
    <n v="0"/>
    <n v="56"/>
    <x v="0"/>
    <n v="0"/>
    <n v="9"/>
    <n v="0"/>
    <n v="0"/>
    <n v="18.149999999999999"/>
    <n v="0"/>
    <n v="0"/>
    <n v="21.278333841554378"/>
    <m/>
    <m/>
    <n v="254662.65"/>
    <n v="0"/>
    <n v="0"/>
    <n v="298556.30213084951"/>
    <n v="0"/>
    <n v="0"/>
  </r>
  <r>
    <s v="Regular"/>
    <x v="0"/>
    <x v="3"/>
    <x v="3"/>
    <x v="1"/>
    <x v="0"/>
    <x v="0"/>
    <x v="2"/>
    <x v="11"/>
    <n v="13837"/>
    <n v="13837"/>
    <n v="0"/>
    <n v="0"/>
    <n v="0"/>
    <n v="0"/>
    <n v="56"/>
    <x v="0"/>
    <n v="0"/>
    <n v="9"/>
    <n v="0"/>
    <n v="0"/>
    <n v="18.149999999999999"/>
    <n v="0"/>
    <n v="0"/>
    <n v="21.278333841554378"/>
    <m/>
    <m/>
    <n v="251141.55"/>
    <n v="0"/>
    <n v="0"/>
    <n v="294428.30536558793"/>
    <n v="0"/>
    <n v="0"/>
  </r>
  <r>
    <s v="Refaturamento - Regular"/>
    <x v="0"/>
    <x v="3"/>
    <x v="3"/>
    <x v="1"/>
    <x v="0"/>
    <x v="0"/>
    <x v="2"/>
    <x v="11"/>
    <n v="-97"/>
    <n v="-97"/>
    <n v="0"/>
    <n v="0"/>
    <n v="0"/>
    <n v="0"/>
    <n v="0"/>
    <x v="0"/>
    <n v="0"/>
    <n v="9"/>
    <n v="0"/>
    <n v="0"/>
    <n v="18.149999999999999"/>
    <n v="0"/>
    <n v="0"/>
    <n v="21.278333841554378"/>
    <m/>
    <m/>
    <n v="-1760.55"/>
    <n v="0"/>
    <n v="0"/>
    <n v="-2063.9983826307748"/>
    <n v="0"/>
    <n v="0"/>
  </r>
  <r>
    <s v="Sistema de Compensação"/>
    <x v="0"/>
    <x v="3"/>
    <x v="3"/>
    <x v="1"/>
    <x v="0"/>
    <x v="0"/>
    <x v="2"/>
    <x v="11"/>
    <n v="1114"/>
    <n v="1114"/>
    <n v="0"/>
    <n v="0"/>
    <n v="0"/>
    <n v="0"/>
    <n v="7"/>
    <x v="0"/>
    <n v="0"/>
    <n v="9"/>
    <n v="0"/>
    <n v="0"/>
    <n v="18.149999999999999"/>
    <n v="0"/>
    <n v="0"/>
    <n v="21.278333841554378"/>
    <m/>
    <m/>
    <n v="20219.099999999999"/>
    <n v="0"/>
    <n v="0"/>
    <n v="23704.063899491579"/>
    <n v="0"/>
    <n v="0"/>
  </r>
  <r>
    <s v="Regular"/>
    <x v="0"/>
    <x v="3"/>
    <x v="3"/>
    <x v="1"/>
    <x v="0"/>
    <x v="0"/>
    <x v="1"/>
    <x v="0"/>
    <n v="0"/>
    <n v="0"/>
    <n v="227.98599999999999"/>
    <n v="227.98599999999999"/>
    <n v="227.98599999999999"/>
    <n v="227.98599999999999"/>
    <n v="0"/>
    <x v="0"/>
    <n v="0"/>
    <n v="0"/>
    <n v="10"/>
    <n v="77"/>
    <n v="0"/>
    <n v="1426.09"/>
    <n v="249.25"/>
    <m/>
    <n v="1692.6949328691251"/>
    <n v="135.84198201737277"/>
    <n v="0"/>
    <n v="325128.55473999999"/>
    <n v="56825.510499999997"/>
    <n v="0"/>
    <n v="385910.74696510035"/>
    <n v="30970.070112212747"/>
  </r>
  <r>
    <s v="Sistema de Compensação"/>
    <x v="0"/>
    <x v="3"/>
    <x v="3"/>
    <x v="1"/>
    <x v="0"/>
    <x v="0"/>
    <x v="1"/>
    <x v="0"/>
    <n v="0"/>
    <n v="0"/>
    <n v="0.92600000000000005"/>
    <n v="0.92600000000000005"/>
    <n v="0.92600000000000005"/>
    <n v="0.92600000000000005"/>
    <n v="0"/>
    <x v="0"/>
    <n v="0"/>
    <n v="0"/>
    <n v="10"/>
    <n v="77"/>
    <n v="0"/>
    <n v="1426.09"/>
    <n v="249.25"/>
    <m/>
    <n v="1692.6949328691251"/>
    <n v="135.84198201737277"/>
    <n v="0"/>
    <n v="1320.55934"/>
    <n v="230.80550000000002"/>
    <n v="0"/>
    <n v="1567.4355078368098"/>
    <n v="125.78967534808719"/>
  </r>
  <r>
    <s v="Regular"/>
    <x v="0"/>
    <x v="3"/>
    <x v="3"/>
    <x v="1"/>
    <x v="0"/>
    <x v="0"/>
    <x v="1"/>
    <x v="1"/>
    <n v="0"/>
    <n v="0"/>
    <n v="229.4"/>
    <n v="229.4"/>
    <n v="229.4"/>
    <n v="229.4"/>
    <n v="0"/>
    <x v="0"/>
    <n v="0"/>
    <n v="0"/>
    <n v="10"/>
    <n v="77"/>
    <n v="0"/>
    <n v="1426.09"/>
    <n v="249.25"/>
    <m/>
    <n v="1692.6949328691251"/>
    <n v="135.84198201737277"/>
    <n v="0"/>
    <n v="327145.04599999997"/>
    <n v="57177.950000000004"/>
    <n v="0"/>
    <n v="388304.21760017728"/>
    <n v="31162.150674785313"/>
  </r>
  <r>
    <s v="Sistema de Compensação"/>
    <x v="0"/>
    <x v="3"/>
    <x v="3"/>
    <x v="1"/>
    <x v="0"/>
    <x v="0"/>
    <x v="1"/>
    <x v="1"/>
    <n v="0"/>
    <n v="0"/>
    <n v="1.1779999999999999"/>
    <n v="1.1779999999999999"/>
    <n v="1.1779999999999999"/>
    <n v="1.1779999999999999"/>
    <n v="0"/>
    <x v="0"/>
    <n v="0"/>
    <n v="0"/>
    <n v="10"/>
    <n v="77"/>
    <n v="0"/>
    <n v="1426.09"/>
    <n v="249.25"/>
    <m/>
    <n v="1692.6949328691251"/>
    <n v="135.84198201737277"/>
    <n v="0"/>
    <n v="1679.9340199999999"/>
    <n v="293.61649999999997"/>
    <n v="0"/>
    <n v="1993.9946309198292"/>
    <n v="160.02185481646512"/>
  </r>
  <r>
    <s v="Regular"/>
    <x v="0"/>
    <x v="3"/>
    <x v="3"/>
    <x v="1"/>
    <x v="0"/>
    <x v="0"/>
    <x v="1"/>
    <x v="2"/>
    <n v="0"/>
    <n v="0"/>
    <n v="231.04300000000001"/>
    <n v="231.04300000000001"/>
    <n v="231.04300000000001"/>
    <n v="231.04300000000001"/>
    <n v="0"/>
    <x v="0"/>
    <n v="0"/>
    <n v="0"/>
    <n v="10"/>
    <n v="77"/>
    <n v="0"/>
    <n v="1426.09"/>
    <n v="249.25"/>
    <m/>
    <n v="1692.6949328691251"/>
    <n v="135.84198201737277"/>
    <n v="0"/>
    <n v="329488.11186999996"/>
    <n v="57587.467750000003"/>
    <n v="0"/>
    <n v="391085.31537488126"/>
    <n v="31385.339051239858"/>
  </r>
  <r>
    <s v="Sistema de Compensação"/>
    <x v="0"/>
    <x v="3"/>
    <x v="3"/>
    <x v="1"/>
    <x v="0"/>
    <x v="0"/>
    <x v="1"/>
    <x v="2"/>
    <n v="0"/>
    <n v="0"/>
    <n v="1.3169999999999999"/>
    <n v="1.3169999999999999"/>
    <n v="1.3169999999999999"/>
    <n v="1.3169999999999999"/>
    <n v="0"/>
    <x v="0"/>
    <n v="0"/>
    <n v="0"/>
    <n v="10"/>
    <n v="77"/>
    <n v="0"/>
    <n v="1426.09"/>
    <n v="249.25"/>
    <m/>
    <n v="1692.6949328691251"/>
    <n v="135.84198201737277"/>
    <n v="0"/>
    <n v="1878.1605299999999"/>
    <n v="328.26224999999999"/>
    <n v="0"/>
    <n v="2229.2792265886378"/>
    <n v="178.90389031687994"/>
  </r>
  <r>
    <s v="Regular"/>
    <x v="0"/>
    <x v="3"/>
    <x v="3"/>
    <x v="1"/>
    <x v="0"/>
    <x v="0"/>
    <x v="1"/>
    <x v="3"/>
    <n v="0"/>
    <n v="0"/>
    <n v="187.69200000000001"/>
    <n v="187.69200000000001"/>
    <n v="187.69200000000001"/>
    <n v="187.69200000000001"/>
    <n v="0"/>
    <x v="0"/>
    <n v="0"/>
    <n v="0"/>
    <n v="10"/>
    <n v="77"/>
    <n v="0"/>
    <n v="1426.09"/>
    <n v="249.25"/>
    <m/>
    <n v="1692.6949328691251"/>
    <n v="135.84198201737277"/>
    <n v="0"/>
    <n v="267665.68427999999"/>
    <n v="46782.231"/>
    <n v="0"/>
    <n v="317705.29734007182"/>
    <n v="25496.453288804732"/>
  </r>
  <r>
    <s v="Sistema de Compensação"/>
    <x v="0"/>
    <x v="3"/>
    <x v="3"/>
    <x v="1"/>
    <x v="0"/>
    <x v="0"/>
    <x v="1"/>
    <x v="3"/>
    <n v="0"/>
    <n v="0"/>
    <n v="1.0589999999999999"/>
    <n v="1.0589999999999999"/>
    <n v="1.0589999999999999"/>
    <n v="1.0589999999999999"/>
    <n v="0"/>
    <x v="0"/>
    <n v="0"/>
    <n v="0"/>
    <n v="10"/>
    <n v="77"/>
    <n v="0"/>
    <n v="1426.09"/>
    <n v="249.25"/>
    <m/>
    <n v="1692.6949328691251"/>
    <n v="135.84198201737277"/>
    <n v="0"/>
    <n v="1510.2293099999999"/>
    <n v="263.95574999999997"/>
    <n v="0"/>
    <n v="1792.5639339084034"/>
    <n v="143.85665895639775"/>
  </r>
  <r>
    <s v="Regular"/>
    <x v="0"/>
    <x v="3"/>
    <x v="3"/>
    <x v="1"/>
    <x v="0"/>
    <x v="0"/>
    <x v="1"/>
    <x v="4"/>
    <n v="0"/>
    <n v="0"/>
    <n v="210.47200000000001"/>
    <n v="210.47200000000001"/>
    <n v="210.47200000000001"/>
    <n v="210.47200000000001"/>
    <n v="0"/>
    <x v="0"/>
    <n v="0"/>
    <n v="0"/>
    <n v="10"/>
    <n v="77"/>
    <n v="0"/>
    <n v="1426.09"/>
    <n v="249.25"/>
    <m/>
    <n v="1692.6949328691251"/>
    <n v="135.84198201737277"/>
    <n v="0"/>
    <n v="300152.01448000001"/>
    <n v="52460.146000000001"/>
    <n v="0"/>
    <n v="356264.8879108305"/>
    <n v="28590.933639160485"/>
  </r>
  <r>
    <s v="Sistema de Compensação"/>
    <x v="0"/>
    <x v="3"/>
    <x v="3"/>
    <x v="1"/>
    <x v="0"/>
    <x v="0"/>
    <x v="1"/>
    <x v="4"/>
    <n v="0"/>
    <n v="0"/>
    <n v="1.2370000000000001"/>
    <n v="1.2370000000000001"/>
    <n v="1.2370000000000001"/>
    <n v="1.2370000000000001"/>
    <n v="0"/>
    <x v="0"/>
    <n v="0"/>
    <n v="0"/>
    <n v="10"/>
    <n v="77"/>
    <n v="0"/>
    <n v="1426.09"/>
    <n v="249.25"/>
    <m/>
    <n v="1692.6949328691251"/>
    <n v="135.84198201737277"/>
    <n v="0"/>
    <n v="1764.0733299999999"/>
    <n v="308.32225"/>
    <n v="0"/>
    <n v="2093.8636319591078"/>
    <n v="168.03653175549013"/>
  </r>
  <r>
    <s v="Regular"/>
    <x v="0"/>
    <x v="3"/>
    <x v="3"/>
    <x v="1"/>
    <x v="0"/>
    <x v="0"/>
    <x v="1"/>
    <x v="5"/>
    <n v="0"/>
    <n v="0"/>
    <n v="225.51599999999999"/>
    <n v="225.51599999999999"/>
    <n v="225.51599999999999"/>
    <n v="225.51599999999999"/>
    <n v="0"/>
    <x v="0"/>
    <n v="0"/>
    <n v="0"/>
    <n v="10"/>
    <n v="77"/>
    <n v="0"/>
    <n v="1426.09"/>
    <n v="249.25"/>
    <m/>
    <n v="1692.6949328691251"/>
    <n v="135.84198201737277"/>
    <n v="0"/>
    <n v="321606.11244"/>
    <n v="56209.862999999998"/>
    <n v="0"/>
    <n v="381729.79048091359"/>
    <n v="30634.540416629836"/>
  </r>
  <r>
    <s v="Sistema de Compensação"/>
    <x v="0"/>
    <x v="3"/>
    <x v="3"/>
    <x v="1"/>
    <x v="0"/>
    <x v="0"/>
    <x v="1"/>
    <x v="5"/>
    <n v="0"/>
    <n v="0"/>
    <n v="1.113"/>
    <n v="1.113"/>
    <n v="1.113"/>
    <n v="1.113"/>
    <n v="0"/>
    <x v="0"/>
    <n v="0"/>
    <n v="0"/>
    <n v="10"/>
    <n v="77"/>
    <n v="0"/>
    <n v="1426.09"/>
    <n v="249.25"/>
    <m/>
    <n v="1692.6949328691251"/>
    <n v="135.84198201737277"/>
    <n v="0"/>
    <n v="1587.2381699999999"/>
    <n v="277.41525000000001"/>
    <n v="0"/>
    <n v="1883.9694602833363"/>
    <n v="151.19212598533591"/>
  </r>
  <r>
    <s v="Regular"/>
    <x v="0"/>
    <x v="3"/>
    <x v="3"/>
    <x v="1"/>
    <x v="0"/>
    <x v="0"/>
    <x v="1"/>
    <x v="6"/>
    <n v="0"/>
    <n v="0"/>
    <n v="249.94399999999999"/>
    <n v="249.94399999999999"/>
    <n v="249.94399999999999"/>
    <n v="249.94399999999999"/>
    <n v="0"/>
    <x v="0"/>
    <n v="0"/>
    <n v="0"/>
    <n v="10"/>
    <n v="77"/>
    <n v="0"/>
    <n v="1426.09"/>
    <n v="249.25"/>
    <m/>
    <n v="1692.6949328691251"/>
    <n v="135.84198201737277"/>
    <n v="0"/>
    <n v="356442.63895999995"/>
    <n v="62298.541999999994"/>
    <n v="0"/>
    <n v="423078.94230104057"/>
    <n v="33952.888353350216"/>
  </r>
  <r>
    <s v="Sistema de Compensação"/>
    <x v="0"/>
    <x v="3"/>
    <x v="3"/>
    <x v="1"/>
    <x v="0"/>
    <x v="0"/>
    <x v="1"/>
    <x v="6"/>
    <n v="0"/>
    <n v="0"/>
    <n v="1.5529999999999999"/>
    <n v="1.5529999999999999"/>
    <n v="1.5529999999999999"/>
    <n v="1.5529999999999999"/>
    <n v="0"/>
    <x v="0"/>
    <n v="0"/>
    <n v="0"/>
    <n v="10"/>
    <n v="77"/>
    <n v="0"/>
    <n v="1426.09"/>
    <n v="249.25"/>
    <m/>
    <n v="1692.6949328691251"/>
    <n v="135.84198201737277"/>
    <n v="0"/>
    <n v="2214.7177699999997"/>
    <n v="387.08524999999997"/>
    <n v="0"/>
    <n v="2628.7552307457513"/>
    <n v="210.96259807297992"/>
  </r>
  <r>
    <s v="Regular"/>
    <x v="0"/>
    <x v="3"/>
    <x v="3"/>
    <x v="1"/>
    <x v="0"/>
    <x v="0"/>
    <x v="1"/>
    <x v="7"/>
    <n v="0"/>
    <n v="0"/>
    <n v="212.27199999999999"/>
    <n v="212.27199999999999"/>
    <n v="212.27199999999999"/>
    <n v="212.27199999999999"/>
    <n v="0"/>
    <x v="0"/>
    <n v="0"/>
    <n v="0"/>
    <n v="10"/>
    <n v="77"/>
    <n v="0"/>
    <n v="1426.09"/>
    <n v="249.25"/>
    <m/>
    <n v="1692.6949328691251"/>
    <n v="135.84198201737277"/>
    <n v="0"/>
    <n v="302718.97647999995"/>
    <n v="52908.795999999995"/>
    <n v="0"/>
    <n v="359311.73878999491"/>
    <n v="28835.449206791753"/>
  </r>
  <r>
    <s v="Sistema de Compensação"/>
    <x v="0"/>
    <x v="3"/>
    <x v="3"/>
    <x v="1"/>
    <x v="0"/>
    <x v="0"/>
    <x v="1"/>
    <x v="7"/>
    <n v="0"/>
    <n v="0"/>
    <n v="1.5489999999999999"/>
    <n v="1.5489999999999999"/>
    <n v="1.5489999999999999"/>
    <n v="1.5489999999999999"/>
    <n v="0"/>
    <x v="0"/>
    <n v="0"/>
    <n v="0"/>
    <n v="10"/>
    <n v="77"/>
    <n v="0"/>
    <n v="1426.09"/>
    <n v="249.25"/>
    <m/>
    <n v="1692.6949328691251"/>
    <n v="135.84198201737277"/>
    <n v="0"/>
    <n v="2209.0134099999996"/>
    <n v="386.08824999999996"/>
    <n v="0"/>
    <n v="2621.9844510142748"/>
    <n v="210.41923014491041"/>
  </r>
  <r>
    <s v="Regular"/>
    <x v="0"/>
    <x v="3"/>
    <x v="3"/>
    <x v="1"/>
    <x v="0"/>
    <x v="0"/>
    <x v="1"/>
    <x v="8"/>
    <n v="0"/>
    <n v="0"/>
    <n v="227.17599999999999"/>
    <n v="227.17599999999999"/>
    <n v="227.17599999999999"/>
    <n v="227.17599999999999"/>
    <n v="0"/>
    <x v="0"/>
    <n v="0"/>
    <n v="0"/>
    <n v="10"/>
    <n v="77"/>
    <n v="0"/>
    <n v="1426.09"/>
    <n v="249.25"/>
    <m/>
    <n v="1692.6949328691251"/>
    <n v="135.84198201737277"/>
    <n v="0"/>
    <n v="323973.42183999997"/>
    <n v="56623.617999999995"/>
    <n v="0"/>
    <n v="384539.66406947636"/>
    <n v="30860.038106778677"/>
  </r>
  <r>
    <s v="Sistema de Compensação"/>
    <x v="0"/>
    <x v="3"/>
    <x v="3"/>
    <x v="1"/>
    <x v="0"/>
    <x v="0"/>
    <x v="1"/>
    <x v="8"/>
    <n v="0"/>
    <n v="0"/>
    <n v="1.038"/>
    <n v="1.038"/>
    <n v="1.038"/>
    <n v="1.038"/>
    <n v="0"/>
    <x v="0"/>
    <n v="0"/>
    <n v="0"/>
    <n v="10"/>
    <n v="77"/>
    <n v="0"/>
    <n v="1426.09"/>
    <n v="249.25"/>
    <m/>
    <n v="1692.6949328691251"/>
    <n v="135.84198201737277"/>
    <n v="0"/>
    <n v="1480.28142"/>
    <n v="258.72149999999999"/>
    <n v="0"/>
    <n v="1757.0173403181518"/>
    <n v="141.00397733403295"/>
  </r>
  <r>
    <s v="Regular"/>
    <x v="0"/>
    <x v="3"/>
    <x v="3"/>
    <x v="1"/>
    <x v="0"/>
    <x v="0"/>
    <x v="1"/>
    <x v="9"/>
    <n v="0"/>
    <n v="0"/>
    <n v="234.74199999999999"/>
    <n v="234.74199999999999"/>
    <n v="234.74199999999999"/>
    <n v="234.74199999999999"/>
    <n v="0"/>
    <x v="0"/>
    <n v="0"/>
    <n v="0"/>
    <n v="10"/>
    <n v="77"/>
    <n v="0"/>
    <n v="1426.09"/>
    <n v="249.25"/>
    <m/>
    <n v="1692.6949328691251"/>
    <n v="135.84198201737277"/>
    <n v="0"/>
    <n v="334763.21878"/>
    <n v="58509.443499999994"/>
    <n v="0"/>
    <n v="397346.59393156413"/>
    <n v="31887.818542722118"/>
  </r>
  <r>
    <s v="Sistema de Compensação"/>
    <x v="0"/>
    <x v="3"/>
    <x v="3"/>
    <x v="1"/>
    <x v="0"/>
    <x v="0"/>
    <x v="1"/>
    <x v="9"/>
    <n v="0"/>
    <n v="0"/>
    <n v="1.1060000000000001"/>
    <n v="1.1060000000000001"/>
    <n v="1.1060000000000001"/>
    <n v="1.1060000000000001"/>
    <n v="0"/>
    <x v="0"/>
    <n v="0"/>
    <n v="0"/>
    <n v="10"/>
    <n v="77"/>
    <n v="0"/>
    <n v="1426.09"/>
    <n v="249.25"/>
    <m/>
    <n v="1692.6949328691251"/>
    <n v="135.84198201737277"/>
    <n v="0"/>
    <n v="1577.2555400000001"/>
    <n v="275.6705"/>
    <n v="0"/>
    <n v="1872.1205957532525"/>
    <n v="150.24123211121429"/>
  </r>
  <r>
    <s v="Regular"/>
    <x v="0"/>
    <x v="3"/>
    <x v="3"/>
    <x v="1"/>
    <x v="0"/>
    <x v="0"/>
    <x v="1"/>
    <x v="10"/>
    <n v="0"/>
    <n v="0"/>
    <n v="234.173"/>
    <n v="234.173"/>
    <n v="234.173"/>
    <n v="234.173"/>
    <n v="0"/>
    <x v="0"/>
    <n v="0"/>
    <n v="0"/>
    <n v="10"/>
    <n v="77"/>
    <n v="0"/>
    <n v="1426.09"/>
    <n v="249.25"/>
    <m/>
    <n v="1692.6949328691251"/>
    <n v="135.84198201737277"/>
    <n v="0"/>
    <n v="333951.77356999996"/>
    <n v="58367.62025"/>
    <n v="0"/>
    <n v="396383.45051476161"/>
    <n v="31810.524454954233"/>
  </r>
  <r>
    <s v="Regular"/>
    <x v="0"/>
    <x v="3"/>
    <x v="3"/>
    <x v="1"/>
    <x v="0"/>
    <x v="0"/>
    <x v="1"/>
    <x v="11"/>
    <n v="0"/>
    <n v="0"/>
    <n v="264.64100000000002"/>
    <n v="264.64100000000002"/>
    <n v="264.64100000000002"/>
    <n v="264.64100000000002"/>
    <n v="0"/>
    <x v="0"/>
    <n v="0"/>
    <n v="0"/>
    <n v="10"/>
    <n v="77"/>
    <n v="0"/>
    <n v="1426.09"/>
    <n v="249.25"/>
    <m/>
    <n v="1692.6949328691251"/>
    <n v="135.84198201737277"/>
    <n v="0"/>
    <n v="377401.88368999999"/>
    <n v="65961.769250000012"/>
    <n v="0"/>
    <n v="447956.47972941818"/>
    <n v="35949.357963059549"/>
  </r>
  <r>
    <s v="Refaturamento - Regular"/>
    <x v="0"/>
    <x v="3"/>
    <x v="3"/>
    <x v="1"/>
    <x v="0"/>
    <x v="0"/>
    <x v="1"/>
    <x v="11"/>
    <n v="0"/>
    <n v="0"/>
    <n v="-3.1890000000000001"/>
    <n v="-3.1890000000000001"/>
    <n v="-3.1890000000000001"/>
    <n v="-3.1890000000000001"/>
    <n v="0"/>
    <x v="0"/>
    <n v="0"/>
    <n v="0"/>
    <n v="10"/>
    <n v="77"/>
    <n v="0"/>
    <n v="1426.09"/>
    <n v="249.25"/>
    <m/>
    <n v="1692.6949328691251"/>
    <n v="135.84198201737277"/>
    <n v="0"/>
    <n v="-4547.8010100000001"/>
    <n v="-794.85825"/>
    <n v="0"/>
    <n v="-5398.0041409196401"/>
    <n v="-433.20008065340176"/>
  </r>
  <r>
    <s v="Sistema de Compensação"/>
    <x v="0"/>
    <x v="3"/>
    <x v="3"/>
    <x v="1"/>
    <x v="0"/>
    <x v="0"/>
    <x v="1"/>
    <x v="11"/>
    <n v="0"/>
    <n v="0"/>
    <n v="7.3390000000000004"/>
    <n v="7.3390000000000004"/>
    <n v="7.3390000000000004"/>
    <n v="7.3390000000000004"/>
    <n v="0"/>
    <x v="0"/>
    <n v="0"/>
    <n v="0"/>
    <n v="10"/>
    <n v="77"/>
    <n v="0"/>
    <n v="1426.09"/>
    <n v="249.25"/>
    <m/>
    <n v="1692.6949328691251"/>
    <n v="135.84198201737277"/>
    <n v="0"/>
    <n v="10466.07451"/>
    <n v="1829.24575"/>
    <n v="0"/>
    <n v="12422.68811232651"/>
    <n v="996.9443060254988"/>
  </r>
  <r>
    <s v="Regular"/>
    <x v="0"/>
    <x v="3"/>
    <x v="4"/>
    <x v="1"/>
    <x v="0"/>
    <x v="0"/>
    <x v="0"/>
    <x v="0"/>
    <n v="0"/>
    <n v="0"/>
    <n v="8.141"/>
    <n v="8.141"/>
    <n v="8.141"/>
    <n v="8.141"/>
    <n v="0"/>
    <x v="0"/>
    <n v="0"/>
    <n v="0"/>
    <n v="13"/>
    <n v="69"/>
    <n v="0"/>
    <n v="71.14"/>
    <n v="249.25"/>
    <m/>
    <n v="99.958395464781461"/>
    <n v="135.84198201737277"/>
    <n v="0"/>
    <n v="579.15074000000004"/>
    <n v="2029.1442500000001"/>
    <n v="0"/>
    <n v="813.76129747878588"/>
    <n v="1105.8895756034317"/>
  </r>
  <r>
    <s v="Regular"/>
    <x v="0"/>
    <x v="3"/>
    <x v="4"/>
    <x v="1"/>
    <x v="0"/>
    <x v="0"/>
    <x v="0"/>
    <x v="1"/>
    <n v="0"/>
    <n v="0"/>
    <n v="8.1289999999999996"/>
    <n v="8.1289999999999996"/>
    <n v="8.1289999999999996"/>
    <n v="8.1289999999999996"/>
    <n v="0"/>
    <x v="0"/>
    <n v="0"/>
    <n v="0"/>
    <n v="13"/>
    <n v="69"/>
    <n v="0"/>
    <n v="71.14"/>
    <n v="249.25"/>
    <m/>
    <n v="99.958395464781461"/>
    <n v="135.84198201737277"/>
    <n v="0"/>
    <n v="578.29705999999999"/>
    <n v="2026.1532499999998"/>
    <n v="0"/>
    <n v="812.56179673320844"/>
    <n v="1104.2594718192231"/>
  </r>
  <r>
    <s v="Regular"/>
    <x v="0"/>
    <x v="3"/>
    <x v="4"/>
    <x v="1"/>
    <x v="0"/>
    <x v="0"/>
    <x v="0"/>
    <x v="2"/>
    <n v="0"/>
    <n v="0"/>
    <n v="15.029"/>
    <n v="15.029"/>
    <n v="15.029"/>
    <n v="15.029"/>
    <n v="0"/>
    <x v="0"/>
    <n v="0"/>
    <n v="0"/>
    <n v="13"/>
    <n v="69"/>
    <n v="0"/>
    <n v="71.14"/>
    <n v="249.25"/>
    <m/>
    <n v="99.958395464781461"/>
    <n v="135.84198201737277"/>
    <n v="0"/>
    <n v="1069.1630600000001"/>
    <n v="3745.9782500000001"/>
    <n v="0"/>
    <n v="1502.2747254402007"/>
    <n v="2041.5691477390953"/>
  </r>
  <r>
    <s v="Regular"/>
    <x v="0"/>
    <x v="3"/>
    <x v="4"/>
    <x v="1"/>
    <x v="0"/>
    <x v="0"/>
    <x v="0"/>
    <x v="3"/>
    <n v="0"/>
    <n v="0"/>
    <n v="6.3529999999999998"/>
    <n v="6.3529999999999998"/>
    <n v="6.3529999999999998"/>
    <n v="6.3529999999999998"/>
    <n v="0"/>
    <x v="0"/>
    <n v="0"/>
    <n v="0"/>
    <n v="13"/>
    <n v="69"/>
    <n v="0"/>
    <n v="71.14"/>
    <n v="249.25"/>
    <m/>
    <n v="99.958395464781461"/>
    <n v="135.84198201737277"/>
    <n v="0"/>
    <n v="451.95241999999996"/>
    <n v="1583.48525"/>
    <n v="0"/>
    <n v="635.03568638775664"/>
    <n v="863.00411175636918"/>
  </r>
  <r>
    <s v="Regular"/>
    <x v="0"/>
    <x v="3"/>
    <x v="4"/>
    <x v="1"/>
    <x v="0"/>
    <x v="0"/>
    <x v="0"/>
    <x v="4"/>
    <n v="0"/>
    <n v="0"/>
    <n v="2.786"/>
    <n v="2.786"/>
    <n v="2.786"/>
    <n v="2.786"/>
    <n v="0"/>
    <x v="0"/>
    <n v="0"/>
    <n v="0"/>
    <n v="13"/>
    <n v="69"/>
    <n v="0"/>
    <n v="71.14"/>
    <n v="249.25"/>
    <m/>
    <n v="99.958395464781461"/>
    <n v="135.84198201737277"/>
    <n v="0"/>
    <n v="198.19604000000001"/>
    <n v="694.41049999999996"/>
    <n v="0"/>
    <n v="278.48408976488116"/>
    <n v="378.45576190040055"/>
  </r>
  <r>
    <s v="Regular"/>
    <x v="0"/>
    <x v="3"/>
    <x v="4"/>
    <x v="1"/>
    <x v="0"/>
    <x v="0"/>
    <x v="0"/>
    <x v="5"/>
    <n v="0"/>
    <n v="0"/>
    <n v="16.231000000000002"/>
    <n v="16.231000000000002"/>
    <n v="16.231000000000002"/>
    <n v="16.231000000000002"/>
    <n v="0"/>
    <x v="0"/>
    <n v="0"/>
    <n v="0"/>
    <n v="13"/>
    <n v="69"/>
    <n v="0"/>
    <n v="71.14"/>
    <n v="249.25"/>
    <m/>
    <n v="99.958395464781461"/>
    <n v="135.84198201737277"/>
    <n v="0"/>
    <n v="1154.6733400000001"/>
    <n v="4045.5767500000006"/>
    <n v="0"/>
    <n v="1622.424716788868"/>
    <n v="2204.8512101239776"/>
  </r>
  <r>
    <s v="Regular"/>
    <x v="0"/>
    <x v="3"/>
    <x v="4"/>
    <x v="1"/>
    <x v="0"/>
    <x v="0"/>
    <x v="0"/>
    <x v="6"/>
    <n v="0"/>
    <n v="0"/>
    <n v="19.030999999999999"/>
    <n v="19.030999999999999"/>
    <n v="19.030999999999999"/>
    <n v="19.030999999999999"/>
    <n v="0"/>
    <x v="0"/>
    <n v="0"/>
    <n v="0"/>
    <n v="13"/>
    <n v="69"/>
    <n v="0"/>
    <n v="71.14"/>
    <n v="249.25"/>
    <m/>
    <n v="99.958395464781461"/>
    <n v="135.84198201737277"/>
    <n v="0"/>
    <n v="1353.8653399999998"/>
    <n v="4743.4767499999998"/>
    <n v="0"/>
    <n v="1902.3082240902559"/>
    <n v="2585.2087597726209"/>
  </r>
  <r>
    <s v="Regular"/>
    <x v="0"/>
    <x v="3"/>
    <x v="4"/>
    <x v="1"/>
    <x v="0"/>
    <x v="0"/>
    <x v="0"/>
    <x v="7"/>
    <n v="0"/>
    <n v="0"/>
    <n v="12.247"/>
    <n v="12.247"/>
    <n v="12.247"/>
    <n v="12.247"/>
    <n v="0"/>
    <x v="0"/>
    <n v="0"/>
    <n v="0"/>
    <n v="13"/>
    <n v="69"/>
    <n v="0"/>
    <n v="71.14"/>
    <n v="249.25"/>
    <m/>
    <n v="99.958395464781461"/>
    <n v="135.84198201737277"/>
    <n v="0"/>
    <n v="871.25157999999999"/>
    <n v="3052.56475"/>
    <n v="0"/>
    <n v="1224.1904692571786"/>
    <n v="1663.6567537667643"/>
  </r>
  <r>
    <s v="Regular"/>
    <x v="0"/>
    <x v="3"/>
    <x v="4"/>
    <x v="1"/>
    <x v="0"/>
    <x v="0"/>
    <x v="0"/>
    <x v="8"/>
    <n v="0"/>
    <n v="0"/>
    <n v="9.77"/>
    <n v="9.77"/>
    <n v="9.77"/>
    <n v="9.77"/>
    <n v="0"/>
    <x v="0"/>
    <n v="0"/>
    <n v="0"/>
    <n v="13"/>
    <n v="69"/>
    <n v="0"/>
    <n v="71.14"/>
    <n v="249.25"/>
    <m/>
    <n v="99.958395464781461"/>
    <n v="135.84198201737277"/>
    <n v="0"/>
    <n v="695.03779999999995"/>
    <n v="2435.1724999999997"/>
    <n v="0"/>
    <n v="976.59352369091482"/>
    <n v="1327.176164309732"/>
  </r>
  <r>
    <s v="Regular"/>
    <x v="0"/>
    <x v="3"/>
    <x v="4"/>
    <x v="1"/>
    <x v="0"/>
    <x v="0"/>
    <x v="0"/>
    <x v="9"/>
    <n v="0"/>
    <n v="0"/>
    <n v="10.968"/>
    <n v="10.968"/>
    <n v="10.968"/>
    <n v="10.968"/>
    <n v="0"/>
    <x v="0"/>
    <n v="0"/>
    <n v="0"/>
    <n v="13"/>
    <n v="69"/>
    <n v="0"/>
    <n v="71.14"/>
    <n v="249.25"/>
    <m/>
    <n v="99.958395464781461"/>
    <n v="135.84198201737277"/>
    <n v="0"/>
    <n v="780.26351999999997"/>
    <n v="2733.7739999999999"/>
    <n v="0"/>
    <n v="1096.3436814577231"/>
    <n v="1489.9148587665445"/>
  </r>
  <r>
    <s v="Regular"/>
    <x v="0"/>
    <x v="3"/>
    <x v="4"/>
    <x v="1"/>
    <x v="0"/>
    <x v="0"/>
    <x v="0"/>
    <x v="10"/>
    <n v="0"/>
    <n v="0"/>
    <n v="7.8019999999999996"/>
    <n v="7.8019999999999996"/>
    <n v="7.8019999999999996"/>
    <n v="7.8019999999999996"/>
    <n v="0"/>
    <x v="0"/>
    <n v="0"/>
    <n v="0"/>
    <n v="13"/>
    <n v="69"/>
    <n v="0"/>
    <n v="71.14"/>
    <n v="249.25"/>
    <m/>
    <n v="99.958395464781461"/>
    <n v="135.84198201737277"/>
    <n v="0"/>
    <n v="555.03427999999997"/>
    <n v="1944.6485"/>
    <n v="0"/>
    <n v="779.87540141622492"/>
    <n v="1059.8391436995423"/>
  </r>
  <r>
    <s v="Regular"/>
    <x v="0"/>
    <x v="3"/>
    <x v="4"/>
    <x v="1"/>
    <x v="0"/>
    <x v="0"/>
    <x v="0"/>
    <x v="11"/>
    <n v="0"/>
    <n v="0"/>
    <n v="10.375999999999999"/>
    <n v="10.375999999999999"/>
    <n v="10.375999999999999"/>
    <n v="10.375999999999999"/>
    <n v="0"/>
    <x v="0"/>
    <n v="0"/>
    <n v="0"/>
    <n v="13"/>
    <n v="69"/>
    <n v="0"/>
    <n v="71.14"/>
    <n v="249.25"/>
    <m/>
    <n v="99.958395464781461"/>
    <n v="135.84198201737277"/>
    <n v="0"/>
    <n v="738.14864"/>
    <n v="2586.2179999999998"/>
    <n v="0"/>
    <n v="1037.1683113425725"/>
    <n v="1409.4964054122597"/>
  </r>
  <r>
    <s v="Regular"/>
    <x v="0"/>
    <x v="3"/>
    <x v="4"/>
    <x v="1"/>
    <x v="0"/>
    <x v="0"/>
    <x v="2"/>
    <x v="0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1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2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3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4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5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6"/>
    <n v="160"/>
    <n v="160"/>
    <n v="0"/>
    <n v="0"/>
    <n v="0"/>
    <n v="0"/>
    <n v="2"/>
    <x v="0"/>
    <n v="0"/>
    <n v="9"/>
    <n v="0"/>
    <n v="0"/>
    <n v="18.149999999999999"/>
    <n v="0"/>
    <n v="0"/>
    <n v="21.278333841554378"/>
    <m/>
    <m/>
    <n v="2904"/>
    <n v="0"/>
    <n v="0"/>
    <n v="3404.5334146487003"/>
    <n v="0"/>
    <n v="0"/>
  </r>
  <r>
    <s v="Regular"/>
    <x v="0"/>
    <x v="3"/>
    <x v="4"/>
    <x v="1"/>
    <x v="0"/>
    <x v="0"/>
    <x v="2"/>
    <x v="7"/>
    <n v="238"/>
    <n v="238"/>
    <n v="0"/>
    <n v="0"/>
    <n v="0"/>
    <n v="0"/>
    <n v="3"/>
    <x v="0"/>
    <n v="0"/>
    <n v="9"/>
    <n v="0"/>
    <n v="0"/>
    <n v="18.149999999999999"/>
    <n v="0"/>
    <n v="0"/>
    <n v="21.278333841554378"/>
    <m/>
    <m/>
    <n v="4319.7"/>
    <n v="0"/>
    <n v="0"/>
    <n v="5064.2434542899418"/>
    <n v="0"/>
    <n v="0"/>
  </r>
  <r>
    <s v="Regular"/>
    <x v="0"/>
    <x v="3"/>
    <x v="4"/>
    <x v="1"/>
    <x v="0"/>
    <x v="0"/>
    <x v="2"/>
    <x v="8"/>
    <n v="260"/>
    <n v="260"/>
    <n v="0"/>
    <n v="0"/>
    <n v="0"/>
    <n v="0"/>
    <n v="3"/>
    <x v="0"/>
    <n v="0"/>
    <n v="9"/>
    <n v="0"/>
    <n v="0"/>
    <n v="18.149999999999999"/>
    <n v="0"/>
    <n v="0"/>
    <n v="21.278333841554378"/>
    <m/>
    <m/>
    <n v="4719"/>
    <n v="0"/>
    <n v="0"/>
    <n v="5532.3667988041379"/>
    <n v="0"/>
    <n v="0"/>
  </r>
  <r>
    <s v="Regular"/>
    <x v="0"/>
    <x v="3"/>
    <x v="4"/>
    <x v="1"/>
    <x v="0"/>
    <x v="0"/>
    <x v="2"/>
    <x v="9"/>
    <n v="260"/>
    <n v="260"/>
    <n v="0"/>
    <n v="0"/>
    <n v="0"/>
    <n v="0"/>
    <n v="3"/>
    <x v="0"/>
    <n v="0"/>
    <n v="9"/>
    <n v="0"/>
    <n v="0"/>
    <n v="18.149999999999999"/>
    <n v="0"/>
    <n v="0"/>
    <n v="21.278333841554378"/>
    <m/>
    <m/>
    <n v="4719"/>
    <n v="0"/>
    <n v="0"/>
    <n v="5532.3667988041379"/>
    <n v="0"/>
    <n v="0"/>
  </r>
  <r>
    <s v="Regular"/>
    <x v="0"/>
    <x v="3"/>
    <x v="4"/>
    <x v="1"/>
    <x v="0"/>
    <x v="0"/>
    <x v="2"/>
    <x v="10"/>
    <n v="260"/>
    <n v="260"/>
    <n v="0"/>
    <n v="0"/>
    <n v="0"/>
    <n v="0"/>
    <n v="3"/>
    <x v="0"/>
    <n v="0"/>
    <n v="9"/>
    <n v="0"/>
    <n v="0"/>
    <n v="18.149999999999999"/>
    <n v="0"/>
    <n v="0"/>
    <n v="21.278333841554378"/>
    <m/>
    <m/>
    <n v="4719"/>
    <n v="0"/>
    <n v="0"/>
    <n v="5532.3667988041379"/>
    <n v="0"/>
    <n v="0"/>
  </r>
  <r>
    <s v="Regular"/>
    <x v="0"/>
    <x v="3"/>
    <x v="4"/>
    <x v="1"/>
    <x v="0"/>
    <x v="0"/>
    <x v="2"/>
    <x v="11"/>
    <n v="260"/>
    <n v="260"/>
    <n v="0"/>
    <n v="0"/>
    <n v="0"/>
    <n v="0"/>
    <n v="3"/>
    <x v="0"/>
    <n v="0"/>
    <n v="9"/>
    <n v="0"/>
    <n v="0"/>
    <n v="18.149999999999999"/>
    <n v="0"/>
    <n v="0"/>
    <n v="21.278333841554378"/>
    <m/>
    <m/>
    <n v="4719"/>
    <n v="0"/>
    <n v="0"/>
    <n v="5532.3667988041379"/>
    <n v="0"/>
    <n v="0"/>
  </r>
  <r>
    <s v="Regular"/>
    <x v="0"/>
    <x v="3"/>
    <x v="4"/>
    <x v="1"/>
    <x v="0"/>
    <x v="0"/>
    <x v="1"/>
    <x v="0"/>
    <n v="0"/>
    <n v="0"/>
    <n v="1.0549999999999999"/>
    <n v="1.0549999999999999"/>
    <n v="1.0549999999999999"/>
    <n v="1.0549999999999999"/>
    <n v="0"/>
    <x v="0"/>
    <n v="0"/>
    <n v="0"/>
    <n v="10"/>
    <n v="77"/>
    <n v="0"/>
    <n v="1426.09"/>
    <n v="249.25"/>
    <m/>
    <n v="1692.6949328691251"/>
    <n v="135.84198201737277"/>
    <n v="0"/>
    <n v="1504.5249499999998"/>
    <n v="262.95875000000001"/>
    <n v="0"/>
    <n v="1785.7931541769269"/>
    <n v="143.31329102832825"/>
  </r>
  <r>
    <s v="Regular"/>
    <x v="0"/>
    <x v="3"/>
    <x v="4"/>
    <x v="1"/>
    <x v="0"/>
    <x v="0"/>
    <x v="1"/>
    <x v="1"/>
    <n v="0"/>
    <n v="0"/>
    <n v="0.92"/>
    <n v="0.92"/>
    <n v="0.92"/>
    <n v="0.92"/>
    <n v="0"/>
    <x v="0"/>
    <n v="0"/>
    <n v="0"/>
    <n v="10"/>
    <n v="77"/>
    <n v="0"/>
    <n v="1426.09"/>
    <n v="249.25"/>
    <m/>
    <n v="1692.6949328691251"/>
    <n v="135.84198201737277"/>
    <n v="0"/>
    <n v="1312.0028"/>
    <n v="229.31"/>
    <n v="0"/>
    <n v="1557.2793382395951"/>
    <n v="124.97462345598295"/>
  </r>
  <r>
    <s v="Regular"/>
    <x v="0"/>
    <x v="3"/>
    <x v="4"/>
    <x v="1"/>
    <x v="0"/>
    <x v="0"/>
    <x v="1"/>
    <x v="2"/>
    <n v="0"/>
    <n v="0"/>
    <n v="1.5009999999999999"/>
    <n v="1.5009999999999999"/>
    <n v="1.5009999999999999"/>
    <n v="1.5009999999999999"/>
    <n v="0"/>
    <x v="0"/>
    <n v="0"/>
    <n v="0"/>
    <n v="10"/>
    <n v="77"/>
    <n v="0"/>
    <n v="1426.09"/>
    <n v="249.25"/>
    <m/>
    <n v="1692.6949328691251"/>
    <n v="135.84198201737277"/>
    <n v="0"/>
    <n v="2140.5610899999997"/>
    <n v="374.12424999999996"/>
    <n v="0"/>
    <n v="2540.7350942365565"/>
    <n v="203.89881500807653"/>
  </r>
  <r>
    <s v="Regular"/>
    <x v="0"/>
    <x v="3"/>
    <x v="4"/>
    <x v="1"/>
    <x v="0"/>
    <x v="0"/>
    <x v="1"/>
    <x v="3"/>
    <n v="0"/>
    <n v="0"/>
    <n v="0.71"/>
    <n v="0.71"/>
    <n v="0.71"/>
    <n v="0.71"/>
    <n v="0"/>
    <x v="0"/>
    <n v="0"/>
    <n v="0"/>
    <n v="10"/>
    <n v="77"/>
    <n v="0"/>
    <n v="1426.09"/>
    <n v="249.25"/>
    <m/>
    <n v="1692.6949328691251"/>
    <n v="135.84198201737277"/>
    <n v="0"/>
    <n v="1012.5238999999999"/>
    <n v="176.9675"/>
    <n v="0"/>
    <n v="1201.8134023370787"/>
    <n v="96.447807232334668"/>
  </r>
  <r>
    <s v="Regular"/>
    <x v="0"/>
    <x v="3"/>
    <x v="4"/>
    <x v="1"/>
    <x v="0"/>
    <x v="0"/>
    <x v="1"/>
    <x v="4"/>
    <n v="0"/>
    <n v="0"/>
    <n v="0.21"/>
    <n v="0.21"/>
    <n v="0.21"/>
    <n v="0.21"/>
    <n v="0"/>
    <x v="0"/>
    <n v="0"/>
    <n v="0"/>
    <n v="10"/>
    <n v="77"/>
    <n v="0"/>
    <n v="1426.09"/>
    <n v="249.25"/>
    <m/>
    <n v="1692.6949328691251"/>
    <n v="135.84198201737277"/>
    <n v="0"/>
    <n v="299.47889999999995"/>
    <n v="52.342500000000001"/>
    <n v="0"/>
    <n v="355.46593590251626"/>
    <n v="28.526816223648282"/>
  </r>
  <r>
    <s v="Regular"/>
    <x v="0"/>
    <x v="3"/>
    <x v="4"/>
    <x v="1"/>
    <x v="0"/>
    <x v="0"/>
    <x v="1"/>
    <x v="5"/>
    <n v="0"/>
    <n v="0"/>
    <n v="2.012"/>
    <n v="2.012"/>
    <n v="2.012"/>
    <n v="2.012"/>
    <n v="0"/>
    <x v="0"/>
    <n v="0"/>
    <n v="0"/>
    <n v="10"/>
    <n v="77"/>
    <n v="0"/>
    <n v="1426.09"/>
    <n v="249.25"/>
    <m/>
    <n v="1692.6949328691251"/>
    <n v="135.84198201737277"/>
    <n v="0"/>
    <n v="2869.2930799999999"/>
    <n v="501.49099999999999"/>
    <n v="0"/>
    <n v="3405.7022049326797"/>
    <n v="273.31406781895402"/>
  </r>
  <r>
    <s v="Regular"/>
    <x v="0"/>
    <x v="3"/>
    <x v="4"/>
    <x v="1"/>
    <x v="0"/>
    <x v="0"/>
    <x v="1"/>
    <x v="6"/>
    <n v="0"/>
    <n v="0"/>
    <n v="2.6760000000000002"/>
    <n v="2.6760000000000002"/>
    <n v="2.6760000000000002"/>
    <n v="2.6760000000000002"/>
    <n v="0"/>
    <x v="0"/>
    <n v="0"/>
    <n v="0"/>
    <n v="10"/>
    <n v="77"/>
    <n v="0"/>
    <n v="1426.09"/>
    <n v="249.25"/>
    <m/>
    <n v="1692.6949328691251"/>
    <n v="135.84198201737277"/>
    <n v="0"/>
    <n v="3816.21684"/>
    <n v="666.99300000000005"/>
    <n v="0"/>
    <n v="4529.6516403577789"/>
    <n v="363.51314387848953"/>
  </r>
  <r>
    <s v="Regular"/>
    <x v="0"/>
    <x v="3"/>
    <x v="4"/>
    <x v="1"/>
    <x v="0"/>
    <x v="0"/>
    <x v="1"/>
    <x v="7"/>
    <n v="0"/>
    <n v="0"/>
    <n v="1.0740000000000001"/>
    <n v="1.0740000000000001"/>
    <n v="1.0740000000000001"/>
    <n v="1.0740000000000001"/>
    <n v="0"/>
    <x v="0"/>
    <n v="0"/>
    <n v="0"/>
    <n v="10"/>
    <n v="77"/>
    <n v="0"/>
    <n v="1426.09"/>
    <n v="249.25"/>
    <m/>
    <n v="1692.6949328691251"/>
    <n v="135.84198201737277"/>
    <n v="0"/>
    <n v="1531.62066"/>
    <n v="267.69450000000001"/>
    <n v="0"/>
    <n v="1817.9543579014405"/>
    <n v="145.89428868665837"/>
  </r>
  <r>
    <s v="Regular"/>
    <x v="0"/>
    <x v="3"/>
    <x v="4"/>
    <x v="1"/>
    <x v="0"/>
    <x v="0"/>
    <x v="1"/>
    <x v="8"/>
    <n v="0"/>
    <n v="0"/>
    <n v="0.71"/>
    <n v="0.71"/>
    <n v="0.71"/>
    <n v="0.71"/>
    <n v="0"/>
    <x v="0"/>
    <n v="0"/>
    <n v="0"/>
    <n v="10"/>
    <n v="77"/>
    <n v="0"/>
    <n v="1426.09"/>
    <n v="249.25"/>
    <m/>
    <n v="1692.6949328691251"/>
    <n v="135.84198201737277"/>
    <n v="0"/>
    <n v="1012.5238999999999"/>
    <n v="176.9675"/>
    <n v="0"/>
    <n v="1201.8134023370787"/>
    <n v="96.447807232334668"/>
  </r>
  <r>
    <s v="Regular"/>
    <x v="0"/>
    <x v="3"/>
    <x v="4"/>
    <x v="1"/>
    <x v="0"/>
    <x v="0"/>
    <x v="1"/>
    <x v="9"/>
    <n v="0"/>
    <n v="0"/>
    <n v="2.637"/>
    <n v="2.637"/>
    <n v="2.637"/>
    <n v="2.637"/>
    <n v="0"/>
    <x v="0"/>
    <n v="0"/>
    <n v="0"/>
    <n v="10"/>
    <n v="77"/>
    <n v="0"/>
    <n v="1426.09"/>
    <n v="249.25"/>
    <m/>
    <n v="1692.6949328691251"/>
    <n v="135.84198201737277"/>
    <n v="0"/>
    <n v="3760.59933"/>
    <n v="657.27224999999999"/>
    <n v="0"/>
    <n v="4463.6365379758827"/>
    <n v="358.21530657981202"/>
  </r>
  <r>
    <s v="Regular"/>
    <x v="0"/>
    <x v="3"/>
    <x v="4"/>
    <x v="1"/>
    <x v="0"/>
    <x v="0"/>
    <x v="1"/>
    <x v="10"/>
    <n v="0"/>
    <n v="0"/>
    <n v="1.486"/>
    <n v="1.486"/>
    <n v="1.486"/>
    <n v="1.486"/>
    <n v="0"/>
    <x v="0"/>
    <n v="0"/>
    <n v="0"/>
    <n v="10"/>
    <n v="77"/>
    <n v="0"/>
    <n v="1426.09"/>
    <n v="249.25"/>
    <m/>
    <n v="1692.6949328691251"/>
    <n v="135.84198201737277"/>
    <n v="0"/>
    <n v="2119.1697399999998"/>
    <n v="370.38549999999998"/>
    <n v="0"/>
    <n v="2515.3446702435199"/>
    <n v="201.86118527781593"/>
  </r>
  <r>
    <s v="Regular"/>
    <x v="0"/>
    <x v="3"/>
    <x v="4"/>
    <x v="1"/>
    <x v="0"/>
    <x v="0"/>
    <x v="1"/>
    <x v="11"/>
    <n v="0"/>
    <n v="0"/>
    <n v="2.1850000000000001"/>
    <n v="2.1850000000000001"/>
    <n v="2.1850000000000001"/>
    <n v="2.1850000000000001"/>
    <n v="0"/>
    <x v="0"/>
    <n v="0"/>
    <n v="0"/>
    <n v="10"/>
    <n v="77"/>
    <n v="0"/>
    <n v="1426.09"/>
    <n v="249.25"/>
    <m/>
    <n v="1692.6949328691251"/>
    <n v="135.84198201737277"/>
    <n v="0"/>
    <n v="3116.0066499999998"/>
    <n v="544.61125000000004"/>
    <n v="0"/>
    <n v="3698.5384283190383"/>
    <n v="296.81473070795954"/>
  </r>
  <r>
    <s v="Regular"/>
    <x v="0"/>
    <x v="3"/>
    <x v="0"/>
    <x v="0"/>
    <x v="0"/>
    <x v="0"/>
    <x v="0"/>
    <x v="0"/>
    <n v="0"/>
    <n v="0"/>
    <n v="34.494"/>
    <n v="34.494"/>
    <n v="34.494"/>
    <n v="34.494"/>
    <n v="0"/>
    <x v="0"/>
    <n v="0"/>
    <n v="0"/>
    <n v="13"/>
    <n v="69"/>
    <n v="0"/>
    <n v="66.871600000000001"/>
    <n v="234.29499999999999"/>
    <m/>
    <n v="96.959643600838021"/>
    <n v="131.76672255685159"/>
    <n v="0"/>
    <n v="2306.6689704"/>
    <n v="8081.7717299999995"/>
    <n v="0"/>
    <n v="3344.5259463673065"/>
    <n v="4545.1613278760387"/>
  </r>
  <r>
    <s v="Regular"/>
    <x v="0"/>
    <x v="3"/>
    <x v="0"/>
    <x v="0"/>
    <x v="0"/>
    <x v="0"/>
    <x v="0"/>
    <x v="1"/>
    <n v="0"/>
    <n v="0"/>
    <n v="21.533000000000001"/>
    <n v="21.533000000000001"/>
    <n v="21.533000000000001"/>
    <n v="21.533000000000001"/>
    <n v="0"/>
    <x v="0"/>
    <n v="0"/>
    <n v="0"/>
    <n v="13"/>
    <n v="69"/>
    <n v="0"/>
    <n v="66.871600000000001"/>
    <n v="234.29499999999999"/>
    <m/>
    <n v="96.959643600838021"/>
    <n v="131.76672255685159"/>
    <n v="0"/>
    <n v="1439.9461628000001"/>
    <n v="5045.074235"/>
    <n v="0"/>
    <n v="2087.832005656845"/>
    <n v="2837.3328368166854"/>
  </r>
  <r>
    <s v="Regular"/>
    <x v="0"/>
    <x v="3"/>
    <x v="0"/>
    <x v="0"/>
    <x v="0"/>
    <x v="0"/>
    <x v="0"/>
    <x v="2"/>
    <n v="0"/>
    <n v="0"/>
    <n v="23.96"/>
    <n v="23.96"/>
    <n v="23.96"/>
    <n v="23.96"/>
    <n v="0"/>
    <x v="0"/>
    <n v="0"/>
    <n v="0"/>
    <n v="13"/>
    <n v="69"/>
    <n v="0"/>
    <n v="66.871600000000001"/>
    <n v="234.29499999999999"/>
    <m/>
    <n v="96.959643600838021"/>
    <n v="131.76672255685159"/>
    <n v="0"/>
    <n v="1602.2435360000002"/>
    <n v="5613.7082"/>
    <n v="0"/>
    <n v="2323.1530606760789"/>
    <n v="3157.1306724621641"/>
  </r>
  <r>
    <s v="Regular"/>
    <x v="0"/>
    <x v="3"/>
    <x v="0"/>
    <x v="0"/>
    <x v="0"/>
    <x v="0"/>
    <x v="0"/>
    <x v="3"/>
    <n v="0"/>
    <n v="0"/>
    <n v="24.733000000000001"/>
    <n v="24.733000000000001"/>
    <n v="24.733000000000001"/>
    <n v="24.733000000000001"/>
    <n v="0"/>
    <x v="0"/>
    <n v="0"/>
    <n v="0"/>
    <n v="13"/>
    <n v="69"/>
    <n v="0"/>
    <n v="66.871600000000001"/>
    <n v="234.29499999999999"/>
    <m/>
    <n v="96.959643600838021"/>
    <n v="131.76672255685159"/>
    <n v="0"/>
    <n v="1653.9352828000001"/>
    <n v="5794.8182349999997"/>
    <n v="0"/>
    <n v="2398.1028651795268"/>
    <n v="3258.9863489986105"/>
  </r>
  <r>
    <s v="Regular"/>
    <x v="0"/>
    <x v="3"/>
    <x v="0"/>
    <x v="0"/>
    <x v="0"/>
    <x v="0"/>
    <x v="0"/>
    <x v="4"/>
    <n v="0"/>
    <n v="0"/>
    <n v="23.538"/>
    <n v="23.538"/>
    <n v="23.538"/>
    <n v="23.538"/>
    <n v="0"/>
    <x v="0"/>
    <n v="0"/>
    <n v="0"/>
    <n v="13"/>
    <n v="69"/>
    <n v="0"/>
    <n v="66.871600000000001"/>
    <n v="234.29499999999999"/>
    <m/>
    <n v="96.959643600838021"/>
    <n v="131.76672255685159"/>
    <n v="0"/>
    <n v="1574.0237208000001"/>
    <n v="5514.8357099999994"/>
    <n v="0"/>
    <n v="2282.2360910765256"/>
    <n v="3101.5251155431729"/>
  </r>
  <r>
    <s v="Regular"/>
    <x v="0"/>
    <x v="3"/>
    <x v="0"/>
    <x v="0"/>
    <x v="0"/>
    <x v="0"/>
    <x v="0"/>
    <x v="5"/>
    <n v="0"/>
    <n v="0"/>
    <n v="22.288"/>
    <n v="22.288"/>
    <n v="22.288"/>
    <n v="22.288"/>
    <n v="0"/>
    <x v="0"/>
    <n v="0"/>
    <n v="0"/>
    <n v="13"/>
    <n v="69"/>
    <n v="0"/>
    <n v="66.871600000000001"/>
    <n v="234.29499999999999"/>
    <m/>
    <n v="96.959643600838021"/>
    <n v="131.76672255685159"/>
    <n v="0"/>
    <n v="1490.4342208"/>
    <n v="5221.9669599999997"/>
    <n v="0"/>
    <n v="2161.0365365754778"/>
    <n v="2936.8167123471085"/>
  </r>
  <r>
    <s v="Regular"/>
    <x v="0"/>
    <x v="3"/>
    <x v="0"/>
    <x v="0"/>
    <x v="0"/>
    <x v="0"/>
    <x v="0"/>
    <x v="6"/>
    <n v="0"/>
    <n v="0"/>
    <n v="24.135999999999999"/>
    <n v="24.135999999999999"/>
    <n v="24.135999999999999"/>
    <n v="24.135999999999999"/>
    <n v="0"/>
    <x v="0"/>
    <n v="0"/>
    <n v="0"/>
    <n v="13"/>
    <n v="69"/>
    <n v="0"/>
    <n v="66.871600000000001"/>
    <n v="234.29499999999999"/>
    <m/>
    <n v="96.959643600838021"/>
    <n v="131.76672255685159"/>
    <n v="0"/>
    <n v="1614.0129376"/>
    <n v="5654.9441199999992"/>
    <n v="0"/>
    <n v="2340.2179579498265"/>
    <n v="3180.3216156321701"/>
  </r>
  <r>
    <s v="Regular"/>
    <x v="0"/>
    <x v="3"/>
    <x v="0"/>
    <x v="0"/>
    <x v="0"/>
    <x v="0"/>
    <x v="0"/>
    <x v="7"/>
    <n v="0"/>
    <n v="0"/>
    <n v="23.466999999999999"/>
    <n v="23.466999999999999"/>
    <n v="23.466999999999999"/>
    <n v="23.466999999999999"/>
    <n v="0"/>
    <x v="0"/>
    <n v="0"/>
    <n v="0"/>
    <n v="13"/>
    <n v="69"/>
    <n v="0"/>
    <n v="66.871600000000001"/>
    <n v="234.29499999999999"/>
    <m/>
    <n v="96.959643600838021"/>
    <n v="131.76672255685159"/>
    <n v="0"/>
    <n v="1569.2758371999998"/>
    <n v="5498.2007649999996"/>
    <n v="0"/>
    <n v="2275.3519563808659"/>
    <n v="3092.1696782416361"/>
  </r>
  <r>
    <s v="Regular"/>
    <x v="0"/>
    <x v="3"/>
    <x v="0"/>
    <x v="0"/>
    <x v="0"/>
    <x v="0"/>
    <x v="0"/>
    <x v="8"/>
    <n v="0"/>
    <n v="0"/>
    <n v="27.04"/>
    <n v="27.04"/>
    <n v="27.04"/>
    <n v="27.04"/>
    <n v="0"/>
    <x v="0"/>
    <n v="0"/>
    <n v="0"/>
    <n v="13"/>
    <n v="69"/>
    <n v="0"/>
    <n v="66.871600000000001"/>
    <n v="234.29499999999999"/>
    <m/>
    <n v="96.959643600838021"/>
    <n v="131.76672255685159"/>
    <n v="0"/>
    <n v="1808.2080639999999"/>
    <n v="6335.3367999999991"/>
    <n v="0"/>
    <n v="2621.7887629666602"/>
    <n v="3562.9721779372667"/>
  </r>
  <r>
    <s v="Regular"/>
    <x v="0"/>
    <x v="3"/>
    <x v="0"/>
    <x v="0"/>
    <x v="0"/>
    <x v="0"/>
    <x v="0"/>
    <x v="9"/>
    <n v="0"/>
    <n v="0"/>
    <n v="25.248000000000001"/>
    <n v="25.248000000000001"/>
    <n v="25.248000000000001"/>
    <n v="25.248000000000001"/>
    <n v="0"/>
    <x v="0"/>
    <n v="0"/>
    <n v="0"/>
    <n v="13"/>
    <n v="69"/>
    <n v="0"/>
    <n v="66.871600000000001"/>
    <n v="234.29499999999999"/>
    <m/>
    <n v="96.959643600838021"/>
    <n v="131.76672255685159"/>
    <n v="0"/>
    <n v="1688.3741568"/>
    <n v="5915.4801600000001"/>
    <n v="0"/>
    <n v="2448.0370816339587"/>
    <n v="3326.846211115389"/>
  </r>
  <r>
    <s v="Regular"/>
    <x v="0"/>
    <x v="3"/>
    <x v="0"/>
    <x v="0"/>
    <x v="0"/>
    <x v="0"/>
    <x v="0"/>
    <x v="10"/>
    <n v="0"/>
    <n v="0"/>
    <n v="26.207999999999998"/>
    <n v="26.207999999999998"/>
    <n v="26.207999999999998"/>
    <n v="26.207999999999998"/>
    <n v="0"/>
    <x v="0"/>
    <n v="0"/>
    <n v="0"/>
    <n v="13"/>
    <n v="69"/>
    <n v="0"/>
    <n v="66.871600000000001"/>
    <n v="234.29499999999999"/>
    <m/>
    <n v="96.959643600838021"/>
    <n v="131.76672255685159"/>
    <n v="0"/>
    <n v="1752.5708927999999"/>
    <n v="6140.4033599999993"/>
    <n v="0"/>
    <n v="2541.1183394907625"/>
    <n v="3453.3422647699663"/>
  </r>
  <r>
    <s v="Regular"/>
    <x v="0"/>
    <x v="3"/>
    <x v="0"/>
    <x v="0"/>
    <x v="0"/>
    <x v="0"/>
    <x v="0"/>
    <x v="11"/>
    <n v="0"/>
    <n v="0"/>
    <n v="25.567"/>
    <n v="25.567"/>
    <n v="25.567"/>
    <n v="25.567"/>
    <n v="0"/>
    <x v="0"/>
    <n v="0"/>
    <n v="0"/>
    <n v="13"/>
    <n v="69"/>
    <n v="0"/>
    <n v="66.871600000000001"/>
    <n v="234.29499999999999"/>
    <m/>
    <n v="96.959643600838021"/>
    <n v="131.76672255685159"/>
    <n v="0"/>
    <n v="1709.7061972000001"/>
    <n v="5990.2202649999999"/>
    <n v="0"/>
    <n v="2478.9672079426259"/>
    <n v="3368.8797956110247"/>
  </r>
  <r>
    <s v="Regular"/>
    <x v="0"/>
    <x v="3"/>
    <x v="0"/>
    <x v="0"/>
    <x v="0"/>
    <x v="0"/>
    <x v="2"/>
    <x v="0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1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2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3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4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5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6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7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8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9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10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2"/>
    <x v="11"/>
    <n v="60"/>
    <n v="60"/>
    <n v="0"/>
    <n v="0"/>
    <n v="0"/>
    <n v="0"/>
    <n v="1"/>
    <x v="0"/>
    <n v="0"/>
    <n v="9"/>
    <n v="0"/>
    <n v="0"/>
    <n v="17.060999999999996"/>
    <n v="0"/>
    <n v="0"/>
    <n v="20.639983826307745"/>
    <m/>
    <m/>
    <n v="1023.6599999999997"/>
    <n v="0"/>
    <n v="0"/>
    <n v="1238.3990295784647"/>
    <n v="0"/>
    <n v="0"/>
  </r>
  <r>
    <s v="Regular"/>
    <x v="0"/>
    <x v="3"/>
    <x v="0"/>
    <x v="0"/>
    <x v="0"/>
    <x v="0"/>
    <x v="1"/>
    <x v="0"/>
    <n v="0"/>
    <n v="0"/>
    <n v="3.8220000000000001"/>
    <n v="3.8220000000000001"/>
    <n v="3.8220000000000001"/>
    <n v="3.8220000000000001"/>
    <n v="0"/>
    <x v="0"/>
    <n v="0"/>
    <n v="0"/>
    <n v="10"/>
    <n v="77"/>
    <n v="0"/>
    <n v="1340.5245999999997"/>
    <n v="234.29499999999999"/>
    <m/>
    <n v="1641.9140848830514"/>
    <n v="131.76672255685159"/>
    <n v="0"/>
    <n v="5123.4850211999992"/>
    <n v="895.47548999999992"/>
    <n v="0"/>
    <n v="6275.3956324230221"/>
    <n v="503.61241361228679"/>
  </r>
  <r>
    <s v="Regular"/>
    <x v="0"/>
    <x v="3"/>
    <x v="0"/>
    <x v="0"/>
    <x v="0"/>
    <x v="0"/>
    <x v="1"/>
    <x v="1"/>
    <n v="0"/>
    <n v="0"/>
    <n v="2.3199999999999998"/>
    <n v="2.3199999999999998"/>
    <n v="2.3199999999999998"/>
    <n v="2.3199999999999998"/>
    <n v="0"/>
    <x v="0"/>
    <n v="0"/>
    <n v="0"/>
    <n v="10"/>
    <n v="77"/>
    <n v="0"/>
    <n v="1340.5245999999997"/>
    <n v="234.29499999999999"/>
    <m/>
    <n v="1641.9140848830514"/>
    <n v="131.76672255685159"/>
    <n v="0"/>
    <n v="3110.0170719999992"/>
    <n v="543.56439999999998"/>
    <n v="0"/>
    <n v="3809.240676928679"/>
    <n v="305.69879633189566"/>
  </r>
  <r>
    <s v="Regular"/>
    <x v="0"/>
    <x v="3"/>
    <x v="0"/>
    <x v="0"/>
    <x v="0"/>
    <x v="0"/>
    <x v="1"/>
    <x v="2"/>
    <n v="0"/>
    <n v="0"/>
    <n v="2.7789999999999999"/>
    <n v="2.7789999999999999"/>
    <n v="2.7789999999999999"/>
    <n v="2.7789999999999999"/>
    <n v="0"/>
    <x v="0"/>
    <n v="0"/>
    <n v="0"/>
    <n v="10"/>
    <n v="77"/>
    <n v="0"/>
    <n v="1340.5245999999997"/>
    <n v="234.29499999999999"/>
    <m/>
    <n v="1641.9140848830514"/>
    <n v="131.76672255685159"/>
    <n v="0"/>
    <n v="3725.3178633999992"/>
    <n v="651.10580499999992"/>
    <n v="0"/>
    <n v="4562.8792418899993"/>
    <n v="366.17972198549057"/>
  </r>
  <r>
    <s v="Regular"/>
    <x v="0"/>
    <x v="3"/>
    <x v="0"/>
    <x v="0"/>
    <x v="0"/>
    <x v="0"/>
    <x v="1"/>
    <x v="3"/>
    <n v="0"/>
    <n v="0"/>
    <n v="2.7450000000000001"/>
    <n v="2.7450000000000001"/>
    <n v="2.7450000000000001"/>
    <n v="2.7450000000000001"/>
    <n v="0"/>
    <x v="0"/>
    <n v="0"/>
    <n v="0"/>
    <n v="10"/>
    <n v="77"/>
    <n v="0"/>
    <n v="1340.5245999999997"/>
    <n v="234.29499999999999"/>
    <m/>
    <n v="1641.9140848830514"/>
    <n v="131.76672255685159"/>
    <n v="0"/>
    <n v="3679.7400269999994"/>
    <n v="643.13977499999999"/>
    <n v="0"/>
    <n v="4507.0541630039761"/>
    <n v="361.6996534185576"/>
  </r>
  <r>
    <s v="Regular"/>
    <x v="0"/>
    <x v="3"/>
    <x v="0"/>
    <x v="0"/>
    <x v="0"/>
    <x v="0"/>
    <x v="1"/>
    <x v="4"/>
    <n v="0"/>
    <n v="0"/>
    <n v="2.41"/>
    <n v="2.41"/>
    <n v="2.41"/>
    <n v="2.41"/>
    <n v="0"/>
    <x v="0"/>
    <n v="0"/>
    <n v="0"/>
    <n v="10"/>
    <n v="77"/>
    <n v="0"/>
    <n v="1340.5245999999997"/>
    <n v="234.29499999999999"/>
    <m/>
    <n v="1641.9140848830514"/>
    <n v="131.76672255685159"/>
    <n v="0"/>
    <n v="3230.6642859999997"/>
    <n v="564.65094999999997"/>
    <n v="0"/>
    <n v="3957.0129445681541"/>
    <n v="317.55780136201236"/>
  </r>
  <r>
    <s v="Regular"/>
    <x v="0"/>
    <x v="3"/>
    <x v="0"/>
    <x v="0"/>
    <x v="0"/>
    <x v="0"/>
    <x v="1"/>
    <x v="5"/>
    <n v="0"/>
    <n v="0"/>
    <n v="2.5230000000000001"/>
    <n v="2.5230000000000001"/>
    <n v="2.5230000000000001"/>
    <n v="2.5230000000000001"/>
    <n v="0"/>
    <x v="0"/>
    <n v="0"/>
    <n v="0"/>
    <n v="10"/>
    <n v="77"/>
    <n v="0"/>
    <n v="1340.5245999999997"/>
    <n v="234.29499999999999"/>
    <m/>
    <n v="1641.9140848830514"/>
    <n v="131.76672255685159"/>
    <n v="0"/>
    <n v="3382.1435657999996"/>
    <n v="591.12628500000005"/>
    <n v="0"/>
    <n v="4142.549236159939"/>
    <n v="332.44744101093659"/>
  </r>
  <r>
    <s v="Regular"/>
    <x v="0"/>
    <x v="3"/>
    <x v="0"/>
    <x v="0"/>
    <x v="0"/>
    <x v="0"/>
    <x v="1"/>
    <x v="6"/>
    <n v="0"/>
    <n v="0"/>
    <n v="2.8180000000000001"/>
    <n v="2.8180000000000001"/>
    <n v="2.8180000000000001"/>
    <n v="2.8180000000000001"/>
    <n v="0"/>
    <x v="0"/>
    <n v="0"/>
    <n v="0"/>
    <n v="10"/>
    <n v="77"/>
    <n v="0"/>
    <n v="1340.5245999999997"/>
    <n v="234.29499999999999"/>
    <m/>
    <n v="1641.9140848830514"/>
    <n v="131.76672255685159"/>
    <n v="0"/>
    <n v="3777.5983227999996"/>
    <n v="660.24330999999995"/>
    <n v="0"/>
    <n v="4626.9138912004391"/>
    <n v="371.31862416520778"/>
  </r>
  <r>
    <s v="Regular"/>
    <x v="0"/>
    <x v="3"/>
    <x v="0"/>
    <x v="0"/>
    <x v="0"/>
    <x v="0"/>
    <x v="1"/>
    <x v="7"/>
    <n v="0"/>
    <n v="0"/>
    <n v="2.6110000000000002"/>
    <n v="2.6110000000000002"/>
    <n v="2.6110000000000002"/>
    <n v="2.6110000000000002"/>
    <n v="0"/>
    <x v="0"/>
    <n v="0"/>
    <n v="0"/>
    <n v="10"/>
    <n v="77"/>
    <n v="0"/>
    <n v="1340.5245999999997"/>
    <n v="234.29499999999999"/>
    <m/>
    <n v="1641.9140848830514"/>
    <n v="131.76672255685159"/>
    <n v="0"/>
    <n v="3500.1097305999997"/>
    <n v="611.74424499999998"/>
    <n v="0"/>
    <n v="4287.0376756296473"/>
    <n v="344.04291259593953"/>
  </r>
  <r>
    <s v="Regular"/>
    <x v="0"/>
    <x v="3"/>
    <x v="0"/>
    <x v="0"/>
    <x v="0"/>
    <x v="0"/>
    <x v="1"/>
    <x v="8"/>
    <n v="0"/>
    <n v="0"/>
    <n v="2.778"/>
    <n v="2.778"/>
    <n v="2.778"/>
    <n v="2.778"/>
    <n v="0"/>
    <x v="0"/>
    <n v="0"/>
    <n v="0"/>
    <n v="10"/>
    <n v="77"/>
    <n v="0"/>
    <n v="1340.5245999999997"/>
    <n v="234.29499999999999"/>
    <m/>
    <n v="1641.9140848830514"/>
    <n v="131.76672255685159"/>
    <n v="0"/>
    <n v="3723.9773387999994"/>
    <n v="650.87150999999994"/>
    <n v="0"/>
    <n v="4561.2373278051164"/>
    <n v="366.04795526293373"/>
  </r>
  <r>
    <s v="Regular"/>
    <x v="0"/>
    <x v="3"/>
    <x v="0"/>
    <x v="0"/>
    <x v="0"/>
    <x v="0"/>
    <x v="1"/>
    <x v="9"/>
    <n v="0"/>
    <n v="0"/>
    <n v="2.7690000000000001"/>
    <n v="2.7690000000000001"/>
    <n v="2.7690000000000001"/>
    <n v="2.7690000000000001"/>
    <n v="0"/>
    <x v="0"/>
    <n v="0"/>
    <n v="0"/>
    <n v="10"/>
    <n v="77"/>
    <n v="0"/>
    <n v="1340.5245999999997"/>
    <n v="234.29499999999999"/>
    <m/>
    <n v="1641.9140848830514"/>
    <n v="131.76672255685159"/>
    <n v="0"/>
    <n v="3711.9126173999994"/>
    <n v="648.76285499999994"/>
    <n v="0"/>
    <n v="4546.4601010411698"/>
    <n v="364.86205475992205"/>
  </r>
  <r>
    <s v="Regular"/>
    <x v="0"/>
    <x v="3"/>
    <x v="0"/>
    <x v="0"/>
    <x v="0"/>
    <x v="0"/>
    <x v="1"/>
    <x v="10"/>
    <n v="0"/>
    <n v="0"/>
    <n v="2.536"/>
    <n v="2.536"/>
    <n v="2.536"/>
    <n v="2.536"/>
    <n v="0"/>
    <x v="0"/>
    <n v="0"/>
    <n v="0"/>
    <n v="10"/>
    <n v="77"/>
    <n v="0"/>
    <n v="1340.5245999999997"/>
    <n v="234.29499999999999"/>
    <m/>
    <n v="1641.9140848830514"/>
    <n v="131.76672255685159"/>
    <n v="0"/>
    <n v="3399.5703855999996"/>
    <n v="594.17211999999995"/>
    <n v="0"/>
    <n v="4163.8941192634184"/>
    <n v="334.16040840417566"/>
  </r>
  <r>
    <s v="Regular"/>
    <x v="0"/>
    <x v="3"/>
    <x v="0"/>
    <x v="0"/>
    <x v="0"/>
    <x v="0"/>
    <x v="1"/>
    <x v="11"/>
    <n v="0"/>
    <n v="0"/>
    <n v="2.714"/>
    <n v="2.714"/>
    <n v="2.714"/>
    <n v="2.714"/>
    <n v="0"/>
    <x v="0"/>
    <n v="0"/>
    <n v="0"/>
    <n v="10"/>
    <n v="77"/>
    <n v="0"/>
    <n v="1340.5245999999997"/>
    <n v="234.29499999999999"/>
    <m/>
    <n v="1641.9140848830514"/>
    <n v="131.76672255685159"/>
    <n v="0"/>
    <n v="3638.1837643999993"/>
    <n v="635.87662999999998"/>
    <n v="0"/>
    <n v="4456.1548263726017"/>
    <n v="357.61488501929523"/>
  </r>
  <r>
    <s v="Regular"/>
    <x v="1"/>
    <x v="4"/>
    <x v="5"/>
    <x v="2"/>
    <x v="0"/>
    <x v="0"/>
    <x v="2"/>
    <x v="0"/>
    <n v="0"/>
    <n v="0"/>
    <n v="2544.8980000000001"/>
    <n v="2544.8980000000001"/>
    <n v="2544.8980000000001"/>
    <n v="2544.8980000000001"/>
    <n v="11043"/>
    <x v="0"/>
    <n v="0"/>
    <n v="0"/>
    <n v="23"/>
    <n v="53"/>
    <n v="0"/>
    <n v="312.64999999999998"/>
    <n v="249.25"/>
    <m/>
    <n v="380.10205337617623"/>
    <n v="135.84198201737277"/>
    <n v="0"/>
    <n v="795662.35970000003"/>
    <n v="634315.82650000008"/>
    <n v="0"/>
    <n v="967320.95543292421"/>
    <n v="345703.98835204798"/>
  </r>
  <r>
    <s v="Refaturamento - Regular"/>
    <x v="1"/>
    <x v="4"/>
    <x v="5"/>
    <x v="2"/>
    <x v="0"/>
    <x v="0"/>
    <x v="2"/>
    <x v="0"/>
    <n v="0"/>
    <n v="0"/>
    <n v="-1.794"/>
    <n v="-1.794"/>
    <n v="-1.794"/>
    <n v="-1.794"/>
    <n v="0"/>
    <x v="0"/>
    <n v="0"/>
    <n v="0"/>
    <n v="23"/>
    <n v="53"/>
    <n v="0"/>
    <n v="312.64999999999998"/>
    <n v="249.25"/>
    <m/>
    <n v="380.10205337617623"/>
    <n v="135.84198201737277"/>
    <n v="0"/>
    <n v="-560.89409999999998"/>
    <n v="-447.15449999999998"/>
    <n v="0"/>
    <n v="-681.90308375686016"/>
    <n v="-243.70051573916675"/>
  </r>
  <r>
    <s v="Sistema de Compensação"/>
    <x v="1"/>
    <x v="4"/>
    <x v="5"/>
    <x v="2"/>
    <x v="0"/>
    <x v="0"/>
    <x v="2"/>
    <x v="0"/>
    <n v="0"/>
    <n v="0"/>
    <n v="43.853999999999999"/>
    <n v="43.853999999999999"/>
    <n v="43.853999999999999"/>
    <n v="43.853999999999999"/>
    <n v="247"/>
    <x v="0"/>
    <n v="0"/>
    <n v="0"/>
    <n v="23"/>
    <n v="53"/>
    <n v="0"/>
    <n v="312.64999999999998"/>
    <n v="249.25"/>
    <m/>
    <n v="380.10205337617623"/>
    <n v="135.84198201737277"/>
    <n v="0"/>
    <n v="13710.953099999999"/>
    <n v="10930.6095"/>
    <n v="0"/>
    <n v="16668.995448758833"/>
    <n v="5957.2142793898656"/>
  </r>
  <r>
    <s v="Regular"/>
    <x v="1"/>
    <x v="4"/>
    <x v="5"/>
    <x v="2"/>
    <x v="0"/>
    <x v="0"/>
    <x v="2"/>
    <x v="1"/>
    <n v="0"/>
    <n v="0"/>
    <n v="2531.931"/>
    <n v="2531.931"/>
    <n v="2531.931"/>
    <n v="2531.931"/>
    <n v="11040"/>
    <x v="0"/>
    <n v="0"/>
    <n v="0"/>
    <n v="23"/>
    <n v="53"/>
    <n v="0"/>
    <n v="312.64999999999998"/>
    <n v="249.25"/>
    <m/>
    <n v="380.10205337617623"/>
    <n v="135.84198201737277"/>
    <n v="0"/>
    <n v="791608.22714999993"/>
    <n v="631083.80174999998"/>
    <n v="0"/>
    <n v="962392.17210679525"/>
    <n v="343942.52537122864"/>
  </r>
  <r>
    <s v="Refaturamento - Regular"/>
    <x v="1"/>
    <x v="4"/>
    <x v="5"/>
    <x v="2"/>
    <x v="0"/>
    <x v="0"/>
    <x v="2"/>
    <x v="1"/>
    <n v="0"/>
    <n v="0"/>
    <n v="-1.6830000000000001"/>
    <n v="-1.6830000000000001"/>
    <n v="-1.6830000000000001"/>
    <n v="-1.6830000000000001"/>
    <n v="0"/>
    <x v="0"/>
    <n v="0"/>
    <n v="0"/>
    <n v="23"/>
    <n v="53"/>
    <n v="0"/>
    <n v="312.64999999999998"/>
    <n v="249.25"/>
    <m/>
    <n v="380.10205337617623"/>
    <n v="135.84198201737277"/>
    <n v="0"/>
    <n v="-526.18994999999995"/>
    <n v="-419.48775000000001"/>
    <n v="0"/>
    <n v="-639.71175583210459"/>
    <n v="-228.62205573523838"/>
  </r>
  <r>
    <s v="Sistema de Compensação"/>
    <x v="1"/>
    <x v="4"/>
    <x v="5"/>
    <x v="2"/>
    <x v="0"/>
    <x v="0"/>
    <x v="2"/>
    <x v="1"/>
    <n v="0"/>
    <n v="0"/>
    <n v="40.707000000000001"/>
    <n v="40.707000000000001"/>
    <n v="40.707000000000001"/>
    <n v="40.707000000000001"/>
    <n v="261"/>
    <x v="0"/>
    <n v="0"/>
    <n v="0"/>
    <n v="23"/>
    <n v="53"/>
    <n v="0"/>
    <n v="312.64999999999998"/>
    <n v="249.25"/>
    <m/>
    <n v="380.10205337617623"/>
    <n v="135.84198201737277"/>
    <n v="0"/>
    <n v="12727.043549999999"/>
    <n v="10146.21975"/>
    <n v="0"/>
    <n v="15472.814286784005"/>
    <n v="5529.7195619811937"/>
  </r>
  <r>
    <s v="Regular"/>
    <x v="1"/>
    <x v="4"/>
    <x v="5"/>
    <x v="2"/>
    <x v="0"/>
    <x v="0"/>
    <x v="2"/>
    <x v="2"/>
    <n v="0"/>
    <n v="0"/>
    <n v="2612.2220000000002"/>
    <n v="2612.2220000000002"/>
    <n v="2612.2220000000002"/>
    <n v="2612.2220000000002"/>
    <n v="11066"/>
    <x v="0"/>
    <n v="0"/>
    <n v="0"/>
    <n v="23"/>
    <n v="53"/>
    <n v="0"/>
    <n v="312.64999999999998"/>
    <n v="249.25"/>
    <m/>
    <n v="380.10205337617623"/>
    <n v="135.84198201737277"/>
    <n v="0"/>
    <n v="816711.20830000006"/>
    <n v="651096.33350000007"/>
    <n v="0"/>
    <n v="992910.94607442187"/>
    <n v="354849.41394938558"/>
  </r>
  <r>
    <s v="Refaturamento - Regular"/>
    <x v="1"/>
    <x v="4"/>
    <x v="5"/>
    <x v="2"/>
    <x v="0"/>
    <x v="0"/>
    <x v="2"/>
    <x v="2"/>
    <n v="0"/>
    <n v="0"/>
    <n v="-1.8049999999999999"/>
    <n v="-1.8049999999999999"/>
    <n v="-1.8049999999999999"/>
    <n v="-1.8049999999999999"/>
    <n v="0"/>
    <x v="0"/>
    <n v="0"/>
    <n v="0"/>
    <n v="23"/>
    <n v="53"/>
    <n v="0"/>
    <n v="312.64999999999998"/>
    <n v="249.25"/>
    <m/>
    <n v="380.10205337617623"/>
    <n v="135.84198201737277"/>
    <n v="0"/>
    <n v="-564.33324999999991"/>
    <n v="-449.89625000000001"/>
    <n v="0"/>
    <n v="-686.08420634399806"/>
    <n v="-245.19477754135784"/>
  </r>
  <r>
    <s v="Sistema de Compensação"/>
    <x v="1"/>
    <x v="4"/>
    <x v="5"/>
    <x v="2"/>
    <x v="0"/>
    <x v="0"/>
    <x v="2"/>
    <x v="2"/>
    <n v="0"/>
    <n v="0"/>
    <n v="35.673000000000002"/>
    <n v="35.673000000000002"/>
    <n v="35.673000000000002"/>
    <n v="35.673000000000002"/>
    <n v="267"/>
    <x v="0"/>
    <n v="0"/>
    <n v="0"/>
    <n v="23"/>
    <n v="53"/>
    <n v="0"/>
    <n v="312.64999999999998"/>
    <n v="249.25"/>
    <m/>
    <n v="380.10205337617623"/>
    <n v="135.84198201737277"/>
    <n v="0"/>
    <n v="11153.16345"/>
    <n v="8891.4952499999999"/>
    <n v="0"/>
    <n v="13559.380550088335"/>
    <n v="4845.8910245057396"/>
  </r>
  <r>
    <s v="Regular"/>
    <x v="1"/>
    <x v="4"/>
    <x v="5"/>
    <x v="2"/>
    <x v="0"/>
    <x v="0"/>
    <x v="2"/>
    <x v="3"/>
    <n v="0"/>
    <n v="0"/>
    <n v="2775.0729999999999"/>
    <n v="2775.0729999999999"/>
    <n v="2775.0729999999999"/>
    <n v="2775.0729999999999"/>
    <n v="11063"/>
    <x v="0"/>
    <n v="0"/>
    <n v="0"/>
    <n v="23"/>
    <n v="53"/>
    <n v="0"/>
    <n v="312.64999999999998"/>
    <n v="249.25"/>
    <m/>
    <n v="380.10205337617623"/>
    <n v="135.84198201737277"/>
    <n v="0"/>
    <n v="867626.57344999991"/>
    <n v="691686.94524999999"/>
    <n v="0"/>
    <n v="1054810.9455687855"/>
    <n v="376971.41656289669"/>
  </r>
  <r>
    <s v="Sistema de Compensação"/>
    <x v="1"/>
    <x v="4"/>
    <x v="5"/>
    <x v="2"/>
    <x v="0"/>
    <x v="0"/>
    <x v="2"/>
    <x v="3"/>
    <n v="0"/>
    <n v="0"/>
    <n v="40.408000000000001"/>
    <n v="40.408000000000001"/>
    <n v="40.408000000000001"/>
    <n v="40.408000000000001"/>
    <n v="288"/>
    <x v="0"/>
    <n v="0"/>
    <n v="0"/>
    <n v="23"/>
    <n v="53"/>
    <n v="0"/>
    <n v="312.64999999999998"/>
    <n v="249.25"/>
    <m/>
    <n v="380.10205337617623"/>
    <n v="135.84198201737277"/>
    <n v="0"/>
    <n v="12633.5612"/>
    <n v="10071.694"/>
    <n v="0"/>
    <n v="15359.16377282453"/>
    <n v="5489.1028093579989"/>
  </r>
  <r>
    <s v="Regular"/>
    <x v="1"/>
    <x v="4"/>
    <x v="5"/>
    <x v="2"/>
    <x v="0"/>
    <x v="0"/>
    <x v="2"/>
    <x v="4"/>
    <n v="0"/>
    <n v="0"/>
    <n v="3204.7579999999998"/>
    <n v="3204.7579999999998"/>
    <n v="3204.7579999999998"/>
    <n v="3204.7579999999998"/>
    <n v="11071"/>
    <x v="0"/>
    <n v="0"/>
    <n v="0"/>
    <n v="23"/>
    <n v="53"/>
    <n v="0"/>
    <n v="312.64999999999998"/>
    <n v="249.25"/>
    <m/>
    <n v="380.10205337617623"/>
    <n v="135.84198201737277"/>
    <n v="0"/>
    <n v="1001967.5886999998"/>
    <n v="798785.93149999995"/>
    <n v="0"/>
    <n v="1218135.0963737278"/>
    <n v="435340.67860603152"/>
  </r>
  <r>
    <s v="Refaturamento - Regular"/>
    <x v="1"/>
    <x v="4"/>
    <x v="5"/>
    <x v="2"/>
    <x v="0"/>
    <x v="0"/>
    <x v="2"/>
    <x v="4"/>
    <n v="0"/>
    <n v="0"/>
    <n v="-6.5839999999999996"/>
    <n v="-6.5839999999999996"/>
    <n v="-6.5839999999999996"/>
    <n v="-6.5839999999999996"/>
    <n v="0"/>
    <x v="0"/>
    <n v="0"/>
    <n v="0"/>
    <n v="23"/>
    <n v="53"/>
    <n v="0"/>
    <n v="312.64999999999998"/>
    <n v="249.25"/>
    <m/>
    <n v="380.10205337617623"/>
    <n v="135.84198201737277"/>
    <n v="0"/>
    <n v="-2058.4875999999999"/>
    <n v="-1641.0619999999999"/>
    <n v="0"/>
    <n v="-2502.5919194287439"/>
    <n v="-894.38360960238231"/>
  </r>
  <r>
    <s v="Sistema de Compensação"/>
    <x v="1"/>
    <x v="4"/>
    <x v="5"/>
    <x v="2"/>
    <x v="0"/>
    <x v="0"/>
    <x v="2"/>
    <x v="4"/>
    <n v="0"/>
    <n v="0"/>
    <n v="42.773000000000003"/>
    <n v="42.773000000000003"/>
    <n v="42.773000000000003"/>
    <n v="42.773000000000003"/>
    <n v="304"/>
    <x v="0"/>
    <n v="0"/>
    <n v="0"/>
    <n v="23"/>
    <n v="53"/>
    <n v="0"/>
    <n v="312.64999999999998"/>
    <n v="249.25"/>
    <m/>
    <n v="380.10205337617623"/>
    <n v="135.84198201737277"/>
    <n v="0"/>
    <n v="13372.978450000001"/>
    <n v="10661.170250000001"/>
    <n v="0"/>
    <n v="16258.105129059188"/>
    <n v="5810.3690968290857"/>
  </r>
  <r>
    <s v="Regular"/>
    <x v="1"/>
    <x v="4"/>
    <x v="5"/>
    <x v="2"/>
    <x v="0"/>
    <x v="0"/>
    <x v="2"/>
    <x v="5"/>
    <n v="0"/>
    <n v="0"/>
    <n v="3548.9490000000001"/>
    <n v="3548.9490000000001"/>
    <n v="3548.9490000000001"/>
    <n v="3548.9490000000001"/>
    <n v="11009"/>
    <x v="0"/>
    <n v="0"/>
    <n v="0"/>
    <n v="23"/>
    <n v="53"/>
    <n v="0"/>
    <n v="312.64999999999998"/>
    <n v="249.25"/>
    <m/>
    <n v="380.10205337617623"/>
    <n v="135.84198201737277"/>
    <n v="0"/>
    <n v="1109578.90485"/>
    <n v="884575.53824999998"/>
    <n v="0"/>
    <n v="1348962.8022273274"/>
    <n v="482096.26623857307"/>
  </r>
  <r>
    <s v="Refaturamento - Regular"/>
    <x v="1"/>
    <x v="4"/>
    <x v="5"/>
    <x v="2"/>
    <x v="0"/>
    <x v="0"/>
    <x v="2"/>
    <x v="5"/>
    <n v="0"/>
    <n v="0"/>
    <n v="-0.85099999999999998"/>
    <n v="-0.85099999999999998"/>
    <n v="-0.85099999999999998"/>
    <n v="-0.85099999999999998"/>
    <n v="0"/>
    <x v="0"/>
    <n v="0"/>
    <n v="0"/>
    <n v="23"/>
    <n v="53"/>
    <n v="0"/>
    <n v="312.64999999999998"/>
    <n v="249.25"/>
    <m/>
    <n v="380.10205337617623"/>
    <n v="135.84198201737277"/>
    <n v="0"/>
    <n v="-266.06514999999996"/>
    <n v="-212.11175"/>
    <n v="0"/>
    <n v="-323.46684742312596"/>
    <n v="-115.60152669678422"/>
  </r>
  <r>
    <s v="Sistema de Compensação"/>
    <x v="1"/>
    <x v="4"/>
    <x v="5"/>
    <x v="2"/>
    <x v="0"/>
    <x v="0"/>
    <x v="2"/>
    <x v="5"/>
    <n v="0"/>
    <n v="0"/>
    <n v="54.786000000000001"/>
    <n v="54.786000000000001"/>
    <n v="54.786000000000001"/>
    <n v="54.786000000000001"/>
    <n v="315"/>
    <x v="0"/>
    <n v="0"/>
    <n v="0"/>
    <n v="23"/>
    <n v="53"/>
    <n v="0"/>
    <n v="312.64999999999998"/>
    <n v="249.25"/>
    <m/>
    <n v="380.10205337617623"/>
    <n v="135.84198201737277"/>
    <n v="0"/>
    <n v="17128.8429"/>
    <n v="13655.4105"/>
    <n v="0"/>
    <n v="20824.271096267192"/>
    <n v="7442.2388268037848"/>
  </r>
  <r>
    <s v="Regular"/>
    <x v="1"/>
    <x v="4"/>
    <x v="5"/>
    <x v="2"/>
    <x v="0"/>
    <x v="0"/>
    <x v="2"/>
    <x v="6"/>
    <n v="0"/>
    <n v="0"/>
    <n v="3130.4110000000001"/>
    <n v="3130.4110000000001"/>
    <n v="3130.4110000000001"/>
    <n v="3130.4110000000001"/>
    <n v="10989"/>
    <x v="0"/>
    <n v="0"/>
    <n v="0"/>
    <n v="23"/>
    <n v="53"/>
    <n v="0"/>
    <n v="312.64999999999998"/>
    <n v="249.25"/>
    <m/>
    <n v="380.10205337617623"/>
    <n v="135.84198201737277"/>
    <n v="0"/>
    <n v="978722.99914999993"/>
    <n v="780254.94175"/>
    <n v="0"/>
    <n v="1189875.6490113693"/>
    <n v="425241.23476898595"/>
  </r>
  <r>
    <s v="Refaturamento - Regular"/>
    <x v="1"/>
    <x v="4"/>
    <x v="5"/>
    <x v="2"/>
    <x v="0"/>
    <x v="0"/>
    <x v="2"/>
    <x v="6"/>
    <n v="0"/>
    <n v="0"/>
    <n v="-1.18"/>
    <n v="-1.18"/>
    <n v="-1.18"/>
    <n v="-1.18"/>
    <n v="0"/>
    <x v="0"/>
    <n v="0"/>
    <n v="0"/>
    <n v="23"/>
    <n v="53"/>
    <n v="0"/>
    <n v="312.64999999999998"/>
    <n v="249.25"/>
    <m/>
    <n v="380.10205337617623"/>
    <n v="135.84198201737277"/>
    <n v="0"/>
    <n v="-368.92699999999996"/>
    <n v="-294.11500000000001"/>
    <n v="0"/>
    <n v="-448.52042298388795"/>
    <n v="-160.29353878049986"/>
  </r>
  <r>
    <s v="Sistema de Compensação"/>
    <x v="1"/>
    <x v="4"/>
    <x v="5"/>
    <x v="2"/>
    <x v="0"/>
    <x v="0"/>
    <x v="2"/>
    <x v="6"/>
    <n v="0"/>
    <n v="0"/>
    <n v="56.368000000000002"/>
    <n v="56.368000000000002"/>
    <n v="56.368000000000002"/>
    <n v="56.368000000000002"/>
    <n v="329"/>
    <x v="0"/>
    <n v="0"/>
    <n v="0"/>
    <n v="23"/>
    <n v="53"/>
    <n v="0"/>
    <n v="312.64999999999998"/>
    <n v="249.25"/>
    <m/>
    <n v="380.10205337617623"/>
    <n v="135.84198201737277"/>
    <n v="0"/>
    <n v="17623.4552"/>
    <n v="14049.724"/>
    <n v="0"/>
    <n v="21425.592544708303"/>
    <n v="7657.1408423552684"/>
  </r>
  <r>
    <s v="Regular"/>
    <x v="1"/>
    <x v="4"/>
    <x v="5"/>
    <x v="2"/>
    <x v="0"/>
    <x v="0"/>
    <x v="2"/>
    <x v="7"/>
    <n v="0"/>
    <n v="0"/>
    <n v="2557.107"/>
    <n v="2557.107"/>
    <n v="2557.107"/>
    <n v="2557.107"/>
    <n v="10988"/>
    <x v="0"/>
    <n v="0"/>
    <n v="0"/>
    <n v="23"/>
    <n v="53"/>
    <n v="0"/>
    <n v="312.64999999999998"/>
    <n v="249.25"/>
    <m/>
    <n v="380.10205337617623"/>
    <n v="135.84198201737277"/>
    <n v="0"/>
    <n v="799479.50354999991"/>
    <n v="637358.91975"/>
    <n v="0"/>
    <n v="971961.62140259391"/>
    <n v="347362.48311049805"/>
  </r>
  <r>
    <s v="Refaturamento - Regular"/>
    <x v="1"/>
    <x v="4"/>
    <x v="5"/>
    <x v="2"/>
    <x v="0"/>
    <x v="0"/>
    <x v="2"/>
    <x v="7"/>
    <n v="0"/>
    <n v="0"/>
    <n v="-0.435"/>
    <n v="-0.435"/>
    <n v="-0.435"/>
    <n v="-0.435"/>
    <n v="0"/>
    <x v="0"/>
    <n v="0"/>
    <n v="0"/>
    <n v="23"/>
    <n v="53"/>
    <n v="0"/>
    <n v="312.64999999999998"/>
    <n v="249.25"/>
    <m/>
    <n v="380.10205337617623"/>
    <n v="135.84198201737277"/>
    <n v="0"/>
    <n v="-136.00274999999999"/>
    <n v="-108.42375"/>
    <n v="0"/>
    <n v="-165.34439321863667"/>
    <n v="-59.091262177557155"/>
  </r>
  <r>
    <s v="Sistema de Compensação"/>
    <x v="1"/>
    <x v="4"/>
    <x v="5"/>
    <x v="2"/>
    <x v="0"/>
    <x v="0"/>
    <x v="2"/>
    <x v="7"/>
    <n v="0"/>
    <n v="0"/>
    <n v="48.286999999999999"/>
    <n v="48.286999999999999"/>
    <n v="48.286999999999999"/>
    <n v="48.286999999999999"/>
    <n v="347"/>
    <x v="0"/>
    <n v="0"/>
    <n v="0"/>
    <n v="23"/>
    <n v="53"/>
    <n v="0"/>
    <n v="312.64999999999998"/>
    <n v="249.25"/>
    <m/>
    <n v="380.10205337617623"/>
    <n v="135.84198201737277"/>
    <n v="0"/>
    <n v="15096.930549999999"/>
    <n v="12035.534749999999"/>
    <n v="0"/>
    <n v="18353.987851375423"/>
    <n v="6559.4017856728788"/>
  </r>
  <r>
    <s v="Regular"/>
    <x v="1"/>
    <x v="4"/>
    <x v="5"/>
    <x v="2"/>
    <x v="0"/>
    <x v="0"/>
    <x v="2"/>
    <x v="8"/>
    <n v="0"/>
    <n v="0"/>
    <n v="2333.1010000000001"/>
    <n v="2333.1010000000001"/>
    <n v="2333.1010000000001"/>
    <n v="2333.1010000000001"/>
    <n v="10999"/>
    <x v="0"/>
    <n v="0"/>
    <n v="0"/>
    <n v="23"/>
    <n v="53"/>
    <n v="0"/>
    <n v="312.64999999999998"/>
    <n v="249.25"/>
    <m/>
    <n v="380.10205337617623"/>
    <n v="135.84198201737277"/>
    <n v="0"/>
    <n v="729444.02764999995"/>
    <n v="581525.42425000004"/>
    <n v="0"/>
    <n v="886816.48083401017"/>
    <n v="316933.06408671447"/>
  </r>
  <r>
    <s v="Refaturamento - Regular"/>
    <x v="1"/>
    <x v="4"/>
    <x v="5"/>
    <x v="2"/>
    <x v="0"/>
    <x v="0"/>
    <x v="2"/>
    <x v="8"/>
    <n v="0"/>
    <n v="0"/>
    <n v="-0.79900000000000004"/>
    <n v="-0.79900000000000004"/>
    <n v="-0.79900000000000004"/>
    <n v="-0.79900000000000004"/>
    <n v="0"/>
    <x v="0"/>
    <n v="0"/>
    <n v="0"/>
    <n v="23"/>
    <n v="53"/>
    <n v="0"/>
    <n v="312.64999999999998"/>
    <n v="249.25"/>
    <m/>
    <n v="380.10205337617623"/>
    <n v="135.84198201737277"/>
    <n v="0"/>
    <n v="-249.80734999999999"/>
    <n v="-199.15075000000002"/>
    <n v="0"/>
    <n v="-303.7015406475648"/>
    <n v="-108.53774363188084"/>
  </r>
  <r>
    <s v="Sistema de Compensação"/>
    <x v="1"/>
    <x v="4"/>
    <x v="5"/>
    <x v="2"/>
    <x v="0"/>
    <x v="0"/>
    <x v="2"/>
    <x v="8"/>
    <n v="0"/>
    <n v="0"/>
    <n v="47.963000000000001"/>
    <n v="47.963000000000001"/>
    <n v="47.963000000000001"/>
    <n v="47.963000000000001"/>
    <n v="356"/>
    <x v="0"/>
    <n v="0"/>
    <n v="0"/>
    <n v="23"/>
    <n v="53"/>
    <n v="0"/>
    <n v="312.64999999999998"/>
    <n v="249.25"/>
    <m/>
    <n v="380.10205337617623"/>
    <n v="135.84198201737277"/>
    <n v="0"/>
    <n v="14995.631949999999"/>
    <n v="11954.777750000001"/>
    <n v="0"/>
    <n v="18230.834786081541"/>
    <n v="6515.3889834992506"/>
  </r>
  <r>
    <s v="Regular"/>
    <x v="1"/>
    <x v="4"/>
    <x v="5"/>
    <x v="2"/>
    <x v="0"/>
    <x v="0"/>
    <x v="2"/>
    <x v="9"/>
    <n v="0"/>
    <n v="0"/>
    <n v="2665.902"/>
    <n v="2665.902"/>
    <n v="2665.902"/>
    <n v="2665.902"/>
    <n v="11078"/>
    <x v="0"/>
    <n v="0"/>
    <n v="0"/>
    <n v="23"/>
    <n v="53"/>
    <n v="0"/>
    <n v="312.64999999999998"/>
    <n v="249.25"/>
    <m/>
    <n v="380.10205337617623"/>
    <n v="135.84198201737277"/>
    <n v="0"/>
    <n v="833494.26029999997"/>
    <n v="664476.07350000006"/>
    <n v="0"/>
    <n v="1013314.8242996549"/>
    <n v="362141.41154407809"/>
  </r>
  <r>
    <s v="Refaturamento - Regular"/>
    <x v="1"/>
    <x v="4"/>
    <x v="5"/>
    <x v="2"/>
    <x v="0"/>
    <x v="0"/>
    <x v="2"/>
    <x v="9"/>
    <n v="0"/>
    <n v="0"/>
    <n v="-1.8360000000000001"/>
    <n v="-1.8360000000000001"/>
    <n v="-1.8360000000000001"/>
    <n v="-1.8360000000000001"/>
    <n v="0"/>
    <x v="0"/>
    <n v="0"/>
    <n v="0"/>
    <n v="23"/>
    <n v="53"/>
    <n v="0"/>
    <n v="312.64999999999998"/>
    <n v="249.25"/>
    <m/>
    <n v="380.10205337617623"/>
    <n v="135.84198201737277"/>
    <n v="0"/>
    <n v="-574.02539999999999"/>
    <n v="-457.62300000000005"/>
    <n v="0"/>
    <n v="-697.86736999865957"/>
    <n v="-249.40587898389643"/>
  </r>
  <r>
    <s v="Sistema de Compensação"/>
    <x v="1"/>
    <x v="4"/>
    <x v="5"/>
    <x v="2"/>
    <x v="0"/>
    <x v="0"/>
    <x v="2"/>
    <x v="9"/>
    <n v="0"/>
    <n v="0"/>
    <n v="80.448999999999998"/>
    <n v="80.448999999999998"/>
    <n v="80.448999999999998"/>
    <n v="80.448999999999998"/>
    <n v="371"/>
    <x v="0"/>
    <n v="0"/>
    <n v="0"/>
    <n v="23"/>
    <n v="53"/>
    <n v="0"/>
    <n v="312.64999999999998"/>
    <n v="249.25"/>
    <m/>
    <n v="380.10205337617623"/>
    <n v="135.84198201737277"/>
    <n v="0"/>
    <n v="25152.379849999998"/>
    <n v="20051.913249999998"/>
    <n v="0"/>
    <n v="30578.830092060001"/>
    <n v="10928.351611315622"/>
  </r>
  <r>
    <s v="Regular"/>
    <x v="1"/>
    <x v="4"/>
    <x v="5"/>
    <x v="2"/>
    <x v="0"/>
    <x v="0"/>
    <x v="2"/>
    <x v="10"/>
    <n v="0"/>
    <n v="0"/>
    <n v="2566.4490000000001"/>
    <n v="2566.4490000000001"/>
    <n v="2566.4490000000001"/>
    <n v="2566.4490000000001"/>
    <n v="11107"/>
    <x v="0"/>
    <n v="0"/>
    <n v="0"/>
    <n v="23"/>
    <n v="53"/>
    <n v="0"/>
    <n v="312.64999999999998"/>
    <n v="249.25"/>
    <m/>
    <n v="380.10205337617623"/>
    <n v="135.84198201737277"/>
    <n v="0"/>
    <n v="802400.27984999993"/>
    <n v="639687.41324999998"/>
    <n v="0"/>
    <n v="975512.53478523414"/>
    <n v="348631.51890650432"/>
  </r>
  <r>
    <s v="Refaturamento - Regular"/>
    <x v="1"/>
    <x v="4"/>
    <x v="5"/>
    <x v="2"/>
    <x v="0"/>
    <x v="0"/>
    <x v="2"/>
    <x v="10"/>
    <n v="0"/>
    <n v="0"/>
    <n v="2.4750000000000001"/>
    <n v="2.4750000000000001"/>
    <n v="2.4750000000000001"/>
    <n v="2.4750000000000001"/>
    <n v="0"/>
    <x v="0"/>
    <n v="0"/>
    <n v="0"/>
    <n v="23"/>
    <n v="53"/>
    <n v="0"/>
    <n v="312.64999999999998"/>
    <n v="249.25"/>
    <m/>
    <n v="380.10205337617623"/>
    <n v="135.84198201737277"/>
    <n v="0"/>
    <n v="773.80874999999992"/>
    <n v="616.89375000000007"/>
    <n v="0"/>
    <n v="940.75258210603624"/>
    <n v="336.20890549299764"/>
  </r>
  <r>
    <s v="Regular"/>
    <x v="1"/>
    <x v="4"/>
    <x v="5"/>
    <x v="2"/>
    <x v="0"/>
    <x v="0"/>
    <x v="2"/>
    <x v="11"/>
    <n v="0"/>
    <n v="0"/>
    <n v="2597.7139999999999"/>
    <n v="2597.7139999999999"/>
    <n v="2597.7139999999999"/>
    <n v="2597.7139999999999"/>
    <n v="11055"/>
    <x v="0"/>
    <n v="0"/>
    <n v="0"/>
    <n v="23"/>
    <n v="53"/>
    <n v="0"/>
    <n v="312.64999999999998"/>
    <n v="249.25"/>
    <m/>
    <n v="380.10205337617623"/>
    <n v="135.84198201737277"/>
    <n v="0"/>
    <n v="812175.28209999995"/>
    <n v="647480.2145"/>
    <n v="0"/>
    <n v="987396.42548404029"/>
    <n v="352878.61847427749"/>
  </r>
  <r>
    <s v="Sistema de Compensação"/>
    <x v="1"/>
    <x v="4"/>
    <x v="5"/>
    <x v="2"/>
    <x v="0"/>
    <x v="0"/>
    <x v="2"/>
    <x v="11"/>
    <n v="0"/>
    <n v="0"/>
    <n v="66.066000000000003"/>
    <n v="66.066000000000003"/>
    <n v="66.066000000000003"/>
    <n v="66.066000000000003"/>
    <n v="390"/>
    <x v="0"/>
    <n v="0"/>
    <n v="0"/>
    <n v="23"/>
    <n v="53"/>
    <n v="0"/>
    <n v="312.64999999999998"/>
    <n v="249.25"/>
    <m/>
    <n v="380.10205337617623"/>
    <n v="135.84198201737277"/>
    <n v="0"/>
    <n v="20655.534899999999"/>
    <n v="16466.950499999999"/>
    <n v="0"/>
    <n v="25111.822258350461"/>
    <n v="8974.5363839597503"/>
  </r>
  <r>
    <s v="Regular"/>
    <x v="1"/>
    <x v="4"/>
    <x v="5"/>
    <x v="3"/>
    <x v="0"/>
    <x v="0"/>
    <x v="2"/>
    <x v="0"/>
    <n v="0"/>
    <n v="0"/>
    <n v="11.91"/>
    <n v="11.91"/>
    <n v="11.91"/>
    <n v="11.91"/>
    <n v="13"/>
    <x v="0"/>
    <n v="0"/>
    <n v="0"/>
    <n v="21"/>
    <n v="36"/>
    <n v="0"/>
    <n v="85.82"/>
    <n v="87.24"/>
    <m/>
    <n v="95.244193463173829"/>
    <n v="47.544693706080466"/>
    <n v="0"/>
    <n v="1022.1161999999999"/>
    <n v="1039.0283999999999"/>
    <n v="0"/>
    <n v="1134.3583441464002"/>
    <n v="566.25730203941839"/>
  </r>
  <r>
    <s v="Regular"/>
    <x v="1"/>
    <x v="4"/>
    <x v="5"/>
    <x v="3"/>
    <x v="0"/>
    <x v="0"/>
    <x v="2"/>
    <x v="1"/>
    <n v="0"/>
    <n v="0"/>
    <n v="12.12"/>
    <n v="12.12"/>
    <n v="12.12"/>
    <n v="12.12"/>
    <n v="14"/>
    <x v="0"/>
    <n v="0"/>
    <n v="0"/>
    <n v="21"/>
    <n v="36"/>
    <n v="0"/>
    <n v="85.82"/>
    <n v="87.24"/>
    <m/>
    <n v="95.244193463173829"/>
    <n v="47.544693706080466"/>
    <n v="0"/>
    <n v="1040.1383999999998"/>
    <n v="1057.3488"/>
    <n v="0"/>
    <n v="1154.3596247736668"/>
    <n v="576.24168771769519"/>
  </r>
  <r>
    <s v="Regular"/>
    <x v="1"/>
    <x v="4"/>
    <x v="5"/>
    <x v="3"/>
    <x v="0"/>
    <x v="0"/>
    <x v="2"/>
    <x v="2"/>
    <n v="0"/>
    <n v="0"/>
    <n v="12.3"/>
    <n v="12.3"/>
    <n v="12.3"/>
    <n v="12.3"/>
    <n v="11"/>
    <x v="0"/>
    <n v="0"/>
    <n v="0"/>
    <n v="21"/>
    <n v="36"/>
    <n v="0"/>
    <n v="85.82"/>
    <n v="87.24"/>
    <m/>
    <n v="95.244193463173829"/>
    <n v="47.544693706080466"/>
    <n v="0"/>
    <n v="1055.586"/>
    <n v="1073.0519999999999"/>
    <n v="0"/>
    <n v="1171.5035795970382"/>
    <n v="584.79973258478981"/>
  </r>
  <r>
    <s v="Regular"/>
    <x v="1"/>
    <x v="4"/>
    <x v="5"/>
    <x v="3"/>
    <x v="0"/>
    <x v="0"/>
    <x v="2"/>
    <x v="3"/>
    <n v="0"/>
    <n v="0"/>
    <n v="12.24"/>
    <n v="12.24"/>
    <n v="12.24"/>
    <n v="12.24"/>
    <n v="9"/>
    <x v="0"/>
    <n v="0"/>
    <n v="0"/>
    <n v="21"/>
    <n v="36"/>
    <n v="0"/>
    <n v="85.82"/>
    <n v="87.24"/>
    <m/>
    <n v="95.244193463173829"/>
    <n v="47.544693706080466"/>
    <n v="0"/>
    <n v="1050.4367999999999"/>
    <n v="1067.8175999999999"/>
    <n v="0"/>
    <n v="1165.7889279892477"/>
    <n v="581.9470509624249"/>
  </r>
  <r>
    <s v="Regular"/>
    <x v="1"/>
    <x v="4"/>
    <x v="5"/>
    <x v="3"/>
    <x v="0"/>
    <x v="0"/>
    <x v="2"/>
    <x v="4"/>
    <n v="0"/>
    <n v="0"/>
    <n v="13.32"/>
    <n v="13.32"/>
    <n v="13.32"/>
    <n v="13.32"/>
    <n v="9"/>
    <x v="0"/>
    <n v="0"/>
    <n v="0"/>
    <n v="21"/>
    <n v="36"/>
    <n v="0"/>
    <n v="85.82"/>
    <n v="87.24"/>
    <m/>
    <n v="95.244193463173829"/>
    <n v="47.544693706080466"/>
    <n v="0"/>
    <n v="1143.1224"/>
    <n v="1162.0367999999999"/>
    <n v="0"/>
    <n v="1268.6526569294754"/>
    <n v="633.29532016499184"/>
  </r>
  <r>
    <s v="Regular"/>
    <x v="1"/>
    <x v="4"/>
    <x v="5"/>
    <x v="3"/>
    <x v="0"/>
    <x v="0"/>
    <x v="2"/>
    <x v="5"/>
    <n v="0"/>
    <n v="0"/>
    <n v="16.02"/>
    <n v="16.02"/>
    <n v="16.02"/>
    <n v="16.02"/>
    <n v="10"/>
    <x v="0"/>
    <n v="0"/>
    <n v="0"/>
    <n v="21"/>
    <n v="36"/>
    <n v="0"/>
    <n v="85.82"/>
    <n v="87.24"/>
    <m/>
    <n v="95.244193463173829"/>
    <n v="47.544693706080466"/>
    <n v="0"/>
    <n v="1374.8363999999999"/>
    <n v="1397.5847999999999"/>
    <n v="0"/>
    <n v="1525.8119792800446"/>
    <n v="761.66599317140901"/>
  </r>
  <r>
    <s v="Regular"/>
    <x v="1"/>
    <x v="4"/>
    <x v="5"/>
    <x v="3"/>
    <x v="0"/>
    <x v="0"/>
    <x v="2"/>
    <x v="6"/>
    <n v="0"/>
    <n v="0"/>
    <n v="16.68"/>
    <n v="16.68"/>
    <n v="16.68"/>
    <n v="16.68"/>
    <n v="11"/>
    <x v="0"/>
    <n v="0"/>
    <n v="0"/>
    <n v="21"/>
    <n v="36"/>
    <n v="0"/>
    <n v="85.82"/>
    <n v="87.24"/>
    <m/>
    <n v="95.244193463173829"/>
    <n v="47.544693706080466"/>
    <n v="0"/>
    <n v="1431.4775999999999"/>
    <n v="1455.1632"/>
    <n v="0"/>
    <n v="1588.6731469657395"/>
    <n v="793.04549101742214"/>
  </r>
  <r>
    <s v="Regular"/>
    <x v="1"/>
    <x v="4"/>
    <x v="5"/>
    <x v="3"/>
    <x v="0"/>
    <x v="0"/>
    <x v="2"/>
    <x v="7"/>
    <n v="0"/>
    <n v="0"/>
    <n v="16.829999999999998"/>
    <n v="16.829999999999998"/>
    <n v="16.829999999999998"/>
    <n v="16.829999999999998"/>
    <n v="13"/>
    <x v="0"/>
    <n v="0"/>
    <n v="0"/>
    <n v="21"/>
    <n v="36"/>
    <n v="0"/>
    <n v="85.82"/>
    <n v="87.24"/>
    <m/>
    <n v="95.244193463173829"/>
    <n v="47.544693706080466"/>
    <n v="0"/>
    <n v="1444.3505999999998"/>
    <n v="1468.2491999999997"/>
    <n v="0"/>
    <n v="1602.9597759852154"/>
    <n v="800.17719507333413"/>
  </r>
  <r>
    <s v="Regular"/>
    <x v="1"/>
    <x v="4"/>
    <x v="5"/>
    <x v="3"/>
    <x v="0"/>
    <x v="0"/>
    <x v="2"/>
    <x v="8"/>
    <n v="0"/>
    <n v="0"/>
    <n v="16.8"/>
    <n v="16.8"/>
    <n v="16.8"/>
    <n v="16.8"/>
    <n v="15"/>
    <x v="0"/>
    <n v="0"/>
    <n v="0"/>
    <n v="21"/>
    <n v="36"/>
    <n v="0"/>
    <n v="85.82"/>
    <n v="87.24"/>
    <m/>
    <n v="95.244193463173829"/>
    <n v="47.544693706080466"/>
    <n v="0"/>
    <n v="1441.7759999999998"/>
    <n v="1465.6320000000001"/>
    <n v="0"/>
    <n v="1600.1024501813204"/>
    <n v="798.75085426215185"/>
  </r>
  <r>
    <s v="Sistema de Compensação"/>
    <x v="1"/>
    <x v="4"/>
    <x v="5"/>
    <x v="3"/>
    <x v="0"/>
    <x v="0"/>
    <x v="2"/>
    <x v="8"/>
    <n v="0"/>
    <n v="0"/>
    <n v="0.03"/>
    <n v="1.0500000000000001E-2"/>
    <n v="0.03"/>
    <n v="1.0500000000000001E-2"/>
    <n v="0"/>
    <x v="0"/>
    <n v="0"/>
    <n v="0"/>
    <n v="21"/>
    <n v="36"/>
    <n v="0"/>
    <n v="85.82"/>
    <n v="87.24"/>
    <m/>
    <n v="95.244193463173829"/>
    <n v="47.544693706080466"/>
    <n v="0"/>
    <n v="0.90110999999999997"/>
    <n v="0.91602000000000006"/>
    <n v="0"/>
    <n v="1.0000640313633253"/>
    <n v="0.4992192839138449"/>
  </r>
  <r>
    <s v="Regular"/>
    <x v="1"/>
    <x v="4"/>
    <x v="5"/>
    <x v="3"/>
    <x v="0"/>
    <x v="0"/>
    <x v="2"/>
    <x v="9"/>
    <n v="0"/>
    <n v="0"/>
    <n v="15.21"/>
    <n v="15.21"/>
    <n v="15.21"/>
    <n v="15.21"/>
    <n v="17"/>
    <x v="0"/>
    <n v="0"/>
    <n v="0"/>
    <n v="21"/>
    <n v="36"/>
    <n v="0"/>
    <n v="85.82"/>
    <n v="87.24"/>
    <m/>
    <n v="95.244193463173829"/>
    <n v="47.544693706080466"/>
    <n v="0"/>
    <n v="1305.3222000000001"/>
    <n v="1326.9204"/>
    <n v="0"/>
    <n v="1448.6641825748741"/>
    <n v="723.15479126948389"/>
  </r>
  <r>
    <s v="Regular"/>
    <x v="1"/>
    <x v="4"/>
    <x v="5"/>
    <x v="3"/>
    <x v="0"/>
    <x v="0"/>
    <x v="2"/>
    <x v="10"/>
    <n v="0"/>
    <n v="0"/>
    <n v="14.97"/>
    <n v="14.97"/>
    <n v="14.97"/>
    <n v="14.97"/>
    <n v="19"/>
    <x v="0"/>
    <n v="0"/>
    <n v="0"/>
    <n v="21"/>
    <n v="36"/>
    <n v="0"/>
    <n v="85.82"/>
    <n v="87.24"/>
    <m/>
    <n v="95.244193463173829"/>
    <n v="47.544693706080466"/>
    <n v="0"/>
    <n v="1284.7254"/>
    <n v="1305.9828"/>
    <n v="0"/>
    <n v="1425.8055761437122"/>
    <n v="711.74406478002459"/>
  </r>
  <r>
    <s v="Regular"/>
    <x v="1"/>
    <x v="4"/>
    <x v="5"/>
    <x v="3"/>
    <x v="0"/>
    <x v="0"/>
    <x v="2"/>
    <x v="11"/>
    <n v="0"/>
    <n v="0"/>
    <n v="16.2"/>
    <n v="16.2"/>
    <n v="16.2"/>
    <n v="16.2"/>
    <n v="17"/>
    <x v="0"/>
    <n v="0"/>
    <n v="0"/>
    <n v="21"/>
    <n v="36"/>
    <n v="0"/>
    <n v="85.82"/>
    <n v="87.24"/>
    <m/>
    <n v="95.244193463173829"/>
    <n v="47.544693706080466"/>
    <n v="0"/>
    <n v="1390.2839999999999"/>
    <n v="1413.2879999999998"/>
    <n v="0"/>
    <n v="1542.955934103416"/>
    <n v="770.22403803850352"/>
  </r>
  <r>
    <s v="Regular"/>
    <x v="1"/>
    <x v="4"/>
    <x v="5"/>
    <x v="4"/>
    <x v="0"/>
    <x v="0"/>
    <x v="2"/>
    <x v="0"/>
    <n v="0"/>
    <n v="0"/>
    <n v="25.515000000000001"/>
    <n v="25.515000000000001"/>
    <n v="25.515000000000001"/>
    <n v="25.515000000000001"/>
    <n v="49"/>
    <x v="0"/>
    <n v="0"/>
    <n v="0"/>
    <n v="17"/>
    <n v="48"/>
    <n v="0"/>
    <n v="147.12"/>
    <n v="149.55000000000001"/>
    <m/>
    <n v="163.27576022258373"/>
    <n v="81.505189210423666"/>
    <n v="0"/>
    <n v="3753.7668000000003"/>
    <n v="3815.7682500000005"/>
    <n v="0"/>
    <n v="4165.9810220792242"/>
    <n v="2079.6049027039599"/>
  </r>
  <r>
    <s v="Regular"/>
    <x v="1"/>
    <x v="4"/>
    <x v="5"/>
    <x v="4"/>
    <x v="0"/>
    <x v="0"/>
    <x v="2"/>
    <x v="1"/>
    <n v="0"/>
    <n v="0"/>
    <n v="25.896000000000001"/>
    <n v="25.896000000000001"/>
    <n v="25.896000000000001"/>
    <n v="25.896000000000001"/>
    <n v="45"/>
    <x v="0"/>
    <n v="0"/>
    <n v="0"/>
    <n v="17"/>
    <n v="48"/>
    <n v="0"/>
    <n v="147.12"/>
    <n v="149.55000000000001"/>
    <m/>
    <n v="163.27576022258373"/>
    <n v="81.505189210423666"/>
    <n v="0"/>
    <n v="3809.81952"/>
    <n v="3872.7468000000003"/>
    <n v="0"/>
    <n v="4228.1890867240281"/>
    <n v="2110.6583797931312"/>
  </r>
  <r>
    <s v="Regular"/>
    <x v="1"/>
    <x v="4"/>
    <x v="5"/>
    <x v="4"/>
    <x v="0"/>
    <x v="0"/>
    <x v="2"/>
    <x v="2"/>
    <n v="0"/>
    <n v="0"/>
    <n v="26.738"/>
    <n v="26.738"/>
    <n v="26.738"/>
    <n v="26.738"/>
    <n v="51"/>
    <x v="0"/>
    <n v="0"/>
    <n v="0"/>
    <n v="17"/>
    <n v="48"/>
    <n v="0"/>
    <n v="147.12"/>
    <n v="149.55000000000001"/>
    <m/>
    <n v="163.27576022258373"/>
    <n v="81.505189210423666"/>
    <n v="0"/>
    <n v="3933.6945599999999"/>
    <n v="3998.6679000000004"/>
    <n v="0"/>
    <n v="4365.6672768314438"/>
    <n v="2179.2857491083078"/>
  </r>
  <r>
    <s v="Regular"/>
    <x v="1"/>
    <x v="4"/>
    <x v="5"/>
    <x v="4"/>
    <x v="0"/>
    <x v="0"/>
    <x v="2"/>
    <x v="3"/>
    <n v="0"/>
    <n v="0"/>
    <n v="26.849"/>
    <n v="26.849"/>
    <n v="26.849"/>
    <n v="26.849"/>
    <n v="41"/>
    <x v="0"/>
    <n v="0"/>
    <n v="0"/>
    <n v="17"/>
    <n v="48"/>
    <n v="0"/>
    <n v="147.12"/>
    <n v="149.55000000000001"/>
    <m/>
    <n v="163.27576022258373"/>
    <n v="81.505189210423666"/>
    <n v="0"/>
    <n v="3950.0248799999999"/>
    <n v="4015.2679500000004"/>
    <n v="0"/>
    <n v="4383.7908862161503"/>
    <n v="2188.332825110665"/>
  </r>
  <r>
    <s v="Regular"/>
    <x v="1"/>
    <x v="4"/>
    <x v="5"/>
    <x v="4"/>
    <x v="0"/>
    <x v="0"/>
    <x v="2"/>
    <x v="4"/>
    <n v="0"/>
    <n v="0"/>
    <n v="29.689"/>
    <n v="29.689"/>
    <n v="29.689"/>
    <n v="29.689"/>
    <n v="32"/>
    <x v="0"/>
    <n v="0"/>
    <n v="0"/>
    <n v="17"/>
    <n v="48"/>
    <n v="0"/>
    <n v="147.12"/>
    <n v="149.55000000000001"/>
    <m/>
    <n v="163.27576022258373"/>
    <n v="81.505189210423666"/>
    <n v="0"/>
    <n v="4367.8456800000004"/>
    <n v="4439.9899500000001"/>
    <n v="0"/>
    <n v="4847.4940452482879"/>
    <n v="2419.8075624682683"/>
  </r>
  <r>
    <s v="Regular"/>
    <x v="1"/>
    <x v="4"/>
    <x v="5"/>
    <x v="4"/>
    <x v="0"/>
    <x v="0"/>
    <x v="2"/>
    <x v="5"/>
    <n v="0"/>
    <n v="0"/>
    <n v="35.854999999999997"/>
    <n v="35.854999999999997"/>
    <n v="35.854999999999997"/>
    <n v="35.854999999999997"/>
    <n v="37"/>
    <x v="0"/>
    <n v="0"/>
    <n v="0"/>
    <n v="17"/>
    <n v="48"/>
    <n v="0"/>
    <n v="147.12"/>
    <n v="149.55000000000001"/>
    <m/>
    <n v="163.27576022258373"/>
    <n v="81.505189210423666"/>
    <n v="0"/>
    <n v="5274.9875999999995"/>
    <n v="5362.1152499999998"/>
    <n v="0"/>
    <n v="5854.252382780739"/>
    <n v="2922.3685591397402"/>
  </r>
  <r>
    <s v="Regular"/>
    <x v="1"/>
    <x v="4"/>
    <x v="5"/>
    <x v="4"/>
    <x v="0"/>
    <x v="0"/>
    <x v="2"/>
    <x v="6"/>
    <n v="0"/>
    <n v="0"/>
    <n v="37.210999999999999"/>
    <n v="37.210999999999999"/>
    <n v="37.210999999999999"/>
    <n v="37.210999999999999"/>
    <n v="42"/>
    <x v="0"/>
    <n v="0"/>
    <n v="0"/>
    <n v="17"/>
    <n v="48"/>
    <n v="0"/>
    <n v="147.12"/>
    <n v="149.55000000000001"/>
    <m/>
    <n v="163.27576022258373"/>
    <n v="81.505189210423666"/>
    <n v="0"/>
    <n v="5474.4823200000001"/>
    <n v="5564.9050500000003"/>
    <n v="0"/>
    <n v="6075.6543136425626"/>
    <n v="3032.8895957090749"/>
  </r>
  <r>
    <s v="Regular"/>
    <x v="1"/>
    <x v="4"/>
    <x v="5"/>
    <x v="4"/>
    <x v="0"/>
    <x v="0"/>
    <x v="2"/>
    <x v="7"/>
    <n v="0"/>
    <n v="0"/>
    <n v="36.758000000000003"/>
    <n v="36.758000000000003"/>
    <n v="36.758000000000003"/>
    <n v="36.758000000000003"/>
    <n v="65"/>
    <x v="0"/>
    <n v="0"/>
    <n v="0"/>
    <n v="17"/>
    <n v="48"/>
    <n v="0"/>
    <n v="147.12"/>
    <n v="149.55000000000001"/>
    <m/>
    <n v="163.27576022258373"/>
    <n v="81.505189210423666"/>
    <n v="0"/>
    <n v="5407.8369600000005"/>
    <n v="5497.1589000000013"/>
    <n v="0"/>
    <n v="6001.6903942617328"/>
    <n v="2995.9677449967535"/>
  </r>
  <r>
    <s v="Regular"/>
    <x v="1"/>
    <x v="4"/>
    <x v="5"/>
    <x v="4"/>
    <x v="0"/>
    <x v="0"/>
    <x v="2"/>
    <x v="8"/>
    <n v="0"/>
    <n v="0"/>
    <n v="36.078000000000003"/>
    <n v="36.078000000000003"/>
    <n v="36.078000000000003"/>
    <n v="36.078000000000003"/>
    <n v="88"/>
    <x v="0"/>
    <n v="0"/>
    <n v="0"/>
    <n v="17"/>
    <n v="48"/>
    <n v="0"/>
    <n v="147.12"/>
    <n v="149.55000000000001"/>
    <m/>
    <n v="163.27576022258373"/>
    <n v="81.505189210423666"/>
    <n v="0"/>
    <n v="5307.795360000001"/>
    <n v="5395.4649000000009"/>
    <n v="0"/>
    <n v="5890.6628773103766"/>
    <n v="2940.5442163336652"/>
  </r>
  <r>
    <s v="Sistema de Compensação"/>
    <x v="1"/>
    <x v="4"/>
    <x v="5"/>
    <x v="4"/>
    <x v="0"/>
    <x v="0"/>
    <x v="2"/>
    <x v="8"/>
    <n v="0"/>
    <n v="0"/>
    <n v="7.0000000000000007E-2"/>
    <n v="4.2000000000000003E-2"/>
    <n v="7.0000000000000007E-2"/>
    <n v="4.2000000000000003E-2"/>
    <n v="0"/>
    <x v="0"/>
    <n v="0"/>
    <n v="0"/>
    <n v="17"/>
    <n v="48"/>
    <n v="0"/>
    <n v="147.12"/>
    <n v="149.55000000000001"/>
    <m/>
    <n v="163.27576022258373"/>
    <n v="81.505189210423666"/>
    <n v="0"/>
    <n v="6.1790400000000005"/>
    <n v="6.2811000000000012"/>
    <n v="0"/>
    <n v="6.857581929348517"/>
    <n v="3.4232179468377941"/>
  </r>
  <r>
    <s v="Regular"/>
    <x v="1"/>
    <x v="4"/>
    <x v="5"/>
    <x v="4"/>
    <x v="0"/>
    <x v="0"/>
    <x v="2"/>
    <x v="9"/>
    <n v="0"/>
    <n v="0"/>
    <n v="32.643999999999998"/>
    <n v="32.643999999999998"/>
    <n v="32.643999999999998"/>
    <n v="32.643999999999998"/>
    <n v="62"/>
    <x v="0"/>
    <n v="0"/>
    <n v="0"/>
    <n v="17"/>
    <n v="48"/>
    <n v="0"/>
    <n v="147.12"/>
    <n v="149.55000000000001"/>
    <m/>
    <n v="163.27576022258373"/>
    <n v="81.505189210423666"/>
    <n v="0"/>
    <n v="4802.5852800000002"/>
    <n v="4881.9102000000003"/>
    <n v="0"/>
    <n v="5329.9739167060234"/>
    <n v="2660.6553965850699"/>
  </r>
  <r>
    <s v="Regular"/>
    <x v="1"/>
    <x v="4"/>
    <x v="5"/>
    <x v="4"/>
    <x v="0"/>
    <x v="0"/>
    <x v="2"/>
    <x v="10"/>
    <n v="0"/>
    <n v="0"/>
    <n v="32.027999999999999"/>
    <n v="32.027999999999999"/>
    <n v="32.027999999999999"/>
    <n v="32.027999999999999"/>
    <n v="66"/>
    <x v="0"/>
    <n v="0"/>
    <n v="0"/>
    <n v="17"/>
    <n v="48"/>
    <n v="0"/>
    <n v="147.12"/>
    <n v="149.55000000000001"/>
    <m/>
    <n v="163.27576022258373"/>
    <n v="81.505189210423666"/>
    <n v="0"/>
    <n v="4711.9593599999998"/>
    <n v="4789.7874000000002"/>
    <n v="0"/>
    <n v="5229.3960484089112"/>
    <n v="2610.4482000314492"/>
  </r>
  <r>
    <s v="Regular"/>
    <x v="1"/>
    <x v="4"/>
    <x v="5"/>
    <x v="4"/>
    <x v="0"/>
    <x v="0"/>
    <x v="2"/>
    <x v="11"/>
    <n v="0"/>
    <n v="0"/>
    <n v="36.630000000000003"/>
    <n v="36.630000000000003"/>
    <n v="36.630000000000003"/>
    <n v="36.630000000000003"/>
    <n v="60"/>
    <x v="0"/>
    <n v="0"/>
    <n v="0"/>
    <n v="17"/>
    <n v="48"/>
    <n v="0"/>
    <n v="147.12"/>
    <n v="149.55000000000001"/>
    <m/>
    <n v="163.27576022258373"/>
    <n v="81.505189210423666"/>
    <n v="0"/>
    <n v="5389.0056000000004"/>
    <n v="5478.0165000000006"/>
    <n v="0"/>
    <n v="5980.7910969532422"/>
    <n v="2985.5350807778191"/>
  </r>
  <r>
    <s v="Regular"/>
    <x v="1"/>
    <x v="4"/>
    <x v="5"/>
    <x v="5"/>
    <x v="0"/>
    <x v="0"/>
    <x v="2"/>
    <x v="0"/>
    <n v="0"/>
    <n v="0"/>
    <n v="30.728999999999999"/>
    <n v="30.728999999999999"/>
    <n v="30.728999999999999"/>
    <n v="30.728999999999999"/>
    <n v="178"/>
    <x v="0"/>
    <n v="0"/>
    <n v="0"/>
    <n v="18"/>
    <n v="55"/>
    <n v="0"/>
    <n v="220.68"/>
    <n v="224.33"/>
    <m/>
    <n v="244.91364033387558"/>
    <n v="122.25778381563549"/>
    <n v="0"/>
    <n v="6781.2757199999996"/>
    <n v="6893.4365699999998"/>
    <n v="0"/>
    <n v="7525.9512538196623"/>
    <n v="3756.8594388706629"/>
  </r>
  <r>
    <s v="Regular"/>
    <x v="1"/>
    <x v="4"/>
    <x v="5"/>
    <x v="5"/>
    <x v="0"/>
    <x v="0"/>
    <x v="2"/>
    <x v="1"/>
    <n v="0"/>
    <n v="0"/>
    <n v="31.2"/>
    <n v="31.2"/>
    <n v="31.2"/>
    <n v="31.2"/>
    <n v="172"/>
    <x v="0"/>
    <n v="0"/>
    <n v="0"/>
    <n v="18"/>
    <n v="55"/>
    <n v="0"/>
    <n v="220.68"/>
    <n v="224.33"/>
    <m/>
    <n v="244.91364033387558"/>
    <n v="122.25778381563549"/>
    <n v="0"/>
    <n v="6885.2160000000003"/>
    <n v="6999.0960000000005"/>
    <n v="0"/>
    <n v="7641.3055784169183"/>
    <n v="3814.4428550478274"/>
  </r>
  <r>
    <s v="Regular"/>
    <x v="1"/>
    <x v="4"/>
    <x v="5"/>
    <x v="5"/>
    <x v="0"/>
    <x v="0"/>
    <x v="2"/>
    <x v="2"/>
    <n v="0"/>
    <n v="0"/>
    <n v="32.558"/>
    <n v="32.558"/>
    <n v="32.558"/>
    <n v="32.558"/>
    <n v="175"/>
    <x v="0"/>
    <n v="0"/>
    <n v="0"/>
    <n v="18"/>
    <n v="55"/>
    <n v="0"/>
    <n v="220.68"/>
    <n v="224.33"/>
    <m/>
    <n v="244.91364033387558"/>
    <n v="122.25778381563549"/>
    <n v="0"/>
    <n v="7184.8994400000001"/>
    <n v="7303.73614"/>
    <n v="0"/>
    <n v="7973.8983019903208"/>
    <n v="3980.4689254694604"/>
  </r>
  <r>
    <s v="Regular"/>
    <x v="1"/>
    <x v="4"/>
    <x v="5"/>
    <x v="5"/>
    <x v="0"/>
    <x v="0"/>
    <x v="2"/>
    <x v="3"/>
    <n v="0"/>
    <n v="0"/>
    <n v="33.174999999999997"/>
    <n v="33.174999999999997"/>
    <n v="33.174999999999997"/>
    <n v="33.174999999999997"/>
    <n v="170"/>
    <x v="0"/>
    <n v="0"/>
    <n v="0"/>
    <n v="18"/>
    <n v="55"/>
    <n v="0"/>
    <n v="220.68"/>
    <n v="224.33"/>
    <m/>
    <n v="244.91364033387558"/>
    <n v="122.25778381563549"/>
    <n v="0"/>
    <n v="7321.0589999999993"/>
    <n v="7442.1477500000001"/>
    <n v="0"/>
    <n v="8125.010018076322"/>
    <n v="4055.901978083707"/>
  </r>
  <r>
    <s v="Regular"/>
    <x v="1"/>
    <x v="4"/>
    <x v="5"/>
    <x v="5"/>
    <x v="0"/>
    <x v="0"/>
    <x v="2"/>
    <x v="4"/>
    <n v="0"/>
    <n v="0"/>
    <n v="40.127000000000002"/>
    <n v="40.127000000000002"/>
    <n v="40.127000000000002"/>
    <n v="40.127000000000002"/>
    <n v="154"/>
    <x v="0"/>
    <n v="0"/>
    <n v="0"/>
    <n v="18"/>
    <n v="55"/>
    <n v="0"/>
    <n v="220.68"/>
    <n v="224.33"/>
    <m/>
    <n v="244.91364033387558"/>
    <n v="122.25778381563549"/>
    <n v="0"/>
    <n v="8855.2263600000006"/>
    <n v="9001.689910000001"/>
    <n v="0"/>
    <n v="9827.6496456774257"/>
    <n v="4905.838091170006"/>
  </r>
  <r>
    <s v="Regular"/>
    <x v="1"/>
    <x v="4"/>
    <x v="5"/>
    <x v="5"/>
    <x v="0"/>
    <x v="0"/>
    <x v="2"/>
    <x v="5"/>
    <n v="0"/>
    <n v="0"/>
    <n v="48.387"/>
    <n v="48.387"/>
    <n v="48.387"/>
    <n v="48.387"/>
    <n v="172"/>
    <x v="0"/>
    <n v="0"/>
    <n v="0"/>
    <n v="18"/>
    <n v="55"/>
    <n v="0"/>
    <n v="220.68"/>
    <n v="224.33"/>
    <m/>
    <n v="244.91364033387558"/>
    <n v="122.25778381563549"/>
    <n v="0"/>
    <n v="10678.043160000001"/>
    <n v="10854.655710000001"/>
    <n v="0"/>
    <n v="11850.636314835237"/>
    <n v="5915.6873854871546"/>
  </r>
  <r>
    <s v="Regular"/>
    <x v="1"/>
    <x v="4"/>
    <x v="5"/>
    <x v="5"/>
    <x v="0"/>
    <x v="0"/>
    <x v="2"/>
    <x v="6"/>
    <n v="0"/>
    <n v="0"/>
    <n v="48.087000000000003"/>
    <n v="48.087000000000003"/>
    <n v="48.087000000000003"/>
    <n v="48.087000000000003"/>
    <n v="204"/>
    <x v="0"/>
    <n v="0"/>
    <n v="0"/>
    <n v="18"/>
    <n v="55"/>
    <n v="0"/>
    <n v="220.68"/>
    <n v="224.33"/>
    <m/>
    <n v="244.91364033387558"/>
    <n v="122.25778381563549"/>
    <n v="0"/>
    <n v="10611.839160000001"/>
    <n v="10787.356710000002"/>
    <n v="0"/>
    <n v="11777.162222735076"/>
    <n v="5879.0100503424646"/>
  </r>
  <r>
    <s v="Regular"/>
    <x v="1"/>
    <x v="4"/>
    <x v="5"/>
    <x v="5"/>
    <x v="0"/>
    <x v="0"/>
    <x v="2"/>
    <x v="7"/>
    <n v="0"/>
    <n v="0"/>
    <n v="44.235999999999997"/>
    <n v="44.235999999999997"/>
    <n v="44.235999999999997"/>
    <n v="44.235999999999997"/>
    <n v="242"/>
    <x v="0"/>
    <n v="0"/>
    <n v="0"/>
    <n v="18"/>
    <n v="55"/>
    <n v="0"/>
    <n v="220.68"/>
    <n v="224.33"/>
    <m/>
    <n v="244.91364033387558"/>
    <n v="122.25778381563549"/>
    <n v="0"/>
    <n v="9762.0004799999988"/>
    <n v="9923.4618800000007"/>
    <n v="0"/>
    <n v="10833.99979380932"/>
    <n v="5408.1953248684513"/>
  </r>
  <r>
    <s v="Regular"/>
    <x v="1"/>
    <x v="4"/>
    <x v="5"/>
    <x v="5"/>
    <x v="0"/>
    <x v="0"/>
    <x v="2"/>
    <x v="8"/>
    <n v="0"/>
    <n v="0"/>
    <n v="39.134999999999998"/>
    <n v="39.134999999999998"/>
    <n v="39.134999999999998"/>
    <n v="39.134999999999998"/>
    <n v="259"/>
    <x v="0"/>
    <n v="0"/>
    <n v="0"/>
    <n v="18"/>
    <n v="55"/>
    <n v="0"/>
    <n v="220.68"/>
    <n v="224.33"/>
    <m/>
    <n v="244.91364033387558"/>
    <n v="122.25778381563549"/>
    <n v="0"/>
    <n v="8636.3117999999995"/>
    <n v="8779.1545499999993"/>
    <n v="0"/>
    <n v="9584.6953144662202"/>
    <n v="4784.558369624895"/>
  </r>
  <r>
    <s v="Sistema de Compensação"/>
    <x v="1"/>
    <x v="4"/>
    <x v="5"/>
    <x v="5"/>
    <x v="0"/>
    <x v="0"/>
    <x v="2"/>
    <x v="8"/>
    <n v="0"/>
    <n v="0"/>
    <n v="3.3000000000000002E-2"/>
    <n v="2.9700000000000001E-2"/>
    <n v="3.3000000000000002E-2"/>
    <n v="2.9700000000000001E-2"/>
    <n v="1"/>
    <x v="0"/>
    <n v="0"/>
    <n v="0"/>
    <n v="18"/>
    <n v="55"/>
    <n v="0"/>
    <n v="220.68"/>
    <n v="224.33"/>
    <m/>
    <n v="244.91364033387558"/>
    <n v="122.25778381563549"/>
    <n v="0"/>
    <n v="6.5541960000000001"/>
    <n v="6.6626010000000004"/>
    <n v="0"/>
    <n v="7.2739351179161051"/>
    <n v="3.6310561793243741"/>
  </r>
  <r>
    <s v="Regular"/>
    <x v="1"/>
    <x v="4"/>
    <x v="5"/>
    <x v="5"/>
    <x v="0"/>
    <x v="0"/>
    <x v="2"/>
    <x v="9"/>
    <n v="0"/>
    <n v="0"/>
    <n v="39.506"/>
    <n v="39.506"/>
    <n v="39.506"/>
    <n v="39.506"/>
    <n v="198"/>
    <x v="0"/>
    <n v="0"/>
    <n v="0"/>
    <n v="18"/>
    <n v="55"/>
    <n v="0"/>
    <n v="220.68"/>
    <n v="224.33"/>
    <m/>
    <n v="244.91364033387558"/>
    <n v="122.25778381563549"/>
    <n v="0"/>
    <n v="8718.1840800000009"/>
    <n v="8862.3809799999999"/>
    <n v="0"/>
    <n v="9675.5582750300891"/>
    <n v="4829.9160074204956"/>
  </r>
  <r>
    <s v="Regular"/>
    <x v="1"/>
    <x v="4"/>
    <x v="5"/>
    <x v="5"/>
    <x v="0"/>
    <x v="0"/>
    <x v="2"/>
    <x v="10"/>
    <n v="0"/>
    <n v="0"/>
    <n v="37.194000000000003"/>
    <n v="37.194000000000003"/>
    <n v="37.194000000000003"/>
    <n v="37.194000000000003"/>
    <n v="198"/>
    <x v="0"/>
    <n v="0"/>
    <n v="0"/>
    <n v="18"/>
    <n v="55"/>
    <n v="0"/>
    <n v="220.68"/>
    <n v="224.33"/>
    <m/>
    <n v="244.91364033387558"/>
    <n v="122.25778381563549"/>
    <n v="0"/>
    <n v="8207.97192"/>
    <n v="8343.7300200000009"/>
    <n v="0"/>
    <n v="9109.3179385781696"/>
    <n v="4547.2560112387464"/>
  </r>
  <r>
    <s v="Regular"/>
    <x v="1"/>
    <x v="4"/>
    <x v="5"/>
    <x v="5"/>
    <x v="0"/>
    <x v="0"/>
    <x v="2"/>
    <x v="11"/>
    <n v="0"/>
    <n v="0"/>
    <n v="41.235999999999997"/>
    <n v="41.235999999999997"/>
    <n v="41.235999999999997"/>
    <n v="41.235999999999997"/>
    <n v="222"/>
    <x v="0"/>
    <n v="0"/>
    <n v="0"/>
    <n v="18"/>
    <n v="55"/>
    <n v="0"/>
    <n v="220.68"/>
    <n v="224.33"/>
    <m/>
    <n v="244.91364033387558"/>
    <n v="122.25778381563549"/>
    <n v="0"/>
    <n v="9099.9604799999997"/>
    <n v="9250.4718799999991"/>
    <n v="0"/>
    <n v="10099.258872807693"/>
    <n v="5041.4219734215449"/>
  </r>
  <r>
    <s v="Regular"/>
    <x v="1"/>
    <x v="4"/>
    <x v="5"/>
    <x v="6"/>
    <x v="0"/>
    <x v="0"/>
    <x v="2"/>
    <x v="0"/>
    <n v="0"/>
    <n v="0"/>
    <n v="16.521999999999998"/>
    <n v="16.521999999999998"/>
    <n v="16.521999999999998"/>
    <n v="16.521999999999998"/>
    <n v="157"/>
    <x v="0"/>
    <n v="0"/>
    <n v="0"/>
    <n v="44"/>
    <n v="60"/>
    <n v="0"/>
    <n v="245.2"/>
    <n v="249.25"/>
    <m/>
    <n v="272.12626703763954"/>
    <n v="135.84198201737277"/>
    <n v="0"/>
    <n v="4051.1943999999994"/>
    <n v="4118.1084999999994"/>
    <n v="0"/>
    <n v="4496.0701839958801"/>
    <n v="2244.3812268910328"/>
  </r>
  <r>
    <s v="Regular"/>
    <x v="1"/>
    <x v="4"/>
    <x v="5"/>
    <x v="6"/>
    <x v="0"/>
    <x v="0"/>
    <x v="2"/>
    <x v="1"/>
    <n v="0"/>
    <n v="0"/>
    <n v="17.109000000000002"/>
    <n v="17.109000000000002"/>
    <n v="17.109000000000002"/>
    <n v="17.109000000000002"/>
    <n v="171"/>
    <x v="0"/>
    <n v="0"/>
    <n v="0"/>
    <n v="44"/>
    <n v="60"/>
    <n v="0"/>
    <n v="245.2"/>
    <n v="249.25"/>
    <m/>
    <n v="272.12626703763954"/>
    <n v="135.84198201737277"/>
    <n v="0"/>
    <n v="4195.1268"/>
    <n v="4264.4182500000006"/>
    <n v="0"/>
    <n v="4655.8083027469756"/>
    <n v="2324.1204703352309"/>
  </r>
  <r>
    <s v="Regular"/>
    <x v="1"/>
    <x v="4"/>
    <x v="5"/>
    <x v="6"/>
    <x v="0"/>
    <x v="0"/>
    <x v="2"/>
    <x v="2"/>
    <n v="0"/>
    <n v="0"/>
    <n v="18.899000000000001"/>
    <n v="18.899000000000001"/>
    <n v="18.899000000000001"/>
    <n v="18.899000000000001"/>
    <n v="173"/>
    <x v="0"/>
    <n v="0"/>
    <n v="0"/>
    <n v="44"/>
    <n v="60"/>
    <n v="0"/>
    <n v="245.2"/>
    <n v="249.25"/>
    <m/>
    <n v="272.12626703763954"/>
    <n v="135.84198201737277"/>
    <n v="0"/>
    <n v="4634.0348000000004"/>
    <n v="4710.57575"/>
    <n v="0"/>
    <n v="5142.9143207443494"/>
    <n v="2567.2776181463282"/>
  </r>
  <r>
    <s v="Regular"/>
    <x v="1"/>
    <x v="4"/>
    <x v="5"/>
    <x v="6"/>
    <x v="0"/>
    <x v="0"/>
    <x v="2"/>
    <x v="3"/>
    <n v="0"/>
    <n v="0"/>
    <n v="21.431000000000001"/>
    <n v="21.431000000000001"/>
    <n v="21.431000000000001"/>
    <n v="21.431000000000001"/>
    <n v="188"/>
    <x v="0"/>
    <n v="0"/>
    <n v="0"/>
    <n v="44"/>
    <n v="60"/>
    <n v="0"/>
    <n v="245.2"/>
    <n v="249.25"/>
    <m/>
    <n v="272.12626703763954"/>
    <n v="135.84198201737277"/>
    <n v="0"/>
    <n v="5254.8811999999998"/>
    <n v="5341.6767500000005"/>
    <n v="0"/>
    <n v="5831.9380288836528"/>
    <n v="2911.2295166143158"/>
  </r>
  <r>
    <s v="Regular"/>
    <x v="1"/>
    <x v="4"/>
    <x v="5"/>
    <x v="6"/>
    <x v="0"/>
    <x v="0"/>
    <x v="2"/>
    <x v="4"/>
    <n v="0"/>
    <n v="0"/>
    <n v="33.978999999999999"/>
    <n v="33.978999999999999"/>
    <n v="33.978999999999999"/>
    <n v="33.978999999999999"/>
    <n v="248"/>
    <x v="0"/>
    <n v="0"/>
    <n v="0"/>
    <n v="44"/>
    <n v="60"/>
    <n v="0"/>
    <n v="245.2"/>
    <n v="249.25"/>
    <m/>
    <n v="272.12626703763954"/>
    <n v="135.84198201737277"/>
    <n v="0"/>
    <n v="8331.6507999999994"/>
    <n v="8469.2657500000005"/>
    <n v="0"/>
    <n v="9246.5784276719532"/>
    <n v="4615.7747069683091"/>
  </r>
  <r>
    <s v="Regular"/>
    <x v="1"/>
    <x v="4"/>
    <x v="5"/>
    <x v="6"/>
    <x v="0"/>
    <x v="0"/>
    <x v="2"/>
    <x v="5"/>
    <n v="0"/>
    <n v="0"/>
    <n v="50.307000000000002"/>
    <n v="50.307000000000002"/>
    <n v="50.307000000000002"/>
    <n v="50.307000000000002"/>
    <n v="315"/>
    <x v="0"/>
    <n v="0"/>
    <n v="0"/>
    <n v="44"/>
    <n v="60"/>
    <n v="0"/>
    <n v="245.2"/>
    <n v="249.25"/>
    <m/>
    <n v="272.12626703763954"/>
    <n v="135.84198201737277"/>
    <n v="0"/>
    <n v="12335.276400000001"/>
    <n v="12539.019750000001"/>
    <n v="0"/>
    <n v="13689.856115862533"/>
    <n v="6833.8025893479726"/>
  </r>
  <r>
    <s v="Regular"/>
    <x v="1"/>
    <x v="4"/>
    <x v="5"/>
    <x v="6"/>
    <x v="0"/>
    <x v="0"/>
    <x v="2"/>
    <x v="6"/>
    <n v="0"/>
    <n v="0"/>
    <n v="38.713999999999999"/>
    <n v="38.713999999999999"/>
    <n v="38.713999999999999"/>
    <n v="38.713999999999999"/>
    <n v="299"/>
    <x v="0"/>
    <n v="0"/>
    <n v="0"/>
    <n v="44"/>
    <n v="60"/>
    <n v="0"/>
    <n v="245.2"/>
    <n v="249.25"/>
    <m/>
    <n v="272.12626703763954"/>
    <n v="135.84198201737277"/>
    <n v="0"/>
    <n v="9492.6727999999985"/>
    <n v="9649.4645"/>
    <n v="0"/>
    <n v="10535.096302095177"/>
    <n v="5258.9864918205694"/>
  </r>
  <r>
    <s v="Regular"/>
    <x v="1"/>
    <x v="4"/>
    <x v="5"/>
    <x v="6"/>
    <x v="0"/>
    <x v="0"/>
    <x v="2"/>
    <x v="7"/>
    <n v="0"/>
    <n v="0"/>
    <n v="23.859000000000002"/>
    <n v="23.859000000000002"/>
    <n v="23.859000000000002"/>
    <n v="23.859000000000002"/>
    <n v="241"/>
    <x v="0"/>
    <n v="0"/>
    <n v="0"/>
    <n v="44"/>
    <n v="60"/>
    <n v="0"/>
    <n v="245.2"/>
    <n v="249.25"/>
    <m/>
    <n v="272.12626703763954"/>
    <n v="135.84198201737277"/>
    <n v="0"/>
    <n v="5850.2268000000004"/>
    <n v="5946.8557500000006"/>
    <n v="0"/>
    <n v="6492.6606052510424"/>
    <n v="3241.053848952497"/>
  </r>
  <r>
    <s v="Regular"/>
    <x v="1"/>
    <x v="4"/>
    <x v="5"/>
    <x v="6"/>
    <x v="0"/>
    <x v="0"/>
    <x v="2"/>
    <x v="8"/>
    <n v="0"/>
    <n v="0"/>
    <n v="18.257999999999999"/>
    <n v="18.257999999999999"/>
    <n v="18.257999999999999"/>
    <n v="18.257999999999999"/>
    <n v="198"/>
    <x v="0"/>
    <n v="0"/>
    <n v="0"/>
    <n v="44"/>
    <n v="60"/>
    <n v="0"/>
    <n v="245.2"/>
    <n v="249.25"/>
    <m/>
    <n v="272.12626703763954"/>
    <n v="135.84198201737277"/>
    <n v="0"/>
    <n v="4476.8615999999993"/>
    <n v="4550.8064999999997"/>
    <n v="0"/>
    <n v="4968.481383573222"/>
    <n v="2480.2029076731919"/>
  </r>
  <r>
    <s v="Regular"/>
    <x v="1"/>
    <x v="4"/>
    <x v="5"/>
    <x v="6"/>
    <x v="0"/>
    <x v="0"/>
    <x v="2"/>
    <x v="9"/>
    <n v="0"/>
    <n v="0"/>
    <n v="26.19"/>
    <n v="26.19"/>
    <n v="26.19"/>
    <n v="26.19"/>
    <n v="230"/>
    <x v="0"/>
    <n v="0"/>
    <n v="0"/>
    <n v="44"/>
    <n v="60"/>
    <n v="0"/>
    <n v="245.2"/>
    <n v="249.25"/>
    <m/>
    <n v="272.12626703763954"/>
    <n v="135.84198201737277"/>
    <n v="0"/>
    <n v="6421.7880000000005"/>
    <n v="6527.8575000000001"/>
    <n v="0"/>
    <n v="7126.9869337157797"/>
    <n v="3557.7015090349933"/>
  </r>
  <r>
    <s v="Regular"/>
    <x v="1"/>
    <x v="4"/>
    <x v="5"/>
    <x v="6"/>
    <x v="0"/>
    <x v="0"/>
    <x v="2"/>
    <x v="10"/>
    <n v="0"/>
    <n v="0"/>
    <n v="23.417000000000002"/>
    <n v="23.417000000000002"/>
    <n v="23.417000000000002"/>
    <n v="23.417000000000002"/>
    <n v="215"/>
    <x v="0"/>
    <n v="0"/>
    <n v="0"/>
    <n v="44"/>
    <n v="60"/>
    <n v="0"/>
    <n v="245.2"/>
    <n v="249.25"/>
    <m/>
    <n v="272.12626703763954"/>
    <n v="135.84198201737277"/>
    <n v="0"/>
    <n v="5741.8483999999999"/>
    <n v="5836.6872499999999"/>
    <n v="0"/>
    <n v="6372.3807952204052"/>
    <n v="3181.0116929008186"/>
  </r>
  <r>
    <s v="Regular"/>
    <x v="1"/>
    <x v="4"/>
    <x v="5"/>
    <x v="6"/>
    <x v="0"/>
    <x v="0"/>
    <x v="2"/>
    <x v="11"/>
    <n v="0"/>
    <n v="0"/>
    <n v="28.462"/>
    <n v="28.462"/>
    <n v="28.462"/>
    <n v="28.462"/>
    <n v="236"/>
    <x v="0"/>
    <n v="0"/>
    <n v="0"/>
    <n v="44"/>
    <n v="60"/>
    <n v="0"/>
    <n v="245.2"/>
    <n v="249.25"/>
    <m/>
    <n v="272.12626703763954"/>
    <n v="135.84198201737277"/>
    <n v="0"/>
    <n v="6978.8823999999995"/>
    <n v="7094.1535000000003"/>
    <n v="0"/>
    <n v="7745.2578124252968"/>
    <n v="3866.3344921784637"/>
  </r>
  <r>
    <s v="Regular"/>
    <x v="2"/>
    <x v="4"/>
    <x v="6"/>
    <x v="7"/>
    <x v="3"/>
    <x v="0"/>
    <x v="2"/>
    <x v="0"/>
    <n v="0"/>
    <n v="0"/>
    <n v="0.73099999999999998"/>
    <n v="0.73099999999999998"/>
    <n v="0.73099999999999998"/>
    <n v="0.73099999999999998"/>
    <n v="0"/>
    <x v="0"/>
    <n v="0"/>
    <n v="0"/>
    <n v="24"/>
    <n v="63"/>
    <n v="0"/>
    <n v="275.13"/>
    <n v="219.34"/>
    <m/>
    <n v="357.29593017360565"/>
    <n v="127.69146309633039"/>
    <n v="0"/>
    <n v="201.12002999999999"/>
    <n v="160.33753999999999"/>
    <n v="0"/>
    <n v="261.18332495690572"/>
    <n v="93.342459523417517"/>
  </r>
  <r>
    <s v="Regular"/>
    <x v="2"/>
    <x v="4"/>
    <x v="6"/>
    <x v="7"/>
    <x v="3"/>
    <x v="0"/>
    <x v="2"/>
    <x v="1"/>
    <n v="0"/>
    <n v="0"/>
    <n v="0.50800000000000001"/>
    <n v="0.50800000000000001"/>
    <n v="0.50800000000000001"/>
    <n v="0.50800000000000001"/>
    <n v="0"/>
    <x v="0"/>
    <n v="0"/>
    <n v="0"/>
    <n v="24"/>
    <n v="63"/>
    <n v="0"/>
    <n v="275.13"/>
    <n v="219.34"/>
    <m/>
    <n v="357.29593017360565"/>
    <n v="127.69146309633039"/>
    <n v="0"/>
    <n v="139.76604"/>
    <n v="111.42472000000001"/>
    <n v="0"/>
    <n v="181.50633252819168"/>
    <n v="64.867263252935842"/>
  </r>
  <r>
    <s v="Regular"/>
    <x v="2"/>
    <x v="4"/>
    <x v="6"/>
    <x v="7"/>
    <x v="3"/>
    <x v="0"/>
    <x v="2"/>
    <x v="2"/>
    <n v="0"/>
    <n v="0"/>
    <n v="1.038"/>
    <n v="1.038"/>
    <n v="1.038"/>
    <n v="1.038"/>
    <n v="0"/>
    <x v="0"/>
    <n v="0"/>
    <n v="0"/>
    <n v="24"/>
    <n v="63"/>
    <n v="0"/>
    <n v="275.13"/>
    <n v="219.34"/>
    <m/>
    <n v="357.29593017360565"/>
    <n v="127.69146309633039"/>
    <n v="0"/>
    <n v="285.58494000000002"/>
    <n v="227.67492000000001"/>
    <n v="0"/>
    <n v="370.87317552020266"/>
    <n v="132.54373869399095"/>
  </r>
  <r>
    <s v="Regular"/>
    <x v="2"/>
    <x v="4"/>
    <x v="6"/>
    <x v="7"/>
    <x v="3"/>
    <x v="0"/>
    <x v="2"/>
    <x v="3"/>
    <n v="0"/>
    <n v="0"/>
    <n v="1.57"/>
    <n v="1.57"/>
    <n v="1.57"/>
    <n v="1.57"/>
    <n v="0"/>
    <x v="0"/>
    <n v="0"/>
    <n v="0"/>
    <n v="24"/>
    <n v="63"/>
    <n v="0"/>
    <n v="275.13"/>
    <n v="219.34"/>
    <m/>
    <n v="357.29593017360565"/>
    <n v="127.69146309633039"/>
    <n v="0"/>
    <n v="431.95409999999998"/>
    <n v="344.36380000000003"/>
    <n v="0"/>
    <n v="560.95461037256086"/>
    <n v="200.47559706123872"/>
  </r>
  <r>
    <s v="Regular"/>
    <x v="2"/>
    <x v="4"/>
    <x v="6"/>
    <x v="7"/>
    <x v="3"/>
    <x v="0"/>
    <x v="2"/>
    <x v="4"/>
    <n v="0"/>
    <n v="0"/>
    <n v="2.165"/>
    <n v="2.165"/>
    <n v="2.165"/>
    <n v="2.165"/>
    <n v="0"/>
    <x v="0"/>
    <n v="0"/>
    <n v="0"/>
    <n v="24"/>
    <n v="63"/>
    <n v="0"/>
    <n v="275.13"/>
    <n v="219.34"/>
    <m/>
    <n v="357.29593017360565"/>
    <n v="127.69146309633039"/>
    <n v="0"/>
    <n v="595.65644999999995"/>
    <n v="474.87110000000001"/>
    <n v="0"/>
    <n v="773.54568882585625"/>
    <n v="276.4520176035553"/>
  </r>
  <r>
    <s v="Regular"/>
    <x v="2"/>
    <x v="4"/>
    <x v="6"/>
    <x v="7"/>
    <x v="3"/>
    <x v="0"/>
    <x v="2"/>
    <x v="5"/>
    <n v="0"/>
    <n v="0"/>
    <n v="1.4279999999999999"/>
    <n v="1.4279999999999999"/>
    <n v="1.4279999999999999"/>
    <n v="1.4279999999999999"/>
    <n v="0"/>
    <x v="0"/>
    <n v="0"/>
    <n v="0"/>
    <n v="24"/>
    <n v="63"/>
    <n v="0"/>
    <n v="275.13"/>
    <n v="219.34"/>
    <m/>
    <n v="357.29593017360565"/>
    <n v="127.69146309633039"/>
    <n v="0"/>
    <n v="392.88563999999997"/>
    <n v="313.21751999999998"/>
    <n v="0"/>
    <n v="510.21858828790886"/>
    <n v="182.3434093015598"/>
  </r>
  <r>
    <s v="Regular"/>
    <x v="2"/>
    <x v="4"/>
    <x v="6"/>
    <x v="7"/>
    <x v="3"/>
    <x v="0"/>
    <x v="2"/>
    <x v="6"/>
    <n v="0"/>
    <n v="0"/>
    <n v="0.57299999999999995"/>
    <n v="0.57299999999999995"/>
    <n v="0.57299999999999995"/>
    <n v="0.57299999999999995"/>
    <n v="0"/>
    <x v="0"/>
    <n v="0"/>
    <n v="0"/>
    <n v="24"/>
    <n v="63"/>
    <n v="0"/>
    <n v="275.13"/>
    <n v="219.34"/>
    <m/>
    <n v="357.29593017360565"/>
    <n v="127.69146309633039"/>
    <n v="0"/>
    <n v="157.64948999999999"/>
    <n v="125.68181999999999"/>
    <n v="0"/>
    <n v="204.73056798947601"/>
    <n v="73.167208354197314"/>
  </r>
  <r>
    <s v="Regular"/>
    <x v="2"/>
    <x v="4"/>
    <x v="6"/>
    <x v="7"/>
    <x v="3"/>
    <x v="0"/>
    <x v="2"/>
    <x v="7"/>
    <n v="0"/>
    <n v="0"/>
    <n v="0.623"/>
    <n v="0.623"/>
    <n v="0.623"/>
    <n v="0.623"/>
    <n v="0"/>
    <x v="0"/>
    <n v="0"/>
    <n v="0"/>
    <n v="24"/>
    <n v="63"/>
    <n v="0"/>
    <n v="275.13"/>
    <n v="219.34"/>
    <m/>
    <n v="357.29593017360565"/>
    <n v="127.69146309633039"/>
    <n v="0"/>
    <n v="171.40599"/>
    <n v="136.64882"/>
    <n v="0"/>
    <n v="222.59536449815633"/>
    <n v="79.551781509013836"/>
  </r>
  <r>
    <s v="Regular"/>
    <x v="2"/>
    <x v="4"/>
    <x v="6"/>
    <x v="7"/>
    <x v="3"/>
    <x v="0"/>
    <x v="2"/>
    <x v="8"/>
    <n v="0"/>
    <n v="0"/>
    <n v="0.71699999999999997"/>
    <n v="0.71699999999999997"/>
    <n v="0.71699999999999997"/>
    <n v="0.71699999999999997"/>
    <n v="0"/>
    <x v="0"/>
    <n v="0"/>
    <n v="0"/>
    <n v="24"/>
    <n v="63"/>
    <n v="0"/>
    <n v="275.13"/>
    <n v="219.34"/>
    <m/>
    <n v="357.29593017360565"/>
    <n v="127.69146309633039"/>
    <n v="0"/>
    <n v="197.26820999999998"/>
    <n v="157.26677999999998"/>
    <n v="0"/>
    <n v="256.18118193447526"/>
    <n v="91.554779040068894"/>
  </r>
  <r>
    <s v="Regular"/>
    <x v="2"/>
    <x v="4"/>
    <x v="6"/>
    <x v="7"/>
    <x v="3"/>
    <x v="0"/>
    <x v="2"/>
    <x v="9"/>
    <n v="0"/>
    <n v="0"/>
    <n v="0.83799999999999997"/>
    <n v="0.83799999999999997"/>
    <n v="0.83799999999999997"/>
    <n v="0.83799999999999997"/>
    <n v="0"/>
    <x v="0"/>
    <n v="0"/>
    <n v="0"/>
    <n v="24"/>
    <n v="63"/>
    <n v="0"/>
    <n v="275.13"/>
    <n v="219.34"/>
    <m/>
    <n v="357.29593017360565"/>
    <n v="127.69146309633039"/>
    <n v="0"/>
    <n v="230.55893999999998"/>
    <n v="183.80691999999999"/>
    <n v="0"/>
    <n v="299.41398948548152"/>
    <n v="107.00544607472487"/>
  </r>
  <r>
    <s v="Regular"/>
    <x v="2"/>
    <x v="4"/>
    <x v="6"/>
    <x v="7"/>
    <x v="3"/>
    <x v="0"/>
    <x v="2"/>
    <x v="10"/>
    <n v="0"/>
    <n v="0"/>
    <n v="0.749"/>
    <n v="0.749"/>
    <n v="0.749"/>
    <n v="0.749"/>
    <n v="0"/>
    <x v="0"/>
    <n v="0"/>
    <n v="0"/>
    <n v="24"/>
    <n v="63"/>
    <n v="0"/>
    <n v="275.13"/>
    <n v="219.34"/>
    <m/>
    <n v="357.29593017360565"/>
    <n v="127.69146309633039"/>
    <n v="0"/>
    <n v="206.07237000000001"/>
    <n v="164.28566000000001"/>
    <n v="0"/>
    <n v="267.61465170003066"/>
    <n v="95.640905859151459"/>
  </r>
  <r>
    <s v="Regular"/>
    <x v="2"/>
    <x v="4"/>
    <x v="6"/>
    <x v="7"/>
    <x v="3"/>
    <x v="0"/>
    <x v="2"/>
    <x v="11"/>
    <n v="0"/>
    <n v="0"/>
    <n v="0.90300000000000002"/>
    <n v="0.90300000000000002"/>
    <n v="0.90300000000000002"/>
    <n v="0.90300000000000002"/>
    <n v="0"/>
    <x v="0"/>
    <n v="0"/>
    <n v="0"/>
    <n v="24"/>
    <n v="63"/>
    <n v="0"/>
    <n v="275.13"/>
    <n v="219.34"/>
    <m/>
    <n v="357.29593017360565"/>
    <n v="127.69146309633039"/>
    <n v="0"/>
    <n v="248.44238999999999"/>
    <n v="198.06402"/>
    <n v="0"/>
    <n v="322.63822494676589"/>
    <n v="115.30539117598634"/>
  </r>
  <r>
    <s v="Regular"/>
    <x v="2"/>
    <x v="4"/>
    <x v="6"/>
    <x v="7"/>
    <x v="4"/>
    <x v="0"/>
    <x v="2"/>
    <x v="0"/>
    <n v="0"/>
    <n v="0"/>
    <n v="0.14299999999999999"/>
    <n v="5.7200000000000001E-2"/>
    <n v="0.14299999999999999"/>
    <n v="5.7200000000000001E-2"/>
    <n v="0"/>
    <x v="0"/>
    <n v="0"/>
    <n v="0"/>
    <n v="24"/>
    <n v="63"/>
    <n v="0"/>
    <n v="275.13"/>
    <n v="219.34"/>
    <m/>
    <n v="357.29593017360565"/>
    <n v="127.69146309633039"/>
    <n v="0"/>
    <n v="15.737436000000001"/>
    <n v="12.546248"/>
    <n v="0"/>
    <n v="20.437327205930245"/>
    <n v="7.3039516891100984"/>
  </r>
  <r>
    <s v="Regular"/>
    <x v="2"/>
    <x v="4"/>
    <x v="6"/>
    <x v="7"/>
    <x v="4"/>
    <x v="0"/>
    <x v="2"/>
    <x v="1"/>
    <n v="0"/>
    <n v="0"/>
    <n v="4.2999999999999997E-2"/>
    <n v="1.72E-2"/>
    <n v="4.2999999999999997E-2"/>
    <n v="1.72E-2"/>
    <n v="0"/>
    <x v="0"/>
    <n v="0"/>
    <n v="0"/>
    <n v="24"/>
    <n v="63"/>
    <n v="0"/>
    <n v="275.13"/>
    <n v="219.34"/>
    <m/>
    <n v="357.29593017360565"/>
    <n v="127.69146309633039"/>
    <n v="0"/>
    <n v="4.7322360000000003"/>
    <n v="3.7726480000000002"/>
    <n v="0"/>
    <n v="6.145489998986017"/>
    <n v="2.1962931652568827"/>
  </r>
  <r>
    <s v="Regular"/>
    <x v="2"/>
    <x v="4"/>
    <x v="6"/>
    <x v="7"/>
    <x v="4"/>
    <x v="0"/>
    <x v="2"/>
    <x v="2"/>
    <n v="0"/>
    <n v="0"/>
    <n v="0.186"/>
    <n v="7.4399999999999994E-2"/>
    <n v="0.186"/>
    <n v="7.4399999999999994E-2"/>
    <n v="0"/>
    <x v="0"/>
    <n v="0"/>
    <n v="0"/>
    <n v="24"/>
    <n v="63"/>
    <n v="0"/>
    <n v="275.13"/>
    <n v="219.34"/>
    <m/>
    <n v="357.29593017360565"/>
    <n v="127.69146309633039"/>
    <n v="0"/>
    <n v="20.469671999999999"/>
    <n v="16.318895999999999"/>
    <n v="0"/>
    <n v="26.582817204916257"/>
    <n v="9.5002448543669811"/>
  </r>
  <r>
    <s v="Regular"/>
    <x v="2"/>
    <x v="4"/>
    <x v="6"/>
    <x v="7"/>
    <x v="4"/>
    <x v="0"/>
    <x v="2"/>
    <x v="3"/>
    <n v="0"/>
    <n v="0"/>
    <n v="0.16300000000000001"/>
    <n v="6.5199999999999994E-2"/>
    <n v="0.16300000000000001"/>
    <n v="6.5199999999999994E-2"/>
    <n v="0"/>
    <x v="0"/>
    <n v="0"/>
    <n v="0"/>
    <n v="24"/>
    <n v="63"/>
    <n v="0"/>
    <n v="275.13"/>
    <n v="219.34"/>
    <m/>
    <n v="357.29593017360565"/>
    <n v="127.69146309633039"/>
    <n v="0"/>
    <n v="17.938475999999998"/>
    <n v="14.300967999999999"/>
    <n v="0"/>
    <n v="23.295694647319088"/>
    <n v="8.3254833938807415"/>
  </r>
  <r>
    <s v="Regular"/>
    <x v="2"/>
    <x v="4"/>
    <x v="6"/>
    <x v="7"/>
    <x v="4"/>
    <x v="0"/>
    <x v="2"/>
    <x v="4"/>
    <n v="0"/>
    <n v="0"/>
    <n v="0.436"/>
    <n v="0.1744"/>
    <n v="0.436"/>
    <n v="0.1744"/>
    <n v="0"/>
    <x v="0"/>
    <n v="0"/>
    <n v="0"/>
    <n v="24"/>
    <n v="63"/>
    <n v="0"/>
    <n v="275.13"/>
    <n v="219.34"/>
    <m/>
    <n v="357.29593017360565"/>
    <n v="127.69146309633039"/>
    <n v="0"/>
    <n v="47.982672000000001"/>
    <n v="38.252896"/>
    <n v="0"/>
    <n v="62.312410222276824"/>
    <n v="22.26939116400002"/>
  </r>
  <r>
    <s v="Refaturamento - Regular"/>
    <x v="2"/>
    <x v="4"/>
    <x v="6"/>
    <x v="7"/>
    <x v="4"/>
    <x v="0"/>
    <x v="2"/>
    <x v="4"/>
    <n v="0"/>
    <n v="0"/>
    <n v="-0.90100000000000002"/>
    <n v="-0.3604"/>
    <n v="-0.90100000000000002"/>
    <n v="-0.3604"/>
    <n v="0"/>
    <x v="0"/>
    <n v="0"/>
    <n v="0"/>
    <n v="24"/>
    <n v="63"/>
    <n v="0"/>
    <n v="275.13"/>
    <n v="219.34"/>
    <m/>
    <n v="357.29593017360565"/>
    <n v="127.69146309633039"/>
    <n v="0"/>
    <n v="-99.156852000000001"/>
    <n v="-79.050135999999995"/>
    <n v="0"/>
    <n v="-128.76945323456746"/>
    <n v="-46.020003299917477"/>
  </r>
  <r>
    <s v="Regular"/>
    <x v="2"/>
    <x v="4"/>
    <x v="6"/>
    <x v="7"/>
    <x v="4"/>
    <x v="0"/>
    <x v="2"/>
    <x v="5"/>
    <n v="0"/>
    <n v="0"/>
    <n v="0.42699999999999999"/>
    <n v="0.17080000000000001"/>
    <n v="0.42699999999999999"/>
    <n v="0.17080000000000001"/>
    <n v="0"/>
    <x v="0"/>
    <n v="0"/>
    <n v="0"/>
    <n v="24"/>
    <n v="63"/>
    <n v="0"/>
    <n v="275.13"/>
    <n v="219.34"/>
    <m/>
    <n v="357.29593017360565"/>
    <n v="127.69146309633039"/>
    <n v="0"/>
    <n v="46.992204000000001"/>
    <n v="37.463272000000003"/>
    <n v="0"/>
    <n v="61.026144873651852"/>
    <n v="21.809701896853234"/>
  </r>
  <r>
    <s v="Regular"/>
    <x v="2"/>
    <x v="4"/>
    <x v="6"/>
    <x v="7"/>
    <x v="4"/>
    <x v="0"/>
    <x v="2"/>
    <x v="6"/>
    <n v="0"/>
    <n v="0"/>
    <n v="0.245"/>
    <n v="9.8000000000000004E-2"/>
    <n v="0.245"/>
    <n v="9.8000000000000004E-2"/>
    <n v="0"/>
    <x v="0"/>
    <n v="0"/>
    <n v="0"/>
    <n v="24"/>
    <n v="63"/>
    <n v="0"/>
    <n v="275.13"/>
    <n v="219.34"/>
    <m/>
    <n v="357.29593017360565"/>
    <n v="127.69146309633039"/>
    <n v="0"/>
    <n v="26.96274"/>
    <n v="21.49532"/>
    <n v="0"/>
    <n v="35.015001157013359"/>
    <n v="12.513763383440379"/>
  </r>
  <r>
    <s v="Regular"/>
    <x v="2"/>
    <x v="4"/>
    <x v="6"/>
    <x v="7"/>
    <x v="4"/>
    <x v="0"/>
    <x v="2"/>
    <x v="7"/>
    <n v="0"/>
    <n v="0"/>
    <n v="0.114"/>
    <n v="4.5600000000000002E-2"/>
    <n v="0.114"/>
    <n v="4.5600000000000002E-2"/>
    <n v="0"/>
    <x v="0"/>
    <n v="0"/>
    <n v="0"/>
    <n v="24"/>
    <n v="63"/>
    <n v="0"/>
    <n v="275.13"/>
    <n v="219.34"/>
    <m/>
    <n v="357.29593017360565"/>
    <n v="127.69146309633039"/>
    <n v="0"/>
    <n v="12.545928"/>
    <n v="10.001904"/>
    <n v="0"/>
    <n v="16.292694415916419"/>
    <n v="5.8227307171926661"/>
  </r>
  <r>
    <s v="Regular"/>
    <x v="2"/>
    <x v="4"/>
    <x v="6"/>
    <x v="7"/>
    <x v="4"/>
    <x v="0"/>
    <x v="2"/>
    <x v="8"/>
    <n v="0"/>
    <n v="0"/>
    <n v="0.16500000000000001"/>
    <n v="6.6000000000000003E-2"/>
    <n v="0.16500000000000001"/>
    <n v="6.6000000000000003E-2"/>
    <n v="0"/>
    <x v="0"/>
    <n v="0"/>
    <n v="0"/>
    <n v="24"/>
    <n v="63"/>
    <n v="0"/>
    <n v="275.13"/>
    <n v="219.34"/>
    <m/>
    <n v="357.29593017360565"/>
    <n v="127.69146309633039"/>
    <n v="0"/>
    <n v="18.158580000000001"/>
    <n v="14.47644"/>
    <n v="0"/>
    <n v="23.581531391457975"/>
    <n v="8.4276365643578064"/>
  </r>
  <r>
    <s v="Regular"/>
    <x v="2"/>
    <x v="4"/>
    <x v="6"/>
    <x v="7"/>
    <x v="4"/>
    <x v="0"/>
    <x v="2"/>
    <x v="9"/>
    <n v="0"/>
    <n v="0"/>
    <n v="0.14899999999999999"/>
    <n v="5.96E-2"/>
    <n v="0.14899999999999999"/>
    <n v="5.96E-2"/>
    <n v="0"/>
    <x v="0"/>
    <n v="0"/>
    <n v="0"/>
    <n v="24"/>
    <n v="63"/>
    <n v="0"/>
    <n v="275.13"/>
    <n v="219.34"/>
    <m/>
    <n v="357.29593017360565"/>
    <n v="127.69146309633039"/>
    <n v="0"/>
    <n v="16.397748"/>
    <n v="13.072664"/>
    <n v="0"/>
    <n v="21.294837438346896"/>
    <n v="7.6104112005412912"/>
  </r>
  <r>
    <s v="Regular"/>
    <x v="2"/>
    <x v="4"/>
    <x v="6"/>
    <x v="7"/>
    <x v="4"/>
    <x v="0"/>
    <x v="2"/>
    <x v="10"/>
    <n v="0"/>
    <n v="0"/>
    <n v="0.10199999999999999"/>
    <n v="4.0800000000000003E-2"/>
    <n v="0.10199999999999999"/>
    <n v="4.0800000000000003E-2"/>
    <n v="0"/>
    <x v="0"/>
    <n v="0"/>
    <n v="0"/>
    <n v="24"/>
    <n v="63"/>
    <n v="0"/>
    <n v="275.13"/>
    <n v="219.34"/>
    <m/>
    <n v="357.29593017360565"/>
    <n v="127.69146309633039"/>
    <n v="0"/>
    <n v="11.225304000000001"/>
    <n v="8.949072000000001"/>
    <n v="0"/>
    <n v="14.577673951083112"/>
    <n v="5.2098116943302806"/>
  </r>
  <r>
    <s v="Regular"/>
    <x v="2"/>
    <x v="4"/>
    <x v="6"/>
    <x v="7"/>
    <x v="4"/>
    <x v="0"/>
    <x v="2"/>
    <x v="11"/>
    <n v="0"/>
    <n v="0"/>
    <n v="0.22600000000000001"/>
    <n v="9.0399999999999994E-2"/>
    <n v="0.22600000000000001"/>
    <n v="9.0399999999999994E-2"/>
    <n v="0"/>
    <x v="0"/>
    <n v="0"/>
    <n v="0"/>
    <n v="24"/>
    <n v="63"/>
    <n v="0"/>
    <n v="275.13"/>
    <n v="219.34"/>
    <m/>
    <n v="357.29593017360565"/>
    <n v="127.69146309633039"/>
    <n v="0"/>
    <n v="24.871751999999997"/>
    <n v="19.828336"/>
    <n v="0"/>
    <n v="32.299552087693947"/>
    <n v="11.543308263908267"/>
  </r>
  <r>
    <s v="Regular"/>
    <x v="2"/>
    <x v="4"/>
    <x v="6"/>
    <x v="8"/>
    <x v="3"/>
    <x v="0"/>
    <x v="2"/>
    <x v="0"/>
    <n v="0"/>
    <n v="0"/>
    <n v="45.56"/>
    <n v="45.56"/>
    <n v="45.56"/>
    <n v="45.56"/>
    <n v="0"/>
    <x v="0"/>
    <n v="0"/>
    <n v="0"/>
    <n v="24"/>
    <n v="63"/>
    <n v="0"/>
    <n v="275.13"/>
    <n v="219.34"/>
    <m/>
    <n v="357.29593017360565"/>
    <n v="127.69146309633039"/>
    <n v="0"/>
    <n v="12534.9228"/>
    <n v="9993.1304"/>
    <n v="0"/>
    <n v="16278.402578709474"/>
    <n v="5817.6230586688134"/>
  </r>
  <r>
    <s v="Sistema de Compensação"/>
    <x v="2"/>
    <x v="4"/>
    <x v="6"/>
    <x v="8"/>
    <x v="3"/>
    <x v="0"/>
    <x v="2"/>
    <x v="0"/>
    <n v="0"/>
    <n v="0"/>
    <n v="5.1130000000000004"/>
    <n v="5.1130000000000004"/>
    <n v="5.1130000000000004"/>
    <n v="5.1130000000000004"/>
    <n v="0"/>
    <x v="0"/>
    <n v="0"/>
    <n v="0"/>
    <n v="24"/>
    <n v="63"/>
    <n v="0"/>
    <n v="275.13"/>
    <n v="219.34"/>
    <m/>
    <n v="357.29593017360565"/>
    <n v="127.69146309633039"/>
    <n v="0"/>
    <n v="1406.7396900000001"/>
    <n v="1121.4854200000002"/>
    <n v="0"/>
    <n v="1826.8540909776459"/>
    <n v="652.88645081153732"/>
  </r>
  <r>
    <s v="Regular"/>
    <x v="2"/>
    <x v="4"/>
    <x v="6"/>
    <x v="8"/>
    <x v="3"/>
    <x v="0"/>
    <x v="2"/>
    <x v="1"/>
    <n v="0"/>
    <n v="0"/>
    <n v="57.811"/>
    <n v="57.811"/>
    <n v="57.811"/>
    <n v="57.811"/>
    <n v="0"/>
    <x v="0"/>
    <n v="0"/>
    <n v="0"/>
    <n v="24"/>
    <n v="63"/>
    <n v="0"/>
    <n v="275.13"/>
    <n v="219.34"/>
    <m/>
    <n v="357.29593017360565"/>
    <n v="127.69146309633039"/>
    <n v="0"/>
    <n v="15905.540429999999"/>
    <n v="12680.264740000001"/>
    <n v="0"/>
    <n v="20655.635019266316"/>
    <n v="7381.9711730619565"/>
  </r>
  <r>
    <s v="Sistema de Compensação"/>
    <x v="2"/>
    <x v="4"/>
    <x v="6"/>
    <x v="8"/>
    <x v="3"/>
    <x v="0"/>
    <x v="2"/>
    <x v="1"/>
    <n v="0"/>
    <n v="0"/>
    <n v="12.606999999999999"/>
    <n v="12.606999999999999"/>
    <n v="12.606999999999999"/>
    <n v="12.606999999999999"/>
    <n v="0"/>
    <x v="0"/>
    <n v="0"/>
    <n v="0"/>
    <n v="24"/>
    <n v="63"/>
    <n v="0"/>
    <n v="275.13"/>
    <n v="219.34"/>
    <m/>
    <n v="357.29593017360565"/>
    <n v="127.69146309633039"/>
    <n v="0"/>
    <n v="3468.5639099999999"/>
    <n v="2765.21938"/>
    <n v="0"/>
    <n v="4504.4297916986461"/>
    <n v="1609.8062752554372"/>
  </r>
  <r>
    <s v="Regular"/>
    <x v="2"/>
    <x v="4"/>
    <x v="6"/>
    <x v="8"/>
    <x v="3"/>
    <x v="0"/>
    <x v="2"/>
    <x v="2"/>
    <n v="0"/>
    <n v="0"/>
    <n v="63.508000000000003"/>
    <n v="63.508000000000003"/>
    <n v="63.508000000000003"/>
    <n v="63.508000000000003"/>
    <n v="0"/>
    <x v="0"/>
    <n v="0"/>
    <n v="0"/>
    <n v="24"/>
    <n v="63"/>
    <n v="0"/>
    <n v="275.13"/>
    <n v="219.34"/>
    <m/>
    <n v="357.29593017360565"/>
    <n v="127.69146309633039"/>
    <n v="0"/>
    <n v="17472.956040000001"/>
    <n v="13929.844720000001"/>
    <n v="0"/>
    <n v="22691.149933465349"/>
    <n v="8109.4294383217511"/>
  </r>
  <r>
    <s v="Sistema de Compensação"/>
    <x v="2"/>
    <x v="4"/>
    <x v="6"/>
    <x v="8"/>
    <x v="3"/>
    <x v="0"/>
    <x v="2"/>
    <x v="2"/>
    <n v="0"/>
    <n v="0"/>
    <n v="12.029"/>
    <n v="12.029"/>
    <n v="12.029"/>
    <n v="12.029"/>
    <n v="0"/>
    <x v="0"/>
    <n v="0"/>
    <n v="0"/>
    <n v="24"/>
    <n v="63"/>
    <n v="0"/>
    <n v="275.13"/>
    <n v="219.34"/>
    <m/>
    <n v="357.29593017360565"/>
    <n v="127.69146309633039"/>
    <n v="0"/>
    <n v="3309.5387700000001"/>
    <n v="2638.4408600000002"/>
    <n v="0"/>
    <n v="4297.9127440583025"/>
    <n v="1536.0006095857584"/>
  </r>
  <r>
    <s v="Regular"/>
    <x v="2"/>
    <x v="4"/>
    <x v="6"/>
    <x v="8"/>
    <x v="3"/>
    <x v="0"/>
    <x v="2"/>
    <x v="3"/>
    <n v="0"/>
    <n v="0"/>
    <n v="75.221999999999994"/>
    <n v="75.221999999999994"/>
    <n v="75.221999999999994"/>
    <n v="75.221999999999994"/>
    <n v="0"/>
    <x v="0"/>
    <n v="0"/>
    <n v="0"/>
    <n v="24"/>
    <n v="63"/>
    <n v="0"/>
    <n v="275.13"/>
    <n v="219.34"/>
    <m/>
    <n v="357.29593017360565"/>
    <n v="127.69146309633039"/>
    <n v="0"/>
    <n v="20695.828859999998"/>
    <n v="16499.193479999998"/>
    <n v="0"/>
    <n v="26876.514459518963"/>
    <n v="9605.2072370321639"/>
  </r>
  <r>
    <s v="Sistema de Compensação"/>
    <x v="2"/>
    <x v="4"/>
    <x v="6"/>
    <x v="8"/>
    <x v="3"/>
    <x v="0"/>
    <x v="2"/>
    <x v="3"/>
    <n v="0"/>
    <n v="0"/>
    <n v="16.344999999999999"/>
    <n v="16.344999999999999"/>
    <n v="16.344999999999999"/>
    <n v="16.344999999999999"/>
    <n v="0"/>
    <x v="0"/>
    <n v="0"/>
    <n v="0"/>
    <n v="24"/>
    <n v="63"/>
    <n v="0"/>
    <n v="275.13"/>
    <n v="219.34"/>
    <m/>
    <n v="357.29593017360565"/>
    <n v="127.69146309633039"/>
    <n v="0"/>
    <n v="4496.9998499999992"/>
    <n v="3585.1122999999998"/>
    <n v="0"/>
    <n v="5840.0019786875837"/>
    <n v="2087.11696430952"/>
  </r>
  <r>
    <s v="Regular"/>
    <x v="2"/>
    <x v="4"/>
    <x v="6"/>
    <x v="8"/>
    <x v="3"/>
    <x v="0"/>
    <x v="2"/>
    <x v="4"/>
    <n v="0"/>
    <n v="0"/>
    <n v="82.271000000000001"/>
    <n v="82.271000000000001"/>
    <n v="82.271000000000001"/>
    <n v="82.271000000000001"/>
    <n v="0"/>
    <x v="0"/>
    <n v="0"/>
    <n v="0"/>
    <n v="24"/>
    <n v="63"/>
    <n v="0"/>
    <n v="275.13"/>
    <n v="219.34"/>
    <m/>
    <n v="357.29593017360565"/>
    <n v="127.69146309633039"/>
    <n v="0"/>
    <n v="22635.220229999999"/>
    <n v="18045.32114"/>
    <n v="0"/>
    <n v="29395.09347131271"/>
    <n v="10505.304360398199"/>
  </r>
  <r>
    <s v="Sistema de Compensação"/>
    <x v="2"/>
    <x v="4"/>
    <x v="6"/>
    <x v="8"/>
    <x v="3"/>
    <x v="0"/>
    <x v="2"/>
    <x v="4"/>
    <n v="0"/>
    <n v="0"/>
    <n v="19.469000000000001"/>
    <n v="19.469000000000001"/>
    <n v="19.469000000000001"/>
    <n v="19.469000000000001"/>
    <n v="0"/>
    <x v="0"/>
    <n v="0"/>
    <n v="0"/>
    <n v="24"/>
    <n v="63"/>
    <n v="0"/>
    <n v="275.13"/>
    <n v="219.34"/>
    <m/>
    <n v="357.29593017360565"/>
    <n v="127.69146309633039"/>
    <n v="0"/>
    <n v="5356.5059700000002"/>
    <n v="4270.3304600000001"/>
    <n v="0"/>
    <n v="6956.1944645499289"/>
    <n v="2486.0250950224568"/>
  </r>
  <r>
    <s v="Regular"/>
    <x v="2"/>
    <x v="4"/>
    <x v="6"/>
    <x v="8"/>
    <x v="3"/>
    <x v="0"/>
    <x v="2"/>
    <x v="5"/>
    <n v="0"/>
    <n v="0"/>
    <n v="84.971999999999994"/>
    <n v="84.971999999999994"/>
    <n v="84.971999999999994"/>
    <n v="84.971999999999994"/>
    <n v="0"/>
    <x v="0"/>
    <n v="0"/>
    <n v="0"/>
    <n v="24"/>
    <n v="63"/>
    <n v="0"/>
    <n v="275.13"/>
    <n v="219.34"/>
    <m/>
    <n v="357.29593017360565"/>
    <n v="127.69146309633039"/>
    <n v="0"/>
    <n v="23378.34636"/>
    <n v="18637.75848"/>
    <n v="0"/>
    <n v="30360.149778711617"/>
    <n v="10850.199002221385"/>
  </r>
  <r>
    <s v="Refaturamento - Regular"/>
    <x v="2"/>
    <x v="4"/>
    <x v="6"/>
    <x v="8"/>
    <x v="3"/>
    <x v="0"/>
    <x v="2"/>
    <x v="5"/>
    <n v="0"/>
    <n v="0"/>
    <n v="-2"/>
    <n v="-2"/>
    <n v="-2"/>
    <n v="-2"/>
    <n v="0"/>
    <x v="0"/>
    <n v="0"/>
    <n v="0"/>
    <n v="24"/>
    <n v="63"/>
    <n v="0"/>
    <n v="275.13"/>
    <n v="219.34"/>
    <m/>
    <n v="357.29593017360565"/>
    <n v="127.69146309633039"/>
    <n v="0"/>
    <n v="-550.26"/>
    <n v="-438.68"/>
    <n v="0"/>
    <n v="-714.59186034721131"/>
    <n v="-255.38292619266079"/>
  </r>
  <r>
    <s v="Sistema de Compensação"/>
    <x v="2"/>
    <x v="4"/>
    <x v="6"/>
    <x v="8"/>
    <x v="3"/>
    <x v="0"/>
    <x v="2"/>
    <x v="5"/>
    <n v="0"/>
    <n v="0"/>
    <n v="17.23"/>
    <n v="17.23"/>
    <n v="17.23"/>
    <n v="17.23"/>
    <n v="0"/>
    <x v="0"/>
    <n v="0"/>
    <n v="0"/>
    <n v="24"/>
    <n v="63"/>
    <n v="0"/>
    <n v="275.13"/>
    <n v="219.34"/>
    <m/>
    <n v="357.29593017360565"/>
    <n v="127.69146309633039"/>
    <n v="0"/>
    <n v="4740.4899000000005"/>
    <n v="3779.2282"/>
    <n v="0"/>
    <n v="6156.2088768912254"/>
    <n v="2200.1239091497728"/>
  </r>
  <r>
    <s v="Regular"/>
    <x v="2"/>
    <x v="4"/>
    <x v="6"/>
    <x v="8"/>
    <x v="3"/>
    <x v="0"/>
    <x v="2"/>
    <x v="6"/>
    <n v="0"/>
    <n v="0"/>
    <n v="82.183999999999997"/>
    <n v="82.183999999999997"/>
    <n v="82.183999999999997"/>
    <n v="82.183999999999997"/>
    <n v="0"/>
    <x v="0"/>
    <n v="0"/>
    <n v="0"/>
    <n v="24"/>
    <n v="63"/>
    <n v="0"/>
    <n v="275.13"/>
    <n v="219.34"/>
    <m/>
    <n v="357.29593017360565"/>
    <n v="127.69146309633039"/>
    <n v="0"/>
    <n v="22611.283919999998"/>
    <n v="18026.238559999998"/>
    <n v="0"/>
    <n v="29364.008725387604"/>
    <n v="10494.195203108817"/>
  </r>
  <r>
    <s v="Sistema de Compensação"/>
    <x v="2"/>
    <x v="4"/>
    <x v="6"/>
    <x v="8"/>
    <x v="3"/>
    <x v="0"/>
    <x v="2"/>
    <x v="6"/>
    <n v="0"/>
    <n v="0"/>
    <n v="21.934000000000001"/>
    <n v="21.934000000000001"/>
    <n v="21.934000000000001"/>
    <n v="21.934000000000001"/>
    <n v="0"/>
    <x v="0"/>
    <n v="0"/>
    <n v="0"/>
    <n v="24"/>
    <n v="63"/>
    <n v="0"/>
    <n v="275.13"/>
    <n v="219.34"/>
    <m/>
    <n v="357.29593017360565"/>
    <n v="127.69146309633039"/>
    <n v="0"/>
    <n v="6034.7014200000003"/>
    <n v="4811.0035600000001"/>
    <n v="0"/>
    <n v="7836.928932427867"/>
    <n v="2800.7845515549111"/>
  </r>
  <r>
    <s v="Regular"/>
    <x v="2"/>
    <x v="4"/>
    <x v="6"/>
    <x v="8"/>
    <x v="3"/>
    <x v="0"/>
    <x v="2"/>
    <x v="7"/>
    <n v="0"/>
    <n v="0"/>
    <n v="82.19"/>
    <n v="82.19"/>
    <n v="82.19"/>
    <n v="82.19"/>
    <n v="0"/>
    <x v="0"/>
    <n v="0"/>
    <n v="0"/>
    <n v="24"/>
    <n v="63"/>
    <n v="0"/>
    <n v="275.13"/>
    <n v="219.34"/>
    <m/>
    <n v="357.29593017360565"/>
    <n v="127.69146309633039"/>
    <n v="0"/>
    <n v="22612.934699999998"/>
    <n v="18027.554599999999"/>
    <n v="0"/>
    <n v="29366.152500968648"/>
    <n v="10494.961351887396"/>
  </r>
  <r>
    <s v="Refaturamento - Regular"/>
    <x v="2"/>
    <x v="4"/>
    <x v="6"/>
    <x v="8"/>
    <x v="3"/>
    <x v="0"/>
    <x v="2"/>
    <x v="7"/>
    <n v="0"/>
    <n v="0"/>
    <n v="-1.958"/>
    <n v="-1.958"/>
    <n v="-1.958"/>
    <n v="-1.958"/>
    <n v="0"/>
    <x v="0"/>
    <n v="0"/>
    <n v="0"/>
    <n v="24"/>
    <n v="63"/>
    <n v="0"/>
    <n v="275.13"/>
    <n v="219.34"/>
    <m/>
    <n v="357.29593017360565"/>
    <n v="127.69146309633039"/>
    <n v="0"/>
    <n v="-538.70453999999995"/>
    <n v="-429.46771999999999"/>
    <n v="0"/>
    <n v="-699.58543127991982"/>
    <n v="-250.01988474261492"/>
  </r>
  <r>
    <s v="Sistema de Compensação"/>
    <x v="2"/>
    <x v="4"/>
    <x v="6"/>
    <x v="8"/>
    <x v="3"/>
    <x v="0"/>
    <x v="2"/>
    <x v="7"/>
    <n v="0"/>
    <n v="0"/>
    <n v="20.260999999999999"/>
    <n v="20.260999999999999"/>
    <n v="20.260999999999999"/>
    <n v="20.260999999999999"/>
    <n v="0"/>
    <x v="0"/>
    <n v="0"/>
    <n v="0"/>
    <n v="24"/>
    <n v="63"/>
    <n v="0"/>
    <n v="275.13"/>
    <n v="219.34"/>
    <m/>
    <n v="357.29593017360565"/>
    <n v="127.69146309633039"/>
    <n v="0"/>
    <n v="5574.4089299999996"/>
    <n v="4444.04774"/>
    <n v="0"/>
    <n v="7239.172841247424"/>
    <n v="2587.1567337947499"/>
  </r>
  <r>
    <s v="Regular"/>
    <x v="2"/>
    <x v="4"/>
    <x v="6"/>
    <x v="8"/>
    <x v="3"/>
    <x v="0"/>
    <x v="2"/>
    <x v="8"/>
    <n v="0"/>
    <n v="0"/>
    <n v="75.430999999999997"/>
    <n v="75.430999999999997"/>
    <n v="75.430999999999997"/>
    <n v="75.430999999999997"/>
    <n v="0"/>
    <x v="0"/>
    <n v="0"/>
    <n v="0"/>
    <n v="24"/>
    <n v="63"/>
    <n v="0"/>
    <n v="275.13"/>
    <n v="219.34"/>
    <m/>
    <n v="357.29593017360565"/>
    <n v="127.69146309633039"/>
    <n v="0"/>
    <n v="20753.331029999998"/>
    <n v="16545.035540000001"/>
    <n v="0"/>
    <n v="26951.189308925248"/>
    <n v="9631.8947528192984"/>
  </r>
  <r>
    <s v="Sistema de Compensação"/>
    <x v="2"/>
    <x v="4"/>
    <x v="6"/>
    <x v="8"/>
    <x v="3"/>
    <x v="0"/>
    <x v="2"/>
    <x v="8"/>
    <n v="0"/>
    <n v="0"/>
    <n v="21.283000000000001"/>
    <n v="21.283000000000001"/>
    <n v="21.283000000000001"/>
    <n v="21.283000000000001"/>
    <n v="0"/>
    <x v="0"/>
    <n v="0"/>
    <n v="0"/>
    <n v="24"/>
    <n v="63"/>
    <n v="0"/>
    <n v="275.13"/>
    <n v="219.34"/>
    <m/>
    <n v="357.29593017360565"/>
    <n v="127.69146309633039"/>
    <n v="0"/>
    <n v="5855.5917900000004"/>
    <n v="4668.2132200000005"/>
    <n v="0"/>
    <n v="7604.3292818848495"/>
    <n v="2717.6574090792001"/>
  </r>
  <r>
    <s v="Regular"/>
    <x v="2"/>
    <x v="4"/>
    <x v="6"/>
    <x v="8"/>
    <x v="3"/>
    <x v="0"/>
    <x v="2"/>
    <x v="9"/>
    <n v="0"/>
    <n v="0"/>
    <n v="49.536000000000001"/>
    <n v="49.536000000000001"/>
    <n v="49.536000000000001"/>
    <n v="49.536000000000001"/>
    <n v="0"/>
    <x v="0"/>
    <n v="0"/>
    <n v="0"/>
    <n v="24"/>
    <n v="63"/>
    <n v="0"/>
    <n v="275.13"/>
    <n v="219.34"/>
    <m/>
    <n v="357.29593017360565"/>
    <n v="127.69146309633039"/>
    <n v="0"/>
    <n v="13628.839680000001"/>
    <n v="10865.22624"/>
    <n v="0"/>
    <n v="17699.01119707973"/>
    <n v="6325.3243159398226"/>
  </r>
  <r>
    <s v="Sistema de Compensação"/>
    <x v="2"/>
    <x v="4"/>
    <x v="6"/>
    <x v="8"/>
    <x v="3"/>
    <x v="0"/>
    <x v="2"/>
    <x v="9"/>
    <n v="0"/>
    <n v="0"/>
    <n v="14.411"/>
    <n v="14.411"/>
    <n v="14.411"/>
    <n v="14.411"/>
    <n v="0"/>
    <x v="0"/>
    <n v="0"/>
    <n v="0"/>
    <n v="24"/>
    <n v="63"/>
    <n v="0"/>
    <n v="275.13"/>
    <n v="219.34"/>
    <m/>
    <n v="357.29593017360565"/>
    <n v="127.69146309633039"/>
    <n v="0"/>
    <n v="3964.8984299999997"/>
    <n v="3160.9087399999999"/>
    <n v="0"/>
    <n v="5148.9916497318309"/>
    <n v="1840.1616746812172"/>
  </r>
  <r>
    <s v="Regular"/>
    <x v="2"/>
    <x v="4"/>
    <x v="6"/>
    <x v="8"/>
    <x v="3"/>
    <x v="0"/>
    <x v="2"/>
    <x v="10"/>
    <n v="0"/>
    <n v="0"/>
    <n v="34.773000000000003"/>
    <n v="34.773000000000003"/>
    <n v="34.773000000000003"/>
    <n v="34.773000000000003"/>
    <n v="0"/>
    <x v="0"/>
    <n v="0"/>
    <n v="0"/>
    <n v="24"/>
    <n v="63"/>
    <n v="0"/>
    <n v="275.13"/>
    <n v="219.34"/>
    <m/>
    <n v="357.29593017360565"/>
    <n v="127.69146309633039"/>
    <n v="0"/>
    <n v="9567.0954900000015"/>
    <n v="7627.1098200000006"/>
    <n v="0"/>
    <n v="12424.251379926791"/>
    <n v="4440.2152462486974"/>
  </r>
  <r>
    <s v="Regular"/>
    <x v="2"/>
    <x v="4"/>
    <x v="6"/>
    <x v="8"/>
    <x v="3"/>
    <x v="0"/>
    <x v="2"/>
    <x v="11"/>
    <n v="0"/>
    <n v="0"/>
    <n v="33.787999999999997"/>
    <n v="33.787999999999997"/>
    <n v="33.787999999999997"/>
    <n v="33.787999999999997"/>
    <n v="0"/>
    <x v="0"/>
    <n v="0"/>
    <n v="0"/>
    <n v="24"/>
    <n v="63"/>
    <n v="0"/>
    <n v="275.13"/>
    <n v="219.34"/>
    <m/>
    <n v="357.29593017360565"/>
    <n v="127.69146309633039"/>
    <n v="0"/>
    <n v="9296.0924399999985"/>
    <n v="7411.0599199999997"/>
    <n v="0"/>
    <n v="12072.314888705787"/>
    <n v="4314.4391550988112"/>
  </r>
  <r>
    <s v="Sistema de Compensação"/>
    <x v="2"/>
    <x v="4"/>
    <x v="6"/>
    <x v="8"/>
    <x v="3"/>
    <x v="0"/>
    <x v="2"/>
    <x v="11"/>
    <n v="0"/>
    <n v="0"/>
    <n v="10.808999999999999"/>
    <n v="10.808999999999999"/>
    <n v="10.808999999999999"/>
    <n v="10.808999999999999"/>
    <n v="0"/>
    <x v="0"/>
    <n v="0"/>
    <n v="0"/>
    <n v="24"/>
    <n v="63"/>
    <n v="0"/>
    <n v="275.13"/>
    <n v="219.34"/>
    <m/>
    <n v="357.29593017360565"/>
    <n v="127.69146309633039"/>
    <n v="0"/>
    <n v="2973.8801699999999"/>
    <n v="2370.8460599999999"/>
    <n v="0"/>
    <n v="3862.0117092465034"/>
    <n v="1380.2170246082351"/>
  </r>
  <r>
    <s v="Regular"/>
    <x v="2"/>
    <x v="4"/>
    <x v="6"/>
    <x v="8"/>
    <x v="4"/>
    <x v="0"/>
    <x v="2"/>
    <x v="0"/>
    <n v="0"/>
    <n v="0"/>
    <n v="63.085000000000001"/>
    <n v="25.234000000000002"/>
    <n v="63.085000000000001"/>
    <n v="25.234000000000002"/>
    <n v="0"/>
    <x v="0"/>
    <n v="0"/>
    <n v="0"/>
    <n v="24"/>
    <n v="63"/>
    <n v="0"/>
    <n v="275.13"/>
    <n v="219.34"/>
    <m/>
    <n v="357.29593017360565"/>
    <n v="127.69146309633039"/>
    <n v="0"/>
    <n v="6942.6304200000004"/>
    <n v="5534.8255600000002"/>
    <n v="0"/>
    <n v="9016.0055020007658"/>
    <n v="3222.1663797728015"/>
  </r>
  <r>
    <s v="Sistema de Compensação"/>
    <x v="2"/>
    <x v="4"/>
    <x v="6"/>
    <x v="8"/>
    <x v="4"/>
    <x v="0"/>
    <x v="2"/>
    <x v="0"/>
    <n v="0"/>
    <n v="0"/>
    <n v="10.574"/>
    <n v="10.574"/>
    <n v="10.574"/>
    <n v="10.574"/>
    <n v="0"/>
    <x v="0"/>
    <n v="0"/>
    <n v="0"/>
    <n v="24"/>
    <n v="63"/>
    <n v="0"/>
    <n v="275.13"/>
    <n v="219.34"/>
    <m/>
    <n v="357.29593017360565"/>
    <n v="127.69146309633039"/>
    <n v="0"/>
    <n v="2909.22462"/>
    <n v="2319.30116"/>
    <n v="0"/>
    <n v="3778.0471656557061"/>
    <n v="1350.2095307805976"/>
  </r>
  <r>
    <s v="Regular"/>
    <x v="2"/>
    <x v="4"/>
    <x v="6"/>
    <x v="8"/>
    <x v="4"/>
    <x v="0"/>
    <x v="2"/>
    <x v="1"/>
    <n v="0"/>
    <n v="0"/>
    <n v="71.875"/>
    <n v="28.75"/>
    <n v="71.875"/>
    <n v="28.75"/>
    <n v="0"/>
    <x v="0"/>
    <n v="0"/>
    <n v="0"/>
    <n v="24"/>
    <n v="63"/>
    <n v="0"/>
    <n v="275.13"/>
    <n v="219.34"/>
    <m/>
    <n v="357.29593017360565"/>
    <n v="127.69146309633039"/>
    <n v="0"/>
    <n v="7909.9875000000002"/>
    <n v="6306.0250000000005"/>
    <n v="0"/>
    <n v="10272.257992491162"/>
    <n v="3671.129564019499"/>
  </r>
  <r>
    <s v="Sistema de Compensação"/>
    <x v="2"/>
    <x v="4"/>
    <x v="6"/>
    <x v="8"/>
    <x v="4"/>
    <x v="0"/>
    <x v="2"/>
    <x v="1"/>
    <n v="0"/>
    <n v="0"/>
    <n v="16.195"/>
    <n v="16.195"/>
    <n v="16.195"/>
    <n v="16.195"/>
    <n v="0"/>
    <x v="0"/>
    <n v="0"/>
    <n v="0"/>
    <n v="24"/>
    <n v="63"/>
    <n v="0"/>
    <n v="275.13"/>
    <n v="219.34"/>
    <m/>
    <n v="357.29593017360565"/>
    <n v="127.69146309633039"/>
    <n v="0"/>
    <n v="4455.7303499999998"/>
    <n v="3552.2112999999999"/>
    <n v="0"/>
    <n v="5786.4075891615439"/>
    <n v="2067.9632448450707"/>
  </r>
  <r>
    <s v="Regular"/>
    <x v="2"/>
    <x v="4"/>
    <x v="6"/>
    <x v="8"/>
    <x v="4"/>
    <x v="0"/>
    <x v="2"/>
    <x v="2"/>
    <n v="0"/>
    <n v="0"/>
    <n v="79.635000000000005"/>
    <n v="31.853999999999999"/>
    <n v="79.635000000000005"/>
    <n v="31.853999999999999"/>
    <n v="0"/>
    <x v="0"/>
    <n v="0"/>
    <n v="0"/>
    <n v="24"/>
    <n v="63"/>
    <n v="0"/>
    <n v="275.13"/>
    <n v="219.34"/>
    <m/>
    <n v="357.29593017360565"/>
    <n v="127.69146309633039"/>
    <n v="0"/>
    <n v="8763.9910199999995"/>
    <n v="6986.8563599999998"/>
    <n v="0"/>
    <n v="11381.304559750035"/>
    <n v="4067.4838654705081"/>
  </r>
  <r>
    <s v="Sistema de Compensação"/>
    <x v="2"/>
    <x v="4"/>
    <x v="6"/>
    <x v="8"/>
    <x v="4"/>
    <x v="0"/>
    <x v="2"/>
    <x v="2"/>
    <n v="0"/>
    <n v="0"/>
    <n v="14.728"/>
    <n v="14.728"/>
    <n v="14.728"/>
    <n v="14.728"/>
    <n v="0"/>
    <x v="0"/>
    <n v="0"/>
    <n v="0"/>
    <n v="24"/>
    <n v="63"/>
    <n v="0"/>
    <n v="275.13"/>
    <n v="219.34"/>
    <m/>
    <n v="357.29593017360565"/>
    <n v="127.69146309633039"/>
    <n v="0"/>
    <n v="4052.1146399999998"/>
    <n v="3230.4395199999999"/>
    <n v="0"/>
    <n v="5262.2544595968639"/>
    <n v="1880.6398684827541"/>
  </r>
  <r>
    <s v="Regular"/>
    <x v="2"/>
    <x v="4"/>
    <x v="6"/>
    <x v="8"/>
    <x v="4"/>
    <x v="0"/>
    <x v="2"/>
    <x v="3"/>
    <n v="0"/>
    <n v="0"/>
    <n v="92.965999999999994"/>
    <n v="37.186399999999999"/>
    <n v="92.965999999999994"/>
    <n v="37.186399999999999"/>
    <n v="0"/>
    <x v="0"/>
    <n v="0"/>
    <n v="0"/>
    <n v="24"/>
    <n v="63"/>
    <n v="0"/>
    <n v="275.13"/>
    <n v="219.34"/>
    <m/>
    <n v="357.29593017360565"/>
    <n v="127.69146309633039"/>
    <n v="0"/>
    <n v="10231.094231999999"/>
    <n v="8156.4649760000002"/>
    <n v="0"/>
    <n v="13286.549377807769"/>
    <n v="4748.3858232853809"/>
  </r>
  <r>
    <s v="Sistema de Compensação"/>
    <x v="2"/>
    <x v="4"/>
    <x v="6"/>
    <x v="8"/>
    <x v="4"/>
    <x v="0"/>
    <x v="2"/>
    <x v="3"/>
    <n v="0"/>
    <n v="0"/>
    <n v="15.16"/>
    <n v="15.16"/>
    <n v="15.16"/>
    <n v="15.16"/>
    <n v="0"/>
    <x v="0"/>
    <n v="0"/>
    <n v="0"/>
    <n v="24"/>
    <n v="63"/>
    <n v="0"/>
    <n v="275.13"/>
    <n v="219.34"/>
    <m/>
    <n v="357.29593017360565"/>
    <n v="127.69146309633039"/>
    <n v="0"/>
    <n v="4170.9708000000001"/>
    <n v="3325.1943999999999"/>
    <n v="0"/>
    <n v="5416.6063014318615"/>
    <n v="1935.8025805403688"/>
  </r>
  <r>
    <s v="Regular"/>
    <x v="2"/>
    <x v="4"/>
    <x v="6"/>
    <x v="8"/>
    <x v="4"/>
    <x v="0"/>
    <x v="2"/>
    <x v="4"/>
    <n v="0"/>
    <n v="0"/>
    <n v="93.600999999999999"/>
    <n v="37.440399999999997"/>
    <n v="93.600999999999999"/>
    <n v="37.440399999999997"/>
    <n v="0"/>
    <x v="0"/>
    <n v="0"/>
    <n v="0"/>
    <n v="24"/>
    <n v="63"/>
    <n v="0"/>
    <n v="275.13"/>
    <n v="219.34"/>
    <m/>
    <n v="357.29593017360565"/>
    <n v="127.69146309633039"/>
    <n v="0"/>
    <n v="10300.977251999999"/>
    <n v="8212.1773359999988"/>
    <n v="0"/>
    <n v="13377.302544071865"/>
    <n v="4780.819454911848"/>
  </r>
  <r>
    <s v="Sistema de Compensação"/>
    <x v="2"/>
    <x v="4"/>
    <x v="6"/>
    <x v="8"/>
    <x v="4"/>
    <x v="0"/>
    <x v="2"/>
    <x v="4"/>
    <n v="0"/>
    <n v="0"/>
    <n v="22.015000000000001"/>
    <n v="22.015000000000001"/>
    <n v="22.015000000000001"/>
    <n v="22.015000000000001"/>
    <n v="0"/>
    <x v="0"/>
    <n v="0"/>
    <n v="0"/>
    <n v="24"/>
    <n v="63"/>
    <n v="0"/>
    <n v="275.13"/>
    <n v="219.34"/>
    <m/>
    <n v="357.29593017360565"/>
    <n v="127.69146309633039"/>
    <n v="0"/>
    <n v="6056.9869500000004"/>
    <n v="4828.7701000000006"/>
    <n v="0"/>
    <n v="7865.8699027719285"/>
    <n v="2811.1275600657136"/>
  </r>
  <r>
    <s v="Regular"/>
    <x v="2"/>
    <x v="4"/>
    <x v="6"/>
    <x v="8"/>
    <x v="4"/>
    <x v="0"/>
    <x v="2"/>
    <x v="5"/>
    <n v="0"/>
    <n v="0"/>
    <n v="99.396000000000001"/>
    <n v="39.758400000000002"/>
    <n v="99.396000000000001"/>
    <n v="39.758400000000002"/>
    <n v="0"/>
    <x v="0"/>
    <n v="0"/>
    <n v="0"/>
    <n v="24"/>
    <n v="63"/>
    <n v="0"/>
    <n v="275.13"/>
    <n v="219.34"/>
    <m/>
    <n v="357.29593017360565"/>
    <n v="127.69146309633039"/>
    <n v="0"/>
    <n v="10938.728591999999"/>
    <n v="8720.6074559999997"/>
    <n v="0"/>
    <n v="14205.514510214283"/>
    <n v="5076.808266369143"/>
  </r>
  <r>
    <s v="Sistema de Compensação"/>
    <x v="2"/>
    <x v="4"/>
    <x v="6"/>
    <x v="8"/>
    <x v="4"/>
    <x v="0"/>
    <x v="2"/>
    <x v="5"/>
    <n v="0"/>
    <n v="0"/>
    <n v="19.765999999999998"/>
    <n v="19.765999999999998"/>
    <n v="19.765999999999998"/>
    <n v="19.765999999999998"/>
    <n v="0"/>
    <x v="0"/>
    <n v="0"/>
    <n v="0"/>
    <n v="24"/>
    <n v="63"/>
    <n v="0"/>
    <n v="275.13"/>
    <n v="219.34"/>
    <m/>
    <n v="357.29593017360565"/>
    <n v="127.69146309633039"/>
    <n v="0"/>
    <n v="5438.219579999999"/>
    <n v="4335.47444"/>
    <n v="0"/>
    <n v="7062.3113558114892"/>
    <n v="2523.9494595620663"/>
  </r>
  <r>
    <s v="Regular"/>
    <x v="2"/>
    <x v="4"/>
    <x v="6"/>
    <x v="8"/>
    <x v="4"/>
    <x v="0"/>
    <x v="2"/>
    <x v="6"/>
    <n v="0"/>
    <n v="0"/>
    <n v="96.036000000000001"/>
    <n v="38.414400000000001"/>
    <n v="96.036000000000001"/>
    <n v="38.414400000000001"/>
    <n v="0"/>
    <x v="0"/>
    <n v="0"/>
    <n v="0"/>
    <n v="24"/>
    <n v="63"/>
    <n v="0"/>
    <n v="275.13"/>
    <n v="219.34"/>
    <m/>
    <n v="357.29593017360565"/>
    <n v="127.69146309633039"/>
    <n v="0"/>
    <n v="10568.953872"/>
    <n v="8425.8144960000009"/>
    <n v="0"/>
    <n v="13725.308780060957"/>
    <n v="4905.1909399676742"/>
  </r>
  <r>
    <s v="Sistema de Compensação"/>
    <x v="2"/>
    <x v="4"/>
    <x v="6"/>
    <x v="8"/>
    <x v="4"/>
    <x v="0"/>
    <x v="2"/>
    <x v="6"/>
    <n v="0"/>
    <n v="0"/>
    <n v="29.123999999999999"/>
    <n v="29.123999999999999"/>
    <n v="29.123999999999999"/>
    <n v="29.123999999999999"/>
    <n v="0"/>
    <x v="0"/>
    <n v="0"/>
    <n v="0"/>
    <n v="24"/>
    <n v="63"/>
    <n v="0"/>
    <n v="275.13"/>
    <n v="219.34"/>
    <m/>
    <n v="357.29593017360565"/>
    <n v="127.69146309633039"/>
    <n v="0"/>
    <n v="8012.8861199999992"/>
    <n v="6388.0581599999996"/>
    <n v="0"/>
    <n v="10405.88667037609"/>
    <n v="3718.8861712175262"/>
  </r>
  <r>
    <s v="Regular"/>
    <x v="2"/>
    <x v="4"/>
    <x v="6"/>
    <x v="8"/>
    <x v="4"/>
    <x v="0"/>
    <x v="2"/>
    <x v="7"/>
    <n v="0"/>
    <n v="0"/>
    <n v="86.561000000000007"/>
    <n v="34.624400000000001"/>
    <n v="86.561000000000007"/>
    <n v="34.624400000000001"/>
    <n v="0"/>
    <x v="0"/>
    <n v="0"/>
    <n v="0"/>
    <n v="24"/>
    <n v="63"/>
    <n v="0"/>
    <n v="275.13"/>
    <n v="219.34"/>
    <m/>
    <n v="357.29593017360565"/>
    <n v="127.69146309633039"/>
    <n v="0"/>
    <n v="9526.2111719999994"/>
    <n v="7594.5158960000008"/>
    <n v="0"/>
    <n v="12371.157204702991"/>
    <n v="4421.2402948325825"/>
  </r>
  <r>
    <s v="Refaturamento - Regular"/>
    <x v="2"/>
    <x v="4"/>
    <x v="6"/>
    <x v="8"/>
    <x v="4"/>
    <x v="0"/>
    <x v="2"/>
    <x v="7"/>
    <n v="0"/>
    <n v="0"/>
    <n v="1.958"/>
    <n v="0.78320000000000001"/>
    <n v="1.958"/>
    <n v="0.78320000000000001"/>
    <n v="0"/>
    <x v="0"/>
    <n v="0"/>
    <n v="0"/>
    <n v="24"/>
    <n v="63"/>
    <n v="0"/>
    <n v="275.13"/>
    <n v="219.34"/>
    <m/>
    <n v="357.29593017360565"/>
    <n v="127.69146309633039"/>
    <n v="0"/>
    <n v="215.48181600000001"/>
    <n v="171.78708800000001"/>
    <n v="0"/>
    <n v="279.83417251196795"/>
    <n v="100.00795389704597"/>
  </r>
  <r>
    <s v="Sistema de Compensação"/>
    <x v="2"/>
    <x v="4"/>
    <x v="6"/>
    <x v="8"/>
    <x v="4"/>
    <x v="0"/>
    <x v="2"/>
    <x v="7"/>
    <n v="0"/>
    <n v="0"/>
    <n v="30.641999999999999"/>
    <n v="30.641999999999999"/>
    <n v="30.641999999999999"/>
    <n v="30.641999999999999"/>
    <n v="0"/>
    <x v="0"/>
    <n v="0"/>
    <n v="0"/>
    <n v="24"/>
    <n v="63"/>
    <n v="0"/>
    <n v="275.13"/>
    <n v="219.34"/>
    <m/>
    <n v="357.29593017360565"/>
    <n v="127.69146309633039"/>
    <n v="0"/>
    <n v="8430.5334600000006"/>
    <n v="6721.0162799999998"/>
    <n v="0"/>
    <n v="10948.261892379624"/>
    <n v="3912.7218121977558"/>
  </r>
  <r>
    <s v="Regular"/>
    <x v="2"/>
    <x v="4"/>
    <x v="6"/>
    <x v="8"/>
    <x v="4"/>
    <x v="0"/>
    <x v="2"/>
    <x v="8"/>
    <n v="0"/>
    <n v="0"/>
    <n v="76.91"/>
    <n v="30.763999999999999"/>
    <n v="76.91"/>
    <n v="30.763999999999999"/>
    <n v="0"/>
    <x v="0"/>
    <n v="0"/>
    <n v="0"/>
    <n v="24"/>
    <n v="63"/>
    <n v="0"/>
    <n v="275.13"/>
    <n v="219.34"/>
    <m/>
    <n v="357.29593017360565"/>
    <n v="127.69146309633039"/>
    <n v="0"/>
    <n v="8464.0993199999994"/>
    <n v="6747.7757599999995"/>
    <n v="0"/>
    <n v="10991.851995860805"/>
    <n v="3928.3001706955083"/>
  </r>
  <r>
    <s v="Sistema de Compensação"/>
    <x v="2"/>
    <x v="4"/>
    <x v="6"/>
    <x v="8"/>
    <x v="4"/>
    <x v="0"/>
    <x v="2"/>
    <x v="8"/>
    <n v="0"/>
    <n v="0"/>
    <n v="34.271000000000001"/>
    <n v="34.271000000000001"/>
    <n v="34.271000000000001"/>
    <n v="34.271000000000001"/>
    <n v="0"/>
    <x v="0"/>
    <n v="0"/>
    <n v="0"/>
    <n v="24"/>
    <n v="63"/>
    <n v="0"/>
    <n v="275.13"/>
    <n v="219.34"/>
    <m/>
    <n v="357.29593017360565"/>
    <n v="127.69146309633039"/>
    <n v="0"/>
    <n v="9428.9802299999992"/>
    <n v="7517.0011400000003"/>
    <n v="0"/>
    <n v="12244.888822979639"/>
    <n v="4376.1141317743395"/>
  </r>
  <r>
    <s v="Regular"/>
    <x v="2"/>
    <x v="4"/>
    <x v="6"/>
    <x v="8"/>
    <x v="4"/>
    <x v="0"/>
    <x v="2"/>
    <x v="9"/>
    <n v="0"/>
    <n v="0"/>
    <n v="51.064999999999998"/>
    <n v="20.425999999999998"/>
    <n v="51.064999999999998"/>
    <n v="20.425999999999998"/>
    <n v="0"/>
    <x v="0"/>
    <n v="0"/>
    <n v="0"/>
    <n v="24"/>
    <n v="63"/>
    <n v="0"/>
    <n v="275.13"/>
    <n v="219.34"/>
    <m/>
    <n v="357.29593017360565"/>
    <n v="127.69146309633039"/>
    <n v="0"/>
    <n v="5619.8053799999998"/>
    <n v="4480.23884"/>
    <n v="0"/>
    <n v="7298.1266697260689"/>
    <n v="2608.2258252056445"/>
  </r>
  <r>
    <s v="Sistema de Compensação"/>
    <x v="2"/>
    <x v="4"/>
    <x v="6"/>
    <x v="8"/>
    <x v="4"/>
    <x v="0"/>
    <x v="2"/>
    <x v="9"/>
    <n v="0"/>
    <n v="0"/>
    <n v="31.675999999999998"/>
    <n v="31.675999999999998"/>
    <n v="31.675999999999998"/>
    <n v="31.675999999999998"/>
    <n v="0"/>
    <x v="0"/>
    <n v="0"/>
    <n v="0"/>
    <n v="24"/>
    <n v="63"/>
    <n v="0"/>
    <n v="275.13"/>
    <n v="219.34"/>
    <m/>
    <n v="357.29593017360565"/>
    <n v="127.69146309633039"/>
    <n v="0"/>
    <n v="8715.0178799999994"/>
    <n v="6947.8138399999998"/>
    <n v="0"/>
    <n v="11317.705884179131"/>
    <n v="4044.7547850393612"/>
  </r>
  <r>
    <s v="Regular"/>
    <x v="2"/>
    <x v="4"/>
    <x v="6"/>
    <x v="8"/>
    <x v="4"/>
    <x v="0"/>
    <x v="2"/>
    <x v="10"/>
    <n v="0"/>
    <n v="0"/>
    <n v="40.271000000000001"/>
    <n v="16.1084"/>
    <n v="40.271000000000001"/>
    <n v="16.1084"/>
    <n v="0"/>
    <x v="0"/>
    <n v="0"/>
    <n v="0"/>
    <n v="24"/>
    <n v="63"/>
    <n v="0"/>
    <n v="275.13"/>
    <n v="219.34"/>
    <m/>
    <n v="357.29593017360565"/>
    <n v="127.69146309633039"/>
    <n v="0"/>
    <n v="4431.9040919999998"/>
    <n v="3533.2164560000001"/>
    <n v="0"/>
    <n v="5755.4657616085096"/>
    <n v="2056.9051641409283"/>
  </r>
  <r>
    <s v="Regular"/>
    <x v="2"/>
    <x v="4"/>
    <x v="6"/>
    <x v="8"/>
    <x v="4"/>
    <x v="0"/>
    <x v="2"/>
    <x v="11"/>
    <n v="0"/>
    <n v="0"/>
    <n v="41"/>
    <n v="16.399999999999999"/>
    <n v="41"/>
    <n v="16.399999999999999"/>
    <n v="0"/>
    <x v="0"/>
    <n v="0"/>
    <n v="0"/>
    <n v="24"/>
    <n v="63"/>
    <n v="0"/>
    <n v="275.13"/>
    <n v="219.34"/>
    <m/>
    <n v="357.29593017360565"/>
    <n v="127.69146309633039"/>
    <n v="0"/>
    <n v="4512.1319999999996"/>
    <n v="3597.1759999999999"/>
    <n v="0"/>
    <n v="5859.6532548471323"/>
    <n v="2094.1399947798182"/>
  </r>
  <r>
    <s v="Sistema de Compensação"/>
    <x v="2"/>
    <x v="4"/>
    <x v="6"/>
    <x v="8"/>
    <x v="4"/>
    <x v="0"/>
    <x v="2"/>
    <x v="11"/>
    <n v="0"/>
    <n v="0"/>
    <n v="24.759"/>
    <n v="24.759"/>
    <n v="24.759"/>
    <n v="24.759"/>
    <n v="0"/>
    <x v="0"/>
    <n v="0"/>
    <n v="0"/>
    <n v="24"/>
    <n v="63"/>
    <n v="0"/>
    <n v="275.13"/>
    <n v="219.34"/>
    <m/>
    <n v="357.29593017360565"/>
    <n v="127.69146309633039"/>
    <n v="0"/>
    <n v="6811.9436699999997"/>
    <n v="5430.6390600000004"/>
    <n v="0"/>
    <n v="8846.2899351683027"/>
    <n v="3161.5129348020441"/>
  </r>
  <r>
    <s v="Regular"/>
    <x v="2"/>
    <x v="4"/>
    <x v="6"/>
    <x v="1"/>
    <x v="0"/>
    <x v="0"/>
    <x v="2"/>
    <x v="0"/>
    <n v="0"/>
    <n v="0"/>
    <n v="1994.5889999999999"/>
    <n v="1994.5889999999999"/>
    <n v="1994.5889999999999"/>
    <n v="1994.5889999999999"/>
    <n v="2816"/>
    <x v="0"/>
    <n v="0"/>
    <n v="0"/>
    <n v="24"/>
    <n v="63"/>
    <n v="0"/>
    <n v="275.13"/>
    <n v="219.34"/>
    <m/>
    <n v="357.29593017360565"/>
    <n v="127.69146309633039"/>
    <n v="0"/>
    <n v="548771.27156999998"/>
    <n v="437493.15126000001"/>
    <n v="0"/>
    <n v="712658.53206904186"/>
    <n v="254691.98768584654"/>
  </r>
  <r>
    <s v="Refaturamento - Regular"/>
    <x v="2"/>
    <x v="4"/>
    <x v="6"/>
    <x v="1"/>
    <x v="0"/>
    <x v="0"/>
    <x v="2"/>
    <x v="0"/>
    <n v="0"/>
    <n v="0"/>
    <n v="-1.4830000000000001"/>
    <n v="-1.4830000000000001"/>
    <n v="-1.4830000000000001"/>
    <n v="-1.4830000000000001"/>
    <n v="0"/>
    <x v="0"/>
    <n v="0"/>
    <n v="0"/>
    <n v="24"/>
    <n v="63"/>
    <n v="0"/>
    <n v="275.13"/>
    <n v="219.34"/>
    <m/>
    <n v="357.29593017360565"/>
    <n v="127.69146309633039"/>
    <n v="0"/>
    <n v="-408.01779000000005"/>
    <n v="-325.28122000000002"/>
    <n v="0"/>
    <n v="-529.86986444745719"/>
    <n v="-189.36643977185798"/>
  </r>
  <r>
    <s v="Sistema de Compensação"/>
    <x v="2"/>
    <x v="4"/>
    <x v="6"/>
    <x v="1"/>
    <x v="0"/>
    <x v="0"/>
    <x v="2"/>
    <x v="0"/>
    <n v="0"/>
    <n v="0"/>
    <n v="163.57599999999999"/>
    <n v="163.57599999999999"/>
    <n v="163.57599999999999"/>
    <n v="163.57599999999999"/>
    <n v="130"/>
    <x v="0"/>
    <n v="0"/>
    <n v="0"/>
    <n v="24"/>
    <n v="63"/>
    <n v="0"/>
    <n v="275.13"/>
    <n v="219.34"/>
    <m/>
    <n v="357.29593017360565"/>
    <n v="127.69146309633039"/>
    <n v="0"/>
    <n v="45004.664879999997"/>
    <n v="35878.759839999999"/>
    <n v="0"/>
    <n v="58445.039074077715"/>
    <n v="20887.258767445339"/>
  </r>
  <r>
    <s v="Regular"/>
    <x v="2"/>
    <x v="4"/>
    <x v="6"/>
    <x v="1"/>
    <x v="0"/>
    <x v="0"/>
    <x v="2"/>
    <x v="1"/>
    <n v="0"/>
    <n v="0"/>
    <n v="2005.1969999999999"/>
    <n v="2005.1969999999999"/>
    <n v="2005.1969999999999"/>
    <n v="2005.1969999999999"/>
    <n v="2802"/>
    <x v="0"/>
    <n v="0"/>
    <n v="0"/>
    <n v="24"/>
    <n v="63"/>
    <n v="0"/>
    <n v="275.13"/>
    <n v="219.34"/>
    <m/>
    <n v="357.29593017360565"/>
    <n v="127.69146309633039"/>
    <n v="0"/>
    <n v="551689.85060999996"/>
    <n v="439819.90998"/>
    <n v="0"/>
    <n v="716448.72729632352"/>
    <n v="256046.53872637241"/>
  </r>
  <r>
    <s v="Refaturamento - Regular"/>
    <x v="2"/>
    <x v="4"/>
    <x v="6"/>
    <x v="1"/>
    <x v="0"/>
    <x v="0"/>
    <x v="2"/>
    <x v="1"/>
    <n v="0"/>
    <n v="0"/>
    <n v="272.85000000000002"/>
    <n v="272.85000000000002"/>
    <n v="272.85000000000002"/>
    <n v="272.85000000000002"/>
    <n v="0"/>
    <x v="0"/>
    <n v="0"/>
    <n v="0"/>
    <n v="24"/>
    <n v="63"/>
    <n v="0"/>
    <n v="275.13"/>
    <n v="219.34"/>
    <m/>
    <n v="357.29593017360565"/>
    <n v="127.69146309633039"/>
    <n v="0"/>
    <n v="75069.22050000001"/>
    <n v="59846.919000000009"/>
    <n v="0"/>
    <n v="97488.194547868305"/>
    <n v="34840.615705833749"/>
  </r>
  <r>
    <s v="Sistema de Compensação"/>
    <x v="2"/>
    <x v="4"/>
    <x v="6"/>
    <x v="1"/>
    <x v="0"/>
    <x v="0"/>
    <x v="2"/>
    <x v="1"/>
    <n v="0"/>
    <n v="0"/>
    <n v="198.13399999999999"/>
    <n v="198.13399999999999"/>
    <n v="198.13399999999999"/>
    <n v="198.13399999999999"/>
    <n v="140"/>
    <x v="0"/>
    <n v="0"/>
    <n v="0"/>
    <n v="24"/>
    <n v="63"/>
    <n v="0"/>
    <n v="275.13"/>
    <n v="219.34"/>
    <m/>
    <n v="357.29593017360565"/>
    <n v="127.69146309633039"/>
    <n v="0"/>
    <n v="54512.607419999993"/>
    <n v="43458.711559999996"/>
    <n v="0"/>
    <n v="70792.471829017173"/>
    <n v="25300.020349128325"/>
  </r>
  <r>
    <s v="Regular"/>
    <x v="2"/>
    <x v="4"/>
    <x v="6"/>
    <x v="1"/>
    <x v="0"/>
    <x v="0"/>
    <x v="2"/>
    <x v="2"/>
    <n v="0"/>
    <n v="0"/>
    <n v="2034.308"/>
    <n v="2034.308"/>
    <n v="2034.308"/>
    <n v="2034.308"/>
    <n v="2784"/>
    <x v="0"/>
    <n v="0"/>
    <n v="0"/>
    <n v="24"/>
    <n v="63"/>
    <n v="0"/>
    <n v="275.13"/>
    <n v="219.34"/>
    <m/>
    <n v="357.29593017360565"/>
    <n v="127.69146309633039"/>
    <n v="0"/>
    <n v="559699.16003999999"/>
    <n v="446205.11671999999"/>
    <n v="0"/>
    <n v="726849.96911960735"/>
    <n v="259763.76490856969"/>
  </r>
  <r>
    <s v="Refaturamento - Regular"/>
    <x v="2"/>
    <x v="4"/>
    <x v="6"/>
    <x v="1"/>
    <x v="0"/>
    <x v="0"/>
    <x v="2"/>
    <x v="2"/>
    <n v="0"/>
    <n v="0"/>
    <n v="232.19200000000001"/>
    <n v="232.19200000000001"/>
    <n v="232.19200000000001"/>
    <n v="232.19200000000001"/>
    <n v="0"/>
    <x v="0"/>
    <n v="0"/>
    <n v="0"/>
    <n v="24"/>
    <n v="63"/>
    <n v="0"/>
    <n v="275.13"/>
    <n v="219.34"/>
    <m/>
    <n v="357.29593017360565"/>
    <n v="127.69146309633039"/>
    <n v="0"/>
    <n v="63882.984960000002"/>
    <n v="50928.993280000002"/>
    <n v="0"/>
    <n v="82961.25661886984"/>
    <n v="29648.936199263149"/>
  </r>
  <r>
    <s v="Sistema de Compensação"/>
    <x v="2"/>
    <x v="4"/>
    <x v="6"/>
    <x v="1"/>
    <x v="0"/>
    <x v="0"/>
    <x v="2"/>
    <x v="2"/>
    <n v="0"/>
    <n v="0"/>
    <n v="145.69200000000001"/>
    <n v="145.69200000000001"/>
    <n v="145.69200000000001"/>
    <n v="145.69200000000001"/>
    <n v="154"/>
    <x v="0"/>
    <n v="0"/>
    <n v="0"/>
    <n v="24"/>
    <n v="63"/>
    <n v="0"/>
    <n v="275.13"/>
    <n v="219.34"/>
    <m/>
    <n v="357.29593017360565"/>
    <n v="127.69146309633039"/>
    <n v="0"/>
    <n v="40084.239959999999"/>
    <n v="31956.083280000003"/>
    <n v="0"/>
    <n v="52055.158658852961"/>
    <n v="18603.624641430568"/>
  </r>
  <r>
    <s v="Regular"/>
    <x v="2"/>
    <x v="4"/>
    <x v="6"/>
    <x v="1"/>
    <x v="0"/>
    <x v="0"/>
    <x v="2"/>
    <x v="3"/>
    <n v="0"/>
    <n v="0"/>
    <n v="2076.846"/>
    <n v="2076.846"/>
    <n v="2076.846"/>
    <n v="2076.846"/>
    <n v="2764"/>
    <x v="0"/>
    <n v="0"/>
    <n v="0"/>
    <n v="24"/>
    <n v="63"/>
    <n v="0"/>
    <n v="275.13"/>
    <n v="219.34"/>
    <m/>
    <n v="357.29593017360565"/>
    <n v="127.69146309633039"/>
    <n v="0"/>
    <n v="571402.63997999998"/>
    <n v="455535.40164"/>
    <n v="0"/>
    <n v="742048.62339733227"/>
    <n v="265195.50436576142"/>
  </r>
  <r>
    <s v="Sistema de Compensação"/>
    <x v="2"/>
    <x v="4"/>
    <x v="6"/>
    <x v="1"/>
    <x v="0"/>
    <x v="0"/>
    <x v="2"/>
    <x v="3"/>
    <n v="0"/>
    <n v="0"/>
    <n v="145.10400000000001"/>
    <n v="145.10400000000001"/>
    <n v="145.10400000000001"/>
    <n v="145.10400000000001"/>
    <n v="167"/>
    <x v="0"/>
    <n v="0"/>
    <n v="0"/>
    <n v="24"/>
    <n v="63"/>
    <n v="0"/>
    <n v="275.13"/>
    <n v="219.34"/>
    <m/>
    <n v="357.29593017360565"/>
    <n v="127.69146309633039"/>
    <n v="0"/>
    <n v="39922.463520000005"/>
    <n v="31827.111360000003"/>
    <n v="0"/>
    <n v="51845.068651910879"/>
    <n v="18528.542061129927"/>
  </r>
  <r>
    <s v="Regular"/>
    <x v="2"/>
    <x v="4"/>
    <x v="6"/>
    <x v="1"/>
    <x v="0"/>
    <x v="0"/>
    <x v="2"/>
    <x v="4"/>
    <n v="0"/>
    <n v="0"/>
    <n v="2167.7890000000002"/>
    <n v="2167.7890000000002"/>
    <n v="2167.7890000000002"/>
    <n v="2167.7890000000002"/>
    <n v="2747"/>
    <x v="0"/>
    <n v="0"/>
    <n v="0"/>
    <n v="24"/>
    <n v="63"/>
    <n v="0"/>
    <n v="275.13"/>
    <n v="219.34"/>
    <m/>
    <n v="357.29593017360565"/>
    <n v="127.69146309633039"/>
    <n v="0"/>
    <n v="596423.78757000004"/>
    <n v="475482.83926000004"/>
    <n v="0"/>
    <n v="774542.18717511045"/>
    <n v="276808.14909413102"/>
  </r>
  <r>
    <s v="Sistema de Compensação"/>
    <x v="2"/>
    <x v="4"/>
    <x v="6"/>
    <x v="1"/>
    <x v="0"/>
    <x v="0"/>
    <x v="2"/>
    <x v="4"/>
    <n v="0"/>
    <n v="0"/>
    <n v="142.58199999999999"/>
    <n v="142.58199999999999"/>
    <n v="142.58199999999999"/>
    <n v="142.58199999999999"/>
    <n v="179"/>
    <x v="0"/>
    <n v="0"/>
    <n v="0"/>
    <n v="24"/>
    <n v="63"/>
    <n v="0"/>
    <n v="275.13"/>
    <n v="219.34"/>
    <m/>
    <n v="357.29593017360565"/>
    <n v="127.69146309633039"/>
    <n v="0"/>
    <n v="39228.585659999997"/>
    <n v="31273.935880000001"/>
    <n v="0"/>
    <n v="50943.968316013037"/>
    <n v="18206.50419120098"/>
  </r>
  <r>
    <s v="Regular"/>
    <x v="2"/>
    <x v="4"/>
    <x v="6"/>
    <x v="1"/>
    <x v="0"/>
    <x v="0"/>
    <x v="2"/>
    <x v="5"/>
    <n v="0"/>
    <n v="0"/>
    <n v="2222.8310000000001"/>
    <n v="2222.8310000000001"/>
    <n v="2222.8310000000001"/>
    <n v="2222.8310000000001"/>
    <n v="2732"/>
    <x v="0"/>
    <n v="0"/>
    <n v="0"/>
    <n v="24"/>
    <n v="63"/>
    <n v="0"/>
    <n v="275.13"/>
    <n v="219.34"/>
    <m/>
    <n v="357.29593017360565"/>
    <n v="127.69146309633039"/>
    <n v="0"/>
    <n v="611567.49303000001"/>
    <n v="487555.75154000003"/>
    <n v="0"/>
    <n v="794208.46976372611"/>
    <n v="283836.54260587919"/>
  </r>
  <r>
    <s v="Refaturamento - Regular"/>
    <x v="2"/>
    <x v="4"/>
    <x v="6"/>
    <x v="1"/>
    <x v="0"/>
    <x v="0"/>
    <x v="2"/>
    <x v="5"/>
    <n v="0"/>
    <n v="0"/>
    <n v="-1.3819999999999999"/>
    <n v="-1.3819999999999999"/>
    <n v="-1.3819999999999999"/>
    <n v="-1.3819999999999999"/>
    <n v="0"/>
    <x v="0"/>
    <n v="0"/>
    <n v="0"/>
    <n v="24"/>
    <n v="63"/>
    <n v="0"/>
    <n v="275.13"/>
    <n v="219.34"/>
    <m/>
    <n v="357.29593017360565"/>
    <n v="127.69146309633039"/>
    <n v="0"/>
    <n v="-380.22965999999997"/>
    <n v="-303.12788"/>
    <n v="0"/>
    <n v="-493.782975499923"/>
    <n v="-176.4696019991286"/>
  </r>
  <r>
    <s v="Sistema de Compensação"/>
    <x v="2"/>
    <x v="4"/>
    <x v="6"/>
    <x v="1"/>
    <x v="0"/>
    <x v="0"/>
    <x v="2"/>
    <x v="5"/>
    <n v="0"/>
    <n v="0"/>
    <n v="166.44300000000001"/>
    <n v="166.44300000000001"/>
    <n v="166.44300000000001"/>
    <n v="166.44300000000001"/>
    <n v="190"/>
    <x v="0"/>
    <n v="0"/>
    <n v="0"/>
    <n v="24"/>
    <n v="63"/>
    <n v="0"/>
    <n v="275.13"/>
    <n v="219.34"/>
    <m/>
    <n v="357.29593017360565"/>
    <n v="127.69146309633039"/>
    <n v="0"/>
    <n v="45793.462590000003"/>
    <n v="36507.607620000002"/>
    <n v="0"/>
    <n v="59469.406505885447"/>
    <n v="21253.350192142523"/>
  </r>
  <r>
    <s v="Regular"/>
    <x v="2"/>
    <x v="4"/>
    <x v="6"/>
    <x v="1"/>
    <x v="0"/>
    <x v="0"/>
    <x v="2"/>
    <x v="6"/>
    <n v="0"/>
    <n v="0"/>
    <n v="2046.8019999999999"/>
    <n v="2046.8019999999999"/>
    <n v="2046.8019999999999"/>
    <n v="2046.8019999999999"/>
    <n v="2718"/>
    <x v="0"/>
    <n v="0"/>
    <n v="0"/>
    <n v="24"/>
    <n v="63"/>
    <n v="0"/>
    <n v="275.13"/>
    <n v="219.34"/>
    <m/>
    <n v="357.29593017360565"/>
    <n v="127.69146309633039"/>
    <n v="0"/>
    <n v="563136.63425999996"/>
    <n v="448945.55067999999"/>
    <n v="0"/>
    <n v="731314.02447119635"/>
    <n v="261359.14204849524"/>
  </r>
  <r>
    <s v="Sistema de Compensação"/>
    <x v="2"/>
    <x v="4"/>
    <x v="6"/>
    <x v="1"/>
    <x v="0"/>
    <x v="0"/>
    <x v="2"/>
    <x v="6"/>
    <n v="0"/>
    <n v="0"/>
    <n v="189.286"/>
    <n v="189.286"/>
    <n v="189.286"/>
    <n v="189.286"/>
    <n v="200"/>
    <x v="0"/>
    <n v="0"/>
    <n v="0"/>
    <n v="24"/>
    <n v="63"/>
    <n v="0"/>
    <n v="275.13"/>
    <n v="219.34"/>
    <m/>
    <n v="357.29593017360565"/>
    <n v="127.69146309633039"/>
    <n v="0"/>
    <n v="52078.257180000001"/>
    <n v="41517.991240000003"/>
    <n v="0"/>
    <n v="67631.117438841116"/>
    <n v="24170.206283651994"/>
  </r>
  <r>
    <s v="Regular"/>
    <x v="2"/>
    <x v="4"/>
    <x v="6"/>
    <x v="1"/>
    <x v="0"/>
    <x v="0"/>
    <x v="2"/>
    <x v="7"/>
    <n v="0"/>
    <n v="0"/>
    <n v="1817.9490000000001"/>
    <n v="1817.9490000000001"/>
    <n v="1817.9490000000001"/>
    <n v="1817.9490000000001"/>
    <n v="2700"/>
    <x v="0"/>
    <n v="0"/>
    <n v="0"/>
    <n v="24"/>
    <n v="63"/>
    <n v="0"/>
    <n v="275.13"/>
    <n v="219.34"/>
    <m/>
    <n v="357.29593017360565"/>
    <n v="127.69146309633039"/>
    <n v="0"/>
    <n v="500172.30836999998"/>
    <n v="398748.93366000004"/>
    <n v="0"/>
    <n v="649545.7789631763"/>
    <n v="232136.56764451077"/>
  </r>
  <r>
    <s v="Sistema de Compensação"/>
    <x v="2"/>
    <x v="4"/>
    <x v="6"/>
    <x v="1"/>
    <x v="0"/>
    <x v="0"/>
    <x v="2"/>
    <x v="7"/>
    <n v="0"/>
    <n v="0"/>
    <n v="220.4"/>
    <n v="220.4"/>
    <n v="220.4"/>
    <n v="220.4"/>
    <n v="211"/>
    <x v="0"/>
    <n v="0"/>
    <n v="0"/>
    <n v="24"/>
    <n v="63"/>
    <n v="0"/>
    <n v="275.13"/>
    <n v="219.34"/>
    <m/>
    <n v="357.29593017360565"/>
    <n v="127.69146309633039"/>
    <n v="0"/>
    <n v="60638.652000000002"/>
    <n v="48342.536"/>
    <n v="0"/>
    <n v="78748.023010262681"/>
    <n v="28143.198466431219"/>
  </r>
  <r>
    <s v="Regular"/>
    <x v="2"/>
    <x v="4"/>
    <x v="6"/>
    <x v="1"/>
    <x v="0"/>
    <x v="0"/>
    <x v="2"/>
    <x v="8"/>
    <n v="0"/>
    <n v="0"/>
    <n v="1770.2080000000001"/>
    <n v="1770.2080000000001"/>
    <n v="1770.2080000000001"/>
    <n v="1770.2080000000001"/>
    <n v="2683"/>
    <x v="0"/>
    <n v="0"/>
    <n v="0"/>
    <n v="24"/>
    <n v="63"/>
    <n v="0"/>
    <n v="275.13"/>
    <n v="219.34"/>
    <m/>
    <n v="357.29593017360565"/>
    <n v="127.69146309633039"/>
    <n v="0"/>
    <n v="487037.32704"/>
    <n v="388277.42272000003"/>
    <n v="0"/>
    <n v="632488.1139607582"/>
    <n v="226040.44950482884"/>
  </r>
  <r>
    <s v="Refaturamento - Regular"/>
    <x v="2"/>
    <x v="4"/>
    <x v="6"/>
    <x v="1"/>
    <x v="0"/>
    <x v="0"/>
    <x v="2"/>
    <x v="8"/>
    <n v="0"/>
    <n v="0"/>
    <n v="-1.9430000000000001"/>
    <n v="-1.9430000000000001"/>
    <n v="-1.9430000000000001"/>
    <n v="-1.9430000000000001"/>
    <n v="0"/>
    <x v="0"/>
    <n v="0"/>
    <n v="0"/>
    <n v="24"/>
    <n v="63"/>
    <n v="0"/>
    <n v="275.13"/>
    <n v="219.34"/>
    <m/>
    <n v="357.29593017360565"/>
    <n v="127.69146309633039"/>
    <n v="0"/>
    <n v="-534.57758999999999"/>
    <n v="-426.17762000000005"/>
    <n v="0"/>
    <n v="-694.22599232731579"/>
    <n v="-248.10451279616996"/>
  </r>
  <r>
    <s v="Sistema de Compensação"/>
    <x v="2"/>
    <x v="4"/>
    <x v="6"/>
    <x v="1"/>
    <x v="0"/>
    <x v="0"/>
    <x v="2"/>
    <x v="8"/>
    <n v="0"/>
    <n v="0"/>
    <n v="215.05799999999999"/>
    <n v="215.05799999999999"/>
    <n v="215.05799999999999"/>
    <n v="215.05799999999999"/>
    <n v="220"/>
    <x v="0"/>
    <n v="0"/>
    <n v="0"/>
    <n v="24"/>
    <n v="63"/>
    <n v="0"/>
    <n v="275.13"/>
    <n v="219.34"/>
    <m/>
    <n v="357.29593017360565"/>
    <n v="127.69146309633039"/>
    <n v="0"/>
    <n v="59168.90754"/>
    <n v="47170.82172"/>
    <n v="0"/>
    <n v="76839.348151275277"/>
    <n v="27461.070670570622"/>
  </r>
  <r>
    <s v="Regular"/>
    <x v="2"/>
    <x v="4"/>
    <x v="6"/>
    <x v="1"/>
    <x v="0"/>
    <x v="0"/>
    <x v="2"/>
    <x v="9"/>
    <n v="0"/>
    <n v="0"/>
    <n v="1768.6010000000001"/>
    <n v="1768.6010000000001"/>
    <n v="1768.6010000000001"/>
    <n v="1768.6010000000001"/>
    <n v="2659"/>
    <x v="0"/>
    <n v="0"/>
    <n v="0"/>
    <n v="24"/>
    <n v="63"/>
    <n v="0"/>
    <n v="275.13"/>
    <n v="219.34"/>
    <m/>
    <n v="357.29593017360565"/>
    <n v="127.69146309633039"/>
    <n v="0"/>
    <n v="486595.19313000003"/>
    <n v="387924.94334000006"/>
    <n v="0"/>
    <n v="631913.93940096919"/>
    <n v="225835.24932363303"/>
  </r>
  <r>
    <s v="Refaturamento - Regular"/>
    <x v="2"/>
    <x v="4"/>
    <x v="6"/>
    <x v="1"/>
    <x v="0"/>
    <x v="0"/>
    <x v="2"/>
    <x v="9"/>
    <n v="0"/>
    <n v="0"/>
    <n v="1.6E-2"/>
    <n v="1.6E-2"/>
    <n v="1.6E-2"/>
    <n v="1.6E-2"/>
    <n v="0"/>
    <x v="0"/>
    <n v="0"/>
    <n v="0"/>
    <n v="24"/>
    <n v="63"/>
    <n v="0"/>
    <n v="275.13"/>
    <n v="219.34"/>
    <m/>
    <n v="357.29593017360565"/>
    <n v="127.69146309633039"/>
    <n v="0"/>
    <n v="4.4020799999999998"/>
    <n v="3.5094400000000001"/>
    <n v="0"/>
    <n v="5.7167348827776907"/>
    <n v="2.0430634095412863"/>
  </r>
  <r>
    <s v="Sistema de Compensação"/>
    <x v="2"/>
    <x v="4"/>
    <x v="6"/>
    <x v="1"/>
    <x v="0"/>
    <x v="0"/>
    <x v="2"/>
    <x v="9"/>
    <n v="0"/>
    <n v="0"/>
    <n v="272.21699999999998"/>
    <n v="272.21699999999998"/>
    <n v="272.21699999999998"/>
    <n v="272.21699999999998"/>
    <n v="234"/>
    <x v="0"/>
    <n v="0"/>
    <n v="0"/>
    <n v="24"/>
    <n v="63"/>
    <n v="0"/>
    <n v="275.13"/>
    <n v="219.34"/>
    <m/>
    <n v="357.29593017360565"/>
    <n v="127.69146309633039"/>
    <n v="0"/>
    <n v="74895.063209999993"/>
    <n v="59708.076779999996"/>
    <n v="0"/>
    <n v="97262.02622406841"/>
    <n v="34759.78700969377"/>
  </r>
  <r>
    <s v="Regular"/>
    <x v="2"/>
    <x v="4"/>
    <x v="6"/>
    <x v="1"/>
    <x v="0"/>
    <x v="0"/>
    <x v="2"/>
    <x v="10"/>
    <n v="0"/>
    <n v="0"/>
    <n v="1750.258"/>
    <n v="1750.258"/>
    <n v="1750.258"/>
    <n v="1750.258"/>
    <n v="2648"/>
    <x v="0"/>
    <n v="0"/>
    <n v="0"/>
    <n v="24"/>
    <n v="63"/>
    <n v="0"/>
    <n v="275.13"/>
    <n v="219.34"/>
    <m/>
    <n v="357.29593017360565"/>
    <n v="127.69146309633039"/>
    <n v="0"/>
    <n v="481548.48353999999"/>
    <n v="383901.58971999999"/>
    <n v="0"/>
    <n v="625360.06015379471"/>
    <n v="223493.00481605704"/>
  </r>
  <r>
    <s v="Regular"/>
    <x v="2"/>
    <x v="4"/>
    <x v="6"/>
    <x v="1"/>
    <x v="0"/>
    <x v="0"/>
    <x v="2"/>
    <x v="11"/>
    <n v="0"/>
    <n v="0"/>
    <n v="1788.298"/>
    <n v="1788.298"/>
    <n v="1788.298"/>
    <n v="1788.298"/>
    <n v="2647"/>
    <x v="0"/>
    <n v="0"/>
    <n v="0"/>
    <n v="24"/>
    <n v="63"/>
    <n v="0"/>
    <n v="275.13"/>
    <n v="219.34"/>
    <m/>
    <n v="357.29593017360565"/>
    <n v="127.69146309633039"/>
    <n v="0"/>
    <n v="492014.42874"/>
    <n v="392245.28331999999"/>
    <n v="0"/>
    <n v="638951.59733759868"/>
    <n v="228350.38807224145"/>
  </r>
  <r>
    <s v="Sistema de Compensação"/>
    <x v="2"/>
    <x v="4"/>
    <x v="6"/>
    <x v="1"/>
    <x v="0"/>
    <x v="0"/>
    <x v="2"/>
    <x v="11"/>
    <n v="0"/>
    <n v="0"/>
    <n v="261.53300000000002"/>
    <n v="261.53300000000002"/>
    <n v="261.53300000000002"/>
    <n v="261.53300000000002"/>
    <n v="242"/>
    <x v="0"/>
    <n v="0"/>
    <n v="0"/>
    <n v="24"/>
    <n v="63"/>
    <n v="0"/>
    <n v="275.13"/>
    <n v="219.34"/>
    <m/>
    <n v="357.29593017360565"/>
    <n v="127.69146309633039"/>
    <n v="0"/>
    <n v="71955.574290000004"/>
    <n v="57364.648220000003"/>
    <n v="0"/>
    <n v="93444.676506093616"/>
    <n v="33395.531417972576"/>
  </r>
  <r>
    <s v="Regular"/>
    <x v="3"/>
    <x v="4"/>
    <x v="2"/>
    <x v="1"/>
    <x v="0"/>
    <x v="0"/>
    <x v="2"/>
    <x v="0"/>
    <n v="0"/>
    <n v="0"/>
    <n v="891.15800000000002"/>
    <n v="891.15800000000002"/>
    <n v="891.15800000000002"/>
    <n v="891.15800000000002"/>
    <n v="1596"/>
    <x v="0"/>
    <n v="0"/>
    <n v="0"/>
    <n v="35"/>
    <n v="62"/>
    <n v="0"/>
    <n v="312.64999999999998"/>
    <n v="249.25"/>
    <m/>
    <n v="380.10205337617623"/>
    <n v="135.84198201737277"/>
    <n v="0"/>
    <n v="278620.54869999998"/>
    <n v="222121.13150000002"/>
    <n v="0"/>
    <n v="338730.98568260646"/>
    <n v="121056.66901063788"/>
  </r>
  <r>
    <s v="Sistema de Compensação"/>
    <x v="3"/>
    <x v="4"/>
    <x v="2"/>
    <x v="1"/>
    <x v="0"/>
    <x v="0"/>
    <x v="2"/>
    <x v="0"/>
    <n v="0"/>
    <n v="0"/>
    <n v="49.981999999999999"/>
    <n v="49.981999999999999"/>
    <n v="49.981999999999999"/>
    <n v="49.981999999999999"/>
    <n v="98"/>
    <x v="0"/>
    <n v="0"/>
    <n v="0"/>
    <n v="35"/>
    <n v="62"/>
    <n v="0"/>
    <n v="312.64999999999998"/>
    <n v="249.25"/>
    <m/>
    <n v="380.10205337617623"/>
    <n v="135.84198201737277"/>
    <n v="0"/>
    <n v="15626.872299999999"/>
    <n v="12458.013499999999"/>
    <n v="0"/>
    <n v="18998.260831848042"/>
    <n v="6789.6539451923254"/>
  </r>
  <r>
    <s v="Regular"/>
    <x v="3"/>
    <x v="4"/>
    <x v="2"/>
    <x v="1"/>
    <x v="0"/>
    <x v="0"/>
    <x v="2"/>
    <x v="1"/>
    <n v="0"/>
    <n v="0"/>
    <n v="900.05899999999997"/>
    <n v="900.05899999999997"/>
    <n v="900.05899999999997"/>
    <n v="900.05899999999997"/>
    <n v="1597"/>
    <x v="0"/>
    <n v="0"/>
    <n v="0"/>
    <n v="35"/>
    <n v="62"/>
    <n v="0"/>
    <n v="312.64999999999998"/>
    <n v="249.25"/>
    <m/>
    <n v="380.10205337617623"/>
    <n v="135.84198201737277"/>
    <n v="0"/>
    <n v="281403.44634999998"/>
    <n v="224339.70574999999"/>
    <n v="0"/>
    <n v="342114.27405970776"/>
    <n v="122265.79849257451"/>
  </r>
  <r>
    <s v="Sistema de Compensação"/>
    <x v="3"/>
    <x v="4"/>
    <x v="2"/>
    <x v="1"/>
    <x v="0"/>
    <x v="0"/>
    <x v="2"/>
    <x v="1"/>
    <n v="0"/>
    <n v="0"/>
    <n v="45.991999999999997"/>
    <n v="45.991999999999997"/>
    <n v="45.991999999999997"/>
    <n v="45.991999999999997"/>
    <n v="98"/>
    <x v="0"/>
    <n v="0"/>
    <n v="0"/>
    <n v="35"/>
    <n v="62"/>
    <n v="0"/>
    <n v="312.64999999999998"/>
    <n v="249.25"/>
    <m/>
    <n v="380.10205337617623"/>
    <n v="135.84198201737277"/>
    <n v="0"/>
    <n v="14379.398799999999"/>
    <n v="11463.505999999999"/>
    <n v="0"/>
    <n v="17481.653638877095"/>
    <n v="6247.6444369430083"/>
  </r>
  <r>
    <s v="Regular"/>
    <x v="3"/>
    <x v="4"/>
    <x v="2"/>
    <x v="1"/>
    <x v="0"/>
    <x v="0"/>
    <x v="2"/>
    <x v="2"/>
    <n v="0"/>
    <n v="0"/>
    <n v="1000.95"/>
    <n v="1000.95"/>
    <n v="1000.95"/>
    <n v="1000.95"/>
    <n v="1591"/>
    <x v="0"/>
    <n v="0"/>
    <n v="0"/>
    <n v="35"/>
    <n v="62"/>
    <n v="0"/>
    <n v="312.64999999999998"/>
    <n v="249.25"/>
    <m/>
    <n v="380.10205337617623"/>
    <n v="135.84198201737277"/>
    <n v="0"/>
    <n v="312947.01750000002"/>
    <n v="249486.78750000001"/>
    <n v="0"/>
    <n v="380463.15032688359"/>
    <n v="135971.03190028929"/>
  </r>
  <r>
    <s v="Refaturamento - Regular"/>
    <x v="3"/>
    <x v="4"/>
    <x v="2"/>
    <x v="1"/>
    <x v="0"/>
    <x v="0"/>
    <x v="2"/>
    <x v="2"/>
    <n v="0"/>
    <n v="0"/>
    <n v="-0.83399999999999996"/>
    <n v="-0.83399999999999996"/>
    <n v="-0.83399999999999996"/>
    <n v="-0.83399999999999996"/>
    <n v="0"/>
    <x v="0"/>
    <n v="0"/>
    <n v="0"/>
    <n v="35"/>
    <n v="62"/>
    <n v="0"/>
    <n v="312.64999999999998"/>
    <n v="249.25"/>
    <m/>
    <n v="380.10205337617623"/>
    <n v="135.84198201737277"/>
    <n v="0"/>
    <n v="-260.75009999999997"/>
    <n v="-207.87449999999998"/>
    <n v="0"/>
    <n v="-317.00511251573096"/>
    <n v="-113.29221300248889"/>
  </r>
  <r>
    <s v="Sistema de Compensação"/>
    <x v="3"/>
    <x v="4"/>
    <x v="2"/>
    <x v="1"/>
    <x v="0"/>
    <x v="0"/>
    <x v="2"/>
    <x v="2"/>
    <n v="0"/>
    <n v="0"/>
    <n v="36.094999999999999"/>
    <n v="36.094999999999999"/>
    <n v="36.094999999999999"/>
    <n v="36.094999999999999"/>
    <n v="104"/>
    <x v="0"/>
    <n v="0"/>
    <n v="0"/>
    <n v="35"/>
    <n v="62"/>
    <n v="0"/>
    <n v="312.64999999999998"/>
    <n v="249.25"/>
    <m/>
    <n v="380.10205337617623"/>
    <n v="135.84198201737277"/>
    <n v="0"/>
    <n v="11285.101749999998"/>
    <n v="8996.6787499999991"/>
    <n v="0"/>
    <n v="13719.78361661308"/>
    <n v="4903.2163409170698"/>
  </r>
  <r>
    <s v="Regular"/>
    <x v="3"/>
    <x v="4"/>
    <x v="2"/>
    <x v="1"/>
    <x v="0"/>
    <x v="0"/>
    <x v="2"/>
    <x v="3"/>
    <n v="0"/>
    <n v="0"/>
    <n v="1108.1130000000001"/>
    <n v="1108.1130000000001"/>
    <n v="1108.1130000000001"/>
    <n v="1108.1130000000001"/>
    <n v="1589"/>
    <x v="0"/>
    <n v="0"/>
    <n v="0"/>
    <n v="35"/>
    <n v="62"/>
    <n v="0"/>
    <n v="312.64999999999998"/>
    <n v="249.25"/>
    <m/>
    <n v="380.10205337617623"/>
    <n v="135.84198201737277"/>
    <n v="0"/>
    <n v="346451.52944999997"/>
    <n v="276197.16525000002"/>
    <n v="0"/>
    <n v="421196.02667283476"/>
    <n v="150528.26621921701"/>
  </r>
  <r>
    <s v="Sistema de Compensação"/>
    <x v="3"/>
    <x v="4"/>
    <x v="2"/>
    <x v="1"/>
    <x v="0"/>
    <x v="0"/>
    <x v="2"/>
    <x v="3"/>
    <n v="0"/>
    <n v="0"/>
    <n v="38.073"/>
    <n v="38.073"/>
    <n v="38.073"/>
    <n v="38.073"/>
    <n v="111"/>
    <x v="0"/>
    <n v="0"/>
    <n v="0"/>
    <n v="35"/>
    <n v="62"/>
    <n v="0"/>
    <n v="312.64999999999998"/>
    <n v="249.25"/>
    <m/>
    <n v="380.10205337617623"/>
    <n v="135.84198201737277"/>
    <n v="0"/>
    <n v="11903.523449999999"/>
    <n v="9489.6952500000007"/>
    <n v="0"/>
    <n v="14471.625478191158"/>
    <n v="5171.9117813474331"/>
  </r>
  <r>
    <s v="Regular"/>
    <x v="3"/>
    <x v="4"/>
    <x v="2"/>
    <x v="1"/>
    <x v="0"/>
    <x v="0"/>
    <x v="2"/>
    <x v="4"/>
    <n v="0"/>
    <n v="0"/>
    <n v="1103.248"/>
    <n v="1103.248"/>
    <n v="1103.248"/>
    <n v="1103.248"/>
    <n v="1594"/>
    <x v="0"/>
    <n v="0"/>
    <n v="0"/>
    <n v="35"/>
    <n v="62"/>
    <n v="0"/>
    <n v="312.64999999999998"/>
    <n v="249.25"/>
    <m/>
    <n v="380.10205337617623"/>
    <n v="135.84198201737277"/>
    <n v="0"/>
    <n v="344930.48719999997"/>
    <n v="274984.56400000001"/>
    <n v="0"/>
    <n v="419346.83018315968"/>
    <n v="149867.39497670249"/>
  </r>
  <r>
    <s v="Sistema de Compensação"/>
    <x v="3"/>
    <x v="4"/>
    <x v="2"/>
    <x v="1"/>
    <x v="0"/>
    <x v="0"/>
    <x v="2"/>
    <x v="4"/>
    <n v="0"/>
    <n v="0"/>
    <n v="37.479999999999997"/>
    <n v="37.479999999999997"/>
    <n v="37.479999999999997"/>
    <n v="37.479999999999997"/>
    <n v="116"/>
    <x v="0"/>
    <n v="0"/>
    <n v="0"/>
    <n v="35"/>
    <n v="62"/>
    <n v="0"/>
    <n v="312.64999999999998"/>
    <n v="249.25"/>
    <m/>
    <n v="380.10205337617623"/>
    <n v="135.84198201737277"/>
    <n v="0"/>
    <n v="11718.121999999998"/>
    <n v="9341.89"/>
    <n v="0"/>
    <n v="14246.224960539084"/>
    <n v="5091.3574860111312"/>
  </r>
  <r>
    <s v="Regular"/>
    <x v="3"/>
    <x v="4"/>
    <x v="2"/>
    <x v="1"/>
    <x v="0"/>
    <x v="0"/>
    <x v="2"/>
    <x v="5"/>
    <n v="0"/>
    <n v="0"/>
    <n v="1315.626"/>
    <n v="1315.626"/>
    <n v="1315.626"/>
    <n v="1315.626"/>
    <n v="1598"/>
    <x v="0"/>
    <n v="0"/>
    <n v="0"/>
    <n v="35"/>
    <n v="62"/>
    <n v="0"/>
    <n v="312.64999999999998"/>
    <n v="249.25"/>
    <m/>
    <n v="380.10205337617623"/>
    <n v="135.84198201737277"/>
    <n v="0"/>
    <n v="411330.46889999998"/>
    <n v="327919.78049999999"/>
    <n v="0"/>
    <n v="500072.14407508523"/>
    <n v="178717.24343358807"/>
  </r>
  <r>
    <s v="Sistema de Compensação"/>
    <x v="3"/>
    <x v="4"/>
    <x v="2"/>
    <x v="1"/>
    <x v="0"/>
    <x v="0"/>
    <x v="2"/>
    <x v="5"/>
    <n v="0"/>
    <n v="0"/>
    <n v="62.204000000000001"/>
    <n v="62.204000000000001"/>
    <n v="62.204000000000001"/>
    <n v="62.204000000000001"/>
    <n v="119"/>
    <x v="0"/>
    <n v="0"/>
    <n v="0"/>
    <n v="35"/>
    <n v="62"/>
    <n v="0"/>
    <n v="312.64999999999998"/>
    <n v="249.25"/>
    <m/>
    <n v="380.10205337617623"/>
    <n v="135.84198201737277"/>
    <n v="0"/>
    <n v="19448.080599999998"/>
    <n v="15504.347"/>
    <n v="0"/>
    <n v="23643.868128211667"/>
    <n v="8449.9146494086563"/>
  </r>
  <r>
    <s v="Regular"/>
    <x v="3"/>
    <x v="4"/>
    <x v="2"/>
    <x v="1"/>
    <x v="0"/>
    <x v="0"/>
    <x v="2"/>
    <x v="6"/>
    <n v="0"/>
    <n v="0"/>
    <n v="1138.4780000000001"/>
    <n v="1138.4780000000001"/>
    <n v="1138.4780000000001"/>
    <n v="1138.4780000000001"/>
    <n v="1594"/>
    <x v="0"/>
    <n v="0"/>
    <n v="0"/>
    <n v="35"/>
    <n v="62"/>
    <n v="0"/>
    <n v="312.64999999999998"/>
    <n v="249.25"/>
    <m/>
    <n v="380.10205337617623"/>
    <n v="135.84198201737277"/>
    <n v="0"/>
    <n v="355945.14669999998"/>
    <n v="283765.64150000003"/>
    <n v="0"/>
    <n v="432737.82552360237"/>
    <n v="154653.10800317454"/>
  </r>
  <r>
    <s v="Sistema de Compensação"/>
    <x v="3"/>
    <x v="4"/>
    <x v="2"/>
    <x v="1"/>
    <x v="0"/>
    <x v="0"/>
    <x v="2"/>
    <x v="6"/>
    <n v="0"/>
    <n v="0"/>
    <n v="75.635000000000005"/>
    <n v="75.635000000000005"/>
    <n v="75.635000000000005"/>
    <n v="75.635000000000005"/>
    <n v="124"/>
    <x v="0"/>
    <n v="0"/>
    <n v="0"/>
    <n v="35"/>
    <n v="62"/>
    <n v="0"/>
    <n v="312.64999999999998"/>
    <n v="249.25"/>
    <m/>
    <n v="380.10205337617623"/>
    <n v="135.84198201737277"/>
    <n v="0"/>
    <n v="23647.282749999998"/>
    <n v="18852.02375"/>
    <n v="0"/>
    <n v="28749.018807107092"/>
    <n v="10274.408309883991"/>
  </r>
  <r>
    <s v="Regular"/>
    <x v="3"/>
    <x v="4"/>
    <x v="2"/>
    <x v="1"/>
    <x v="0"/>
    <x v="0"/>
    <x v="2"/>
    <x v="7"/>
    <n v="0"/>
    <n v="0"/>
    <n v="961.86400000000003"/>
    <n v="961.86400000000003"/>
    <n v="961.86400000000003"/>
    <n v="961.86400000000003"/>
    <n v="1590"/>
    <x v="0"/>
    <n v="0"/>
    <n v="0"/>
    <n v="35"/>
    <n v="62"/>
    <n v="0"/>
    <n v="312.64999999999998"/>
    <n v="249.25"/>
    <m/>
    <n v="380.10205337617623"/>
    <n v="135.84198201737277"/>
    <n v="0"/>
    <n v="300726.77960000001"/>
    <n v="239744.60200000001"/>
    <n v="0"/>
    <n v="365606.4814686224"/>
    <n v="130661.51219115825"/>
  </r>
  <r>
    <s v="Sistema de Compensação"/>
    <x v="3"/>
    <x v="4"/>
    <x v="2"/>
    <x v="1"/>
    <x v="0"/>
    <x v="0"/>
    <x v="2"/>
    <x v="7"/>
    <n v="0"/>
    <n v="0"/>
    <n v="58.238"/>
    <n v="58.238"/>
    <n v="58.238"/>
    <n v="58.238"/>
    <n v="129"/>
    <x v="0"/>
    <n v="0"/>
    <n v="0"/>
    <n v="35"/>
    <n v="62"/>
    <n v="0"/>
    <n v="312.64999999999998"/>
    <n v="249.25"/>
    <m/>
    <n v="380.10205337617623"/>
    <n v="135.84198201737277"/>
    <n v="0"/>
    <n v="18208.110699999997"/>
    <n v="14515.8215"/>
    <n v="0"/>
    <n v="22136.383384521752"/>
    <n v="7911.1653487277554"/>
  </r>
  <r>
    <s v="Regular"/>
    <x v="3"/>
    <x v="4"/>
    <x v="2"/>
    <x v="1"/>
    <x v="0"/>
    <x v="0"/>
    <x v="2"/>
    <x v="8"/>
    <n v="0"/>
    <n v="0"/>
    <n v="842.56200000000001"/>
    <n v="842.56200000000001"/>
    <n v="842.56200000000001"/>
    <n v="842.56200000000001"/>
    <n v="1579"/>
    <x v="0"/>
    <n v="0"/>
    <n v="0"/>
    <n v="35"/>
    <n v="62"/>
    <n v="0"/>
    <n v="312.64999999999998"/>
    <n v="249.25"/>
    <m/>
    <n v="380.10205337617623"/>
    <n v="135.84198201737277"/>
    <n v="0"/>
    <n v="263427.00929999998"/>
    <n v="210008.5785"/>
    <n v="0"/>
    <n v="320259.5462967378"/>
    <n v="114455.29205252163"/>
  </r>
  <r>
    <s v="Refaturamento - Regular"/>
    <x v="3"/>
    <x v="4"/>
    <x v="2"/>
    <x v="1"/>
    <x v="0"/>
    <x v="0"/>
    <x v="2"/>
    <x v="8"/>
    <n v="0"/>
    <n v="0"/>
    <n v="-5.1109999999999998"/>
    <n v="-5.1109999999999998"/>
    <n v="-5.1109999999999998"/>
    <n v="-5.1109999999999998"/>
    <n v="0"/>
    <x v="0"/>
    <n v="0"/>
    <n v="0"/>
    <n v="35"/>
    <n v="62"/>
    <n v="0"/>
    <n v="312.64999999999998"/>
    <n v="249.25"/>
    <m/>
    <n v="380.10205337617623"/>
    <n v="135.84198201737277"/>
    <n v="0"/>
    <n v="-1597.9541499999998"/>
    <n v="-1273.9167499999999"/>
    <n v="0"/>
    <n v="-1942.7015948056367"/>
    <n v="-694.28837009079223"/>
  </r>
  <r>
    <s v="Sistema de Compensação"/>
    <x v="3"/>
    <x v="4"/>
    <x v="2"/>
    <x v="1"/>
    <x v="0"/>
    <x v="0"/>
    <x v="2"/>
    <x v="8"/>
    <n v="0"/>
    <n v="0"/>
    <n v="55.405999999999999"/>
    <n v="55.405999999999999"/>
    <n v="55.405999999999999"/>
    <n v="55.405999999999999"/>
    <n v="133"/>
    <x v="0"/>
    <n v="0"/>
    <n v="0"/>
    <n v="35"/>
    <n v="62"/>
    <n v="0"/>
    <n v="312.64999999999998"/>
    <n v="249.25"/>
    <m/>
    <n v="380.10205337617623"/>
    <n v="135.84198201737277"/>
    <n v="0"/>
    <n v="17322.685899999997"/>
    <n v="13809.9455"/>
    <n v="0"/>
    <n v="21059.934369360421"/>
    <n v="7526.4608556545554"/>
  </r>
  <r>
    <s v="Regular"/>
    <x v="3"/>
    <x v="4"/>
    <x v="2"/>
    <x v="1"/>
    <x v="0"/>
    <x v="0"/>
    <x v="2"/>
    <x v="9"/>
    <n v="0"/>
    <n v="0"/>
    <n v="850.51099999999997"/>
    <n v="850.51099999999997"/>
    <n v="850.51099999999997"/>
    <n v="850.51099999999997"/>
    <n v="1579"/>
    <x v="0"/>
    <n v="0"/>
    <n v="0"/>
    <n v="35"/>
    <n v="62"/>
    <n v="0"/>
    <n v="312.64999999999998"/>
    <n v="249.25"/>
    <m/>
    <n v="380.10205337617623"/>
    <n v="135.84198201737277"/>
    <n v="0"/>
    <n v="265912.26414999994"/>
    <n v="211989.86674999999"/>
    <n v="0"/>
    <n v="323280.97751902504"/>
    <n v="115535.09996757773"/>
  </r>
  <r>
    <s v="Sistema de Compensação"/>
    <x v="3"/>
    <x v="4"/>
    <x v="2"/>
    <x v="1"/>
    <x v="0"/>
    <x v="0"/>
    <x v="2"/>
    <x v="9"/>
    <n v="0"/>
    <n v="0"/>
    <n v="64.302000000000007"/>
    <n v="64.302000000000007"/>
    <n v="64.302000000000007"/>
    <n v="64.302000000000007"/>
    <n v="135"/>
    <x v="0"/>
    <n v="0"/>
    <n v="0"/>
    <n v="35"/>
    <n v="62"/>
    <n v="0"/>
    <n v="312.64999999999998"/>
    <n v="249.25"/>
    <m/>
    <n v="380.10205337617623"/>
    <n v="135.84198201737277"/>
    <n v="0"/>
    <n v="20104.0203"/>
    <n v="16027.273500000001"/>
    <n v="0"/>
    <n v="24441.322236194887"/>
    <n v="8734.9111276811054"/>
  </r>
  <r>
    <s v="Regular"/>
    <x v="3"/>
    <x v="4"/>
    <x v="2"/>
    <x v="1"/>
    <x v="0"/>
    <x v="0"/>
    <x v="2"/>
    <x v="10"/>
    <n v="0"/>
    <n v="0"/>
    <n v="824.33699999999999"/>
    <n v="824.33699999999999"/>
    <n v="824.33699999999999"/>
    <n v="824.33699999999999"/>
    <n v="1579"/>
    <x v="0"/>
    <n v="0"/>
    <n v="0"/>
    <n v="35"/>
    <n v="62"/>
    <n v="0"/>
    <n v="312.64999999999998"/>
    <n v="249.25"/>
    <m/>
    <n v="380.10205337617623"/>
    <n v="135.84198201737277"/>
    <n v="0"/>
    <n v="257728.96304999999"/>
    <n v="205465.99724999999"/>
    <n v="0"/>
    <n v="313332.18637395697"/>
    <n v="111979.57193025501"/>
  </r>
  <r>
    <s v="Refaturamento - Regular"/>
    <x v="3"/>
    <x v="4"/>
    <x v="2"/>
    <x v="1"/>
    <x v="0"/>
    <x v="0"/>
    <x v="2"/>
    <x v="10"/>
    <n v="0"/>
    <n v="0"/>
    <n v="-0.98399999999999999"/>
    <n v="-0.98399999999999999"/>
    <n v="-0.98399999999999999"/>
    <n v="-0.98399999999999999"/>
    <n v="0"/>
    <x v="0"/>
    <n v="0"/>
    <n v="0"/>
    <n v="35"/>
    <n v="62"/>
    <n v="0"/>
    <n v="312.64999999999998"/>
    <n v="249.25"/>
    <m/>
    <n v="380.10205337617623"/>
    <n v="135.84198201737277"/>
    <n v="0"/>
    <n v="-307.64759999999995"/>
    <n v="-245.262"/>
    <n v="0"/>
    <n v="-374.02042052215739"/>
    <n v="-133.6685103050948"/>
  </r>
  <r>
    <s v="Regular"/>
    <x v="3"/>
    <x v="4"/>
    <x v="2"/>
    <x v="1"/>
    <x v="0"/>
    <x v="0"/>
    <x v="2"/>
    <x v="11"/>
    <n v="0"/>
    <n v="0"/>
    <n v="868.79499999999996"/>
    <n v="868.79499999999996"/>
    <n v="868.79499999999996"/>
    <n v="868.79499999999996"/>
    <n v="1577"/>
    <x v="0"/>
    <n v="0"/>
    <n v="0"/>
    <n v="35"/>
    <n v="62"/>
    <n v="0"/>
    <n v="312.64999999999998"/>
    <n v="249.25"/>
    <m/>
    <n v="380.10205337617623"/>
    <n v="135.84198201737277"/>
    <n v="0"/>
    <n v="271628.75674999994"/>
    <n v="216547.15375"/>
    <n v="0"/>
    <n v="330230.76346295502"/>
    <n v="118018.83476678337"/>
  </r>
  <r>
    <s v="Sistema de Compensação"/>
    <x v="3"/>
    <x v="4"/>
    <x v="2"/>
    <x v="1"/>
    <x v="0"/>
    <x v="0"/>
    <x v="2"/>
    <x v="11"/>
    <n v="0"/>
    <n v="0"/>
    <n v="71.453999999999994"/>
    <n v="71.453999999999994"/>
    <n v="71.453999999999994"/>
    <n v="71.453999999999994"/>
    <n v="138"/>
    <x v="0"/>
    <n v="0"/>
    <n v="0"/>
    <n v="35"/>
    <n v="62"/>
    <n v="0"/>
    <n v="312.64999999999998"/>
    <n v="249.25"/>
    <m/>
    <n v="380.10205337617623"/>
    <n v="135.84198201737277"/>
    <n v="0"/>
    <n v="22340.093099999995"/>
    <n v="17809.909499999998"/>
    <n v="0"/>
    <n v="27159.812121941293"/>
    <n v="9706.4529830693536"/>
  </r>
  <r>
    <s v="Regular"/>
    <x v="3"/>
    <x v="4"/>
    <x v="7"/>
    <x v="1"/>
    <x v="0"/>
    <x v="0"/>
    <x v="2"/>
    <x v="0"/>
    <n v="0"/>
    <n v="0"/>
    <n v="9.0060000000000002"/>
    <n v="9.0060000000000002"/>
    <n v="9.0060000000000002"/>
    <n v="9.0060000000000002"/>
    <n v="4"/>
    <x v="0"/>
    <n v="0"/>
    <n v="0"/>
    <n v="35"/>
    <n v="62"/>
    <n v="0"/>
    <n v="312.64999999999998"/>
    <n v="249.25"/>
    <m/>
    <n v="380.10205337617623"/>
    <n v="135.84198201737277"/>
    <n v="0"/>
    <n v="2815.7258999999999"/>
    <n v="2244.7455"/>
    <n v="0"/>
    <n v="3423.1990927058432"/>
    <n v="1223.3928900484593"/>
  </r>
  <r>
    <s v="Regular"/>
    <x v="3"/>
    <x v="4"/>
    <x v="7"/>
    <x v="1"/>
    <x v="0"/>
    <x v="0"/>
    <x v="2"/>
    <x v="1"/>
    <n v="0"/>
    <n v="0"/>
    <n v="9.5549999999999997"/>
    <n v="9.5549999999999997"/>
    <n v="9.5549999999999997"/>
    <n v="9.5549999999999997"/>
    <n v="4"/>
    <x v="0"/>
    <n v="0"/>
    <n v="0"/>
    <n v="35"/>
    <n v="62"/>
    <n v="0"/>
    <n v="312.64999999999998"/>
    <n v="249.25"/>
    <m/>
    <n v="380.10205337617623"/>
    <n v="135.84198201737277"/>
    <n v="0"/>
    <n v="2987.3707499999996"/>
    <n v="2381.5837499999998"/>
    <n v="0"/>
    <n v="3631.8751200093639"/>
    <n v="1297.9701381759967"/>
  </r>
  <r>
    <s v="Regular"/>
    <x v="3"/>
    <x v="4"/>
    <x v="7"/>
    <x v="1"/>
    <x v="0"/>
    <x v="0"/>
    <x v="2"/>
    <x v="2"/>
    <n v="0"/>
    <n v="0"/>
    <n v="10.901"/>
    <n v="10.901"/>
    <n v="10.901"/>
    <n v="10.901"/>
    <n v="4"/>
    <x v="0"/>
    <n v="0"/>
    <n v="0"/>
    <n v="35"/>
    <n v="62"/>
    <n v="0"/>
    <n v="312.64999999999998"/>
    <n v="249.25"/>
    <m/>
    <n v="380.10205337617623"/>
    <n v="135.84198201737277"/>
    <n v="0"/>
    <n v="3408.1976499999996"/>
    <n v="2717.0742500000001"/>
    <n v="0"/>
    <n v="4143.4924838536972"/>
    <n v="1480.8134459713806"/>
  </r>
  <r>
    <s v="Regular"/>
    <x v="3"/>
    <x v="4"/>
    <x v="7"/>
    <x v="1"/>
    <x v="0"/>
    <x v="0"/>
    <x v="2"/>
    <x v="3"/>
    <n v="0"/>
    <n v="0"/>
    <n v="11.895"/>
    <n v="11.895"/>
    <n v="11.895"/>
    <n v="11.895"/>
    <n v="5"/>
    <x v="0"/>
    <n v="0"/>
    <n v="0"/>
    <n v="35"/>
    <n v="62"/>
    <n v="0"/>
    <n v="312.64999999999998"/>
    <n v="249.25"/>
    <m/>
    <n v="380.10205337617623"/>
    <n v="135.84198201737277"/>
    <n v="0"/>
    <n v="3718.9717499999997"/>
    <n v="2964.8287499999997"/>
    <n v="0"/>
    <n v="4521.3139249096157"/>
    <n v="1615.8403760966492"/>
  </r>
  <r>
    <s v="Regular"/>
    <x v="3"/>
    <x v="4"/>
    <x v="7"/>
    <x v="1"/>
    <x v="0"/>
    <x v="0"/>
    <x v="2"/>
    <x v="4"/>
    <n v="0"/>
    <n v="0"/>
    <n v="13.579000000000001"/>
    <n v="13.579000000000001"/>
    <n v="13.579000000000001"/>
    <n v="13.579000000000001"/>
    <n v="5"/>
    <x v="0"/>
    <n v="0"/>
    <n v="0"/>
    <n v="35"/>
    <n v="62"/>
    <n v="0"/>
    <n v="312.64999999999998"/>
    <n v="249.25"/>
    <m/>
    <n v="380.10205337617623"/>
    <n v="135.84198201737277"/>
    <n v="0"/>
    <n v="4245.4743499999995"/>
    <n v="3384.5657500000002"/>
    <n v="0"/>
    <n v="5161.4057827950974"/>
    <n v="1844.5982738139051"/>
  </r>
  <r>
    <s v="Regular"/>
    <x v="3"/>
    <x v="4"/>
    <x v="7"/>
    <x v="1"/>
    <x v="0"/>
    <x v="0"/>
    <x v="2"/>
    <x v="5"/>
    <n v="0"/>
    <n v="0"/>
    <n v="14.417999999999999"/>
    <n v="14.417999999999999"/>
    <n v="14.417999999999999"/>
    <n v="14.417999999999999"/>
    <n v="5"/>
    <x v="0"/>
    <n v="0"/>
    <n v="0"/>
    <n v="35"/>
    <n v="62"/>
    <n v="0"/>
    <n v="312.64999999999998"/>
    <n v="249.25"/>
    <m/>
    <n v="380.10205337617623"/>
    <n v="135.84198201737277"/>
    <n v="0"/>
    <n v="4507.7876999999999"/>
    <n v="3593.6864999999998"/>
    <n v="0"/>
    <n v="5480.3114055777087"/>
    <n v="1958.5696967264805"/>
  </r>
  <r>
    <s v="Regular"/>
    <x v="3"/>
    <x v="4"/>
    <x v="7"/>
    <x v="1"/>
    <x v="0"/>
    <x v="0"/>
    <x v="2"/>
    <x v="6"/>
    <n v="0"/>
    <n v="0"/>
    <n v="12.907999999999999"/>
    <n v="12.907999999999999"/>
    <n v="12.907999999999999"/>
    <n v="12.907999999999999"/>
    <n v="5"/>
    <x v="0"/>
    <n v="0"/>
    <n v="0"/>
    <n v="35"/>
    <n v="62"/>
    <n v="0"/>
    <n v="312.64999999999998"/>
    <n v="249.25"/>
    <m/>
    <n v="380.10205337617623"/>
    <n v="135.84198201737277"/>
    <n v="0"/>
    <n v="4035.6861999999996"/>
    <n v="3217.319"/>
    <n v="0"/>
    <n v="4906.3573049796823"/>
    <n v="1753.4483038802477"/>
  </r>
  <r>
    <s v="Regular"/>
    <x v="3"/>
    <x v="4"/>
    <x v="7"/>
    <x v="1"/>
    <x v="0"/>
    <x v="0"/>
    <x v="2"/>
    <x v="7"/>
    <n v="0"/>
    <n v="0"/>
    <n v="10.756"/>
    <n v="10.756"/>
    <n v="10.756"/>
    <n v="10.756"/>
    <n v="5"/>
    <x v="0"/>
    <n v="0"/>
    <n v="0"/>
    <n v="35"/>
    <n v="62"/>
    <n v="0"/>
    <n v="312.64999999999998"/>
    <n v="249.25"/>
    <m/>
    <n v="380.10205337617623"/>
    <n v="135.84198201737277"/>
    <n v="0"/>
    <n v="3362.8633999999997"/>
    <n v="2680.933"/>
    <n v="0"/>
    <n v="4088.3776861141514"/>
    <n v="1461.1163585788615"/>
  </r>
  <r>
    <s v="Regular"/>
    <x v="3"/>
    <x v="4"/>
    <x v="7"/>
    <x v="1"/>
    <x v="0"/>
    <x v="0"/>
    <x v="2"/>
    <x v="8"/>
    <n v="0"/>
    <n v="0"/>
    <n v="9.4730000000000008"/>
    <n v="9.4730000000000008"/>
    <n v="9.4730000000000008"/>
    <n v="9.4730000000000008"/>
    <n v="5"/>
    <x v="0"/>
    <n v="0"/>
    <n v="0"/>
    <n v="35"/>
    <n v="62"/>
    <n v="0"/>
    <n v="312.64999999999998"/>
    <n v="249.25"/>
    <m/>
    <n v="380.10205337617623"/>
    <n v="135.84198201737277"/>
    <n v="0"/>
    <n v="2961.7334500000002"/>
    <n v="2361.14525"/>
    <n v="0"/>
    <n v="3600.7067516325178"/>
    <n v="1286.8310956505725"/>
  </r>
  <r>
    <s v="Regular"/>
    <x v="3"/>
    <x v="4"/>
    <x v="7"/>
    <x v="1"/>
    <x v="0"/>
    <x v="0"/>
    <x v="2"/>
    <x v="9"/>
    <n v="0"/>
    <n v="0"/>
    <n v="9.6750000000000007"/>
    <n v="9.6750000000000007"/>
    <n v="9.6750000000000007"/>
    <n v="9.6750000000000007"/>
    <n v="5"/>
    <x v="0"/>
    <n v="0"/>
    <n v="0"/>
    <n v="35"/>
    <n v="62"/>
    <n v="0"/>
    <n v="312.64999999999998"/>
    <n v="249.25"/>
    <m/>
    <n v="380.10205337617623"/>
    <n v="135.84198201737277"/>
    <n v="0"/>
    <n v="3024.8887500000001"/>
    <n v="2411.4937500000001"/>
    <n v="0"/>
    <n v="3677.4873664145052"/>
    <n v="1314.2711760180816"/>
  </r>
  <r>
    <s v="Regular"/>
    <x v="3"/>
    <x v="4"/>
    <x v="7"/>
    <x v="1"/>
    <x v="0"/>
    <x v="0"/>
    <x v="2"/>
    <x v="10"/>
    <n v="0"/>
    <n v="0"/>
    <n v="9.3719999999999999"/>
    <n v="9.3719999999999999"/>
    <n v="9.3719999999999999"/>
    <n v="9.3719999999999999"/>
    <n v="5"/>
    <x v="0"/>
    <n v="0"/>
    <n v="0"/>
    <n v="35"/>
    <n v="62"/>
    <n v="0"/>
    <n v="312.64999999999998"/>
    <n v="249.25"/>
    <m/>
    <n v="380.10205337617623"/>
    <n v="135.84198201737277"/>
    <n v="0"/>
    <n v="2930.1557999999995"/>
    <n v="2335.971"/>
    <n v="0"/>
    <n v="3562.3164442415236"/>
    <n v="1273.1110554668176"/>
  </r>
  <r>
    <s v="Regular"/>
    <x v="3"/>
    <x v="4"/>
    <x v="7"/>
    <x v="1"/>
    <x v="0"/>
    <x v="0"/>
    <x v="2"/>
    <x v="11"/>
    <n v="0"/>
    <n v="0"/>
    <n v="10.483000000000001"/>
    <n v="10.483000000000001"/>
    <n v="10.483000000000001"/>
    <n v="10.483000000000001"/>
    <n v="5"/>
    <x v="0"/>
    <n v="0"/>
    <n v="0"/>
    <n v="35"/>
    <n v="62"/>
    <n v="0"/>
    <n v="312.64999999999998"/>
    <n v="249.25"/>
    <m/>
    <n v="380.10205337617623"/>
    <n v="135.84198201737277"/>
    <n v="0"/>
    <n v="3277.5099500000001"/>
    <n v="2612.8877500000003"/>
    <n v="0"/>
    <n v="3984.6098255424558"/>
    <n v="1424.0314974881189"/>
  </r>
  <r>
    <s v="Regular"/>
    <x v="3"/>
    <x v="4"/>
    <x v="3"/>
    <x v="1"/>
    <x v="0"/>
    <x v="0"/>
    <x v="2"/>
    <x v="0"/>
    <n v="0"/>
    <n v="0"/>
    <n v="442.31700000000001"/>
    <n v="442.31700000000001"/>
    <n v="442.31700000000001"/>
    <n v="442.31700000000001"/>
    <n v="674"/>
    <x v="0"/>
    <n v="0"/>
    <n v="0"/>
    <n v="35"/>
    <n v="62"/>
    <n v="0"/>
    <n v="312.64999999999998"/>
    <n v="249.25"/>
    <m/>
    <n v="380.10205337617623"/>
    <n v="135.84198201737277"/>
    <n v="0"/>
    <n v="138290.41005000001"/>
    <n v="110247.51225"/>
    <n v="0"/>
    <n v="168125.59994319014"/>
    <n v="60085.217959978276"/>
  </r>
  <r>
    <s v="Refaturamento - Regular"/>
    <x v="3"/>
    <x v="4"/>
    <x v="3"/>
    <x v="1"/>
    <x v="0"/>
    <x v="0"/>
    <x v="2"/>
    <x v="0"/>
    <n v="0"/>
    <n v="0"/>
    <n v="-0.74299999999999999"/>
    <n v="-0.74299999999999999"/>
    <n v="-0.74299999999999999"/>
    <n v="-0.74299999999999999"/>
    <n v="0"/>
    <x v="0"/>
    <n v="0"/>
    <n v="0"/>
    <n v="35"/>
    <n v="62"/>
    <n v="0"/>
    <n v="312.64999999999998"/>
    <n v="249.25"/>
    <m/>
    <n v="380.10205337617623"/>
    <n v="135.84198201737277"/>
    <n v="0"/>
    <n v="-232.29894999999999"/>
    <n v="-185.19274999999999"/>
    <n v="0"/>
    <n v="-282.41582565849893"/>
    <n v="-100.93059263890797"/>
  </r>
  <r>
    <s v="Sistema de Compensação"/>
    <x v="3"/>
    <x v="4"/>
    <x v="3"/>
    <x v="1"/>
    <x v="0"/>
    <x v="0"/>
    <x v="2"/>
    <x v="0"/>
    <n v="0"/>
    <n v="0"/>
    <n v="64.641000000000005"/>
    <n v="64.641000000000005"/>
    <n v="64.641000000000005"/>
    <n v="64.641000000000005"/>
    <n v="40"/>
    <x v="0"/>
    <n v="0"/>
    <n v="0"/>
    <n v="35"/>
    <n v="62"/>
    <n v="0"/>
    <n v="312.64999999999998"/>
    <n v="249.25"/>
    <m/>
    <n v="380.10205337617623"/>
    <n v="135.84198201737277"/>
    <n v="0"/>
    <n v="20210.00865"/>
    <n v="16111.769250000001"/>
    <n v="0"/>
    <n v="24570.17683228941"/>
    <n v="8780.9615595849937"/>
  </r>
  <r>
    <s v="Regular"/>
    <x v="3"/>
    <x v="4"/>
    <x v="3"/>
    <x v="1"/>
    <x v="0"/>
    <x v="0"/>
    <x v="2"/>
    <x v="1"/>
    <n v="0"/>
    <n v="0"/>
    <n v="447.57900000000001"/>
    <n v="447.57900000000001"/>
    <n v="447.57900000000001"/>
    <n v="447.57900000000001"/>
    <n v="678"/>
    <x v="0"/>
    <n v="0"/>
    <n v="0"/>
    <n v="35"/>
    <n v="62"/>
    <n v="0"/>
    <n v="312.64999999999998"/>
    <n v="249.25"/>
    <m/>
    <n v="380.10205337617623"/>
    <n v="135.84198201737277"/>
    <n v="0"/>
    <n v="139935.57434999998"/>
    <n v="111559.06575000001"/>
    <n v="0"/>
    <n v="170125.69694805559"/>
    <n v="60800.018469353687"/>
  </r>
  <r>
    <s v="Refaturamento - Regular"/>
    <x v="3"/>
    <x v="4"/>
    <x v="3"/>
    <x v="1"/>
    <x v="0"/>
    <x v="0"/>
    <x v="2"/>
    <x v="1"/>
    <n v="0"/>
    <n v="0"/>
    <n v="-272.85000000000002"/>
    <n v="-272.85000000000002"/>
    <n v="-272.85000000000002"/>
    <n v="-272.85000000000002"/>
    <n v="0"/>
    <x v="0"/>
    <n v="0"/>
    <n v="0"/>
    <n v="35"/>
    <n v="62"/>
    <n v="0"/>
    <n v="312.64999999999998"/>
    <n v="249.25"/>
    <m/>
    <n v="380.10205337617623"/>
    <n v="135.84198201737277"/>
    <n v="0"/>
    <n v="-85306.552500000005"/>
    <n v="-68007.862500000003"/>
    <n v="0"/>
    <n v="-103710.8452636897"/>
    <n v="-37064.484793440162"/>
  </r>
  <r>
    <s v="Sistema de Compensação"/>
    <x v="3"/>
    <x v="4"/>
    <x v="3"/>
    <x v="1"/>
    <x v="0"/>
    <x v="0"/>
    <x v="2"/>
    <x v="1"/>
    <n v="0"/>
    <n v="0"/>
    <n v="64.072000000000003"/>
    <n v="64.072000000000003"/>
    <n v="64.072000000000003"/>
    <n v="64.072000000000003"/>
    <n v="40"/>
    <x v="0"/>
    <n v="0"/>
    <n v="0"/>
    <n v="35"/>
    <n v="62"/>
    <n v="0"/>
    <n v="312.64999999999998"/>
    <n v="249.25"/>
    <m/>
    <n v="380.10205337617623"/>
    <n v="135.84198201737277"/>
    <n v="0"/>
    <n v="20032.110799999999"/>
    <n v="15969.946"/>
    <n v="0"/>
    <n v="24353.898763918365"/>
    <n v="8703.6674718171089"/>
  </r>
  <r>
    <s v="Regular"/>
    <x v="3"/>
    <x v="4"/>
    <x v="3"/>
    <x v="1"/>
    <x v="0"/>
    <x v="0"/>
    <x v="2"/>
    <x v="2"/>
    <n v="0"/>
    <n v="0"/>
    <n v="432.14800000000002"/>
    <n v="432.14800000000002"/>
    <n v="432.14800000000002"/>
    <n v="432.14800000000002"/>
    <n v="683"/>
    <x v="0"/>
    <n v="0"/>
    <n v="0"/>
    <n v="35"/>
    <n v="62"/>
    <n v="0"/>
    <n v="312.64999999999998"/>
    <n v="249.25"/>
    <m/>
    <n v="380.10205337617623"/>
    <n v="135.84198201737277"/>
    <n v="0"/>
    <n v="135111.0722"/>
    <n v="107712.88900000001"/>
    <n v="0"/>
    <n v="164260.34216240782"/>
    <n v="58703.840844843609"/>
  </r>
  <r>
    <s v="Refaturamento - Regular"/>
    <x v="3"/>
    <x v="4"/>
    <x v="3"/>
    <x v="1"/>
    <x v="0"/>
    <x v="0"/>
    <x v="2"/>
    <x v="2"/>
    <n v="0"/>
    <n v="0"/>
    <n v="-232.19200000000001"/>
    <n v="-232.19200000000001"/>
    <n v="-232.19200000000001"/>
    <n v="-232.19200000000001"/>
    <n v="0"/>
    <x v="0"/>
    <n v="0"/>
    <n v="0"/>
    <n v="35"/>
    <n v="62"/>
    <n v="0"/>
    <n v="312.64999999999998"/>
    <n v="249.25"/>
    <m/>
    <n v="380.10205337617623"/>
    <n v="135.84198201737277"/>
    <n v="0"/>
    <n v="-72594.828800000003"/>
    <n v="-57873.856"/>
    <n v="0"/>
    <n v="-88256.655977521121"/>
    <n v="-31541.42148857782"/>
  </r>
  <r>
    <s v="Sistema de Compensação"/>
    <x v="3"/>
    <x v="4"/>
    <x v="3"/>
    <x v="1"/>
    <x v="0"/>
    <x v="0"/>
    <x v="2"/>
    <x v="2"/>
    <n v="0"/>
    <n v="0"/>
    <n v="42.582000000000001"/>
    <n v="42.582000000000001"/>
    <n v="42.582000000000001"/>
    <n v="42.582000000000001"/>
    <n v="43"/>
    <x v="0"/>
    <n v="0"/>
    <n v="0"/>
    <n v="35"/>
    <n v="62"/>
    <n v="0"/>
    <n v="312.64999999999998"/>
    <n v="249.25"/>
    <m/>
    <n v="380.10205337617623"/>
    <n v="135.84198201737277"/>
    <n v="0"/>
    <n v="13313.262299999999"/>
    <n v="10613.5635"/>
    <n v="0"/>
    <n v="16185.505636864336"/>
    <n v="5784.4232782637673"/>
  </r>
  <r>
    <s v="Regular"/>
    <x v="3"/>
    <x v="4"/>
    <x v="3"/>
    <x v="1"/>
    <x v="0"/>
    <x v="0"/>
    <x v="2"/>
    <x v="3"/>
    <n v="0"/>
    <n v="0"/>
    <n v="453.23700000000002"/>
    <n v="453.23700000000002"/>
    <n v="453.23700000000002"/>
    <n v="453.23700000000002"/>
    <n v="683"/>
    <x v="0"/>
    <n v="0"/>
    <n v="0"/>
    <n v="35"/>
    <n v="62"/>
    <n v="0"/>
    <n v="312.64999999999998"/>
    <n v="249.25"/>
    <m/>
    <n v="380.10205337617623"/>
    <n v="135.84198201737277"/>
    <n v="0"/>
    <n v="141704.54804999998"/>
    <n v="112969.32225000001"/>
    <n v="0"/>
    <n v="172276.31436605798"/>
    <n v="61568.612403607985"/>
  </r>
  <r>
    <s v="Sistema de Compensação"/>
    <x v="3"/>
    <x v="4"/>
    <x v="3"/>
    <x v="1"/>
    <x v="0"/>
    <x v="0"/>
    <x v="2"/>
    <x v="3"/>
    <n v="0"/>
    <n v="0"/>
    <n v="45.506999999999998"/>
    <n v="45.506999999999998"/>
    <n v="45.506999999999998"/>
    <n v="45.506999999999998"/>
    <n v="47"/>
    <x v="0"/>
    <n v="0"/>
    <n v="0"/>
    <n v="35"/>
    <n v="62"/>
    <n v="0"/>
    <n v="312.64999999999998"/>
    <n v="249.25"/>
    <m/>
    <n v="380.10205337617623"/>
    <n v="135.84198201737277"/>
    <n v="0"/>
    <n v="14227.763549999998"/>
    <n v="11342.61975"/>
    <n v="0"/>
    <n v="17297.304142989651"/>
    <n v="6181.7610756645827"/>
  </r>
  <r>
    <s v="Regular"/>
    <x v="3"/>
    <x v="4"/>
    <x v="3"/>
    <x v="1"/>
    <x v="0"/>
    <x v="0"/>
    <x v="2"/>
    <x v="4"/>
    <n v="0"/>
    <n v="0"/>
    <n v="383.63600000000002"/>
    <n v="383.63600000000002"/>
    <n v="383.63600000000002"/>
    <n v="383.63600000000002"/>
    <n v="682"/>
    <x v="0"/>
    <n v="0"/>
    <n v="0"/>
    <n v="35"/>
    <n v="62"/>
    <n v="0"/>
    <n v="312.64999999999998"/>
    <n v="249.25"/>
    <m/>
    <n v="380.10205337617623"/>
    <n v="135.84198201737277"/>
    <n v="0"/>
    <n v="119943.7954"/>
    <n v="95621.273000000001"/>
    <n v="0"/>
    <n v="145820.83134902274"/>
    <n v="52113.874613216823"/>
  </r>
  <r>
    <s v="Refaturamento - Regular"/>
    <x v="3"/>
    <x v="4"/>
    <x v="3"/>
    <x v="1"/>
    <x v="0"/>
    <x v="0"/>
    <x v="2"/>
    <x v="4"/>
    <n v="0"/>
    <n v="0"/>
    <n v="-0.53200000000000003"/>
    <n v="-0.53200000000000003"/>
    <n v="-0.53200000000000003"/>
    <n v="-0.53200000000000003"/>
    <n v="0"/>
    <x v="0"/>
    <n v="0"/>
    <n v="0"/>
    <n v="35"/>
    <n v="62"/>
    <n v="0"/>
    <n v="312.64999999999998"/>
    <n v="249.25"/>
    <m/>
    <n v="380.10205337617623"/>
    <n v="135.84198201737277"/>
    <n v="0"/>
    <n v="-166.32980000000001"/>
    <n v="-132.601"/>
    <n v="0"/>
    <n v="-202.21429239612576"/>
    <n v="-72.267934433242317"/>
  </r>
  <r>
    <s v="Sistema de Compensação"/>
    <x v="3"/>
    <x v="4"/>
    <x v="3"/>
    <x v="1"/>
    <x v="0"/>
    <x v="0"/>
    <x v="2"/>
    <x v="4"/>
    <n v="0"/>
    <n v="0"/>
    <n v="30.292000000000002"/>
    <n v="30.292000000000002"/>
    <n v="30.292000000000002"/>
    <n v="30.292000000000002"/>
    <n v="47"/>
    <x v="0"/>
    <n v="0"/>
    <n v="0"/>
    <n v="35"/>
    <n v="62"/>
    <n v="0"/>
    <n v="312.64999999999998"/>
    <n v="249.25"/>
    <m/>
    <n v="380.10205337617623"/>
    <n v="135.84198201737277"/>
    <n v="0"/>
    <n v="9470.7937999999995"/>
    <n v="7550.2809999999999"/>
    <n v="0"/>
    <n v="11514.051400871131"/>
    <n v="4114.9253192702563"/>
  </r>
  <r>
    <s v="Regular"/>
    <x v="3"/>
    <x v="4"/>
    <x v="3"/>
    <x v="1"/>
    <x v="0"/>
    <x v="0"/>
    <x v="2"/>
    <x v="5"/>
    <n v="0"/>
    <n v="0"/>
    <n v="515.07299999999998"/>
    <n v="515.07299999999998"/>
    <n v="515.07299999999998"/>
    <n v="515.07299999999998"/>
    <n v="688"/>
    <x v="0"/>
    <n v="0"/>
    <n v="0"/>
    <n v="35"/>
    <n v="62"/>
    <n v="0"/>
    <n v="312.64999999999998"/>
    <n v="249.25"/>
    <m/>
    <n v="380.10205337617623"/>
    <n v="135.84198201737277"/>
    <n v="0"/>
    <n v="161037.57345"/>
    <n v="128381.94524999999"/>
    <n v="0"/>
    <n v="195780.3049386272"/>
    <n v="69968.537203634245"/>
  </r>
  <r>
    <s v="Refaturamento - Regular"/>
    <x v="3"/>
    <x v="4"/>
    <x v="3"/>
    <x v="1"/>
    <x v="0"/>
    <x v="0"/>
    <x v="2"/>
    <x v="5"/>
    <n v="0"/>
    <n v="0"/>
    <n v="-1.825"/>
    <n v="-1.825"/>
    <n v="-1.825"/>
    <n v="-1.825"/>
    <n v="0"/>
    <x v="0"/>
    <n v="0"/>
    <n v="0"/>
    <n v="35"/>
    <n v="62"/>
    <n v="0"/>
    <n v="312.64999999999998"/>
    <n v="249.25"/>
    <m/>
    <n v="380.10205337617623"/>
    <n v="135.84198201737277"/>
    <n v="0"/>
    <n v="-570.58624999999995"/>
    <n v="-454.88124999999997"/>
    <n v="0"/>
    <n v="-693.68624741152155"/>
    <n v="-247.91161718170531"/>
  </r>
  <r>
    <s v="Sistema de Compensação"/>
    <x v="3"/>
    <x v="4"/>
    <x v="3"/>
    <x v="1"/>
    <x v="0"/>
    <x v="0"/>
    <x v="2"/>
    <x v="5"/>
    <n v="0"/>
    <n v="0"/>
    <n v="49.747999999999998"/>
    <n v="49.747999999999998"/>
    <n v="49.747999999999998"/>
    <n v="49.747999999999998"/>
    <n v="48"/>
    <x v="0"/>
    <n v="0"/>
    <n v="0"/>
    <n v="35"/>
    <n v="62"/>
    <n v="0"/>
    <n v="312.64999999999998"/>
    <n v="249.25"/>
    <m/>
    <n v="380.10205337617623"/>
    <n v="135.84198201737277"/>
    <n v="0"/>
    <n v="15553.712199999998"/>
    <n v="12399.688999999998"/>
    <n v="0"/>
    <n v="18909.316951358014"/>
    <n v="6757.8669214002603"/>
  </r>
  <r>
    <s v="Regular"/>
    <x v="3"/>
    <x v="4"/>
    <x v="3"/>
    <x v="1"/>
    <x v="0"/>
    <x v="0"/>
    <x v="2"/>
    <x v="6"/>
    <n v="0"/>
    <n v="0"/>
    <n v="471.63200000000001"/>
    <n v="471.63200000000001"/>
    <n v="471.63200000000001"/>
    <n v="471.63200000000001"/>
    <n v="684"/>
    <x v="0"/>
    <n v="0"/>
    <n v="0"/>
    <n v="35"/>
    <n v="62"/>
    <n v="0"/>
    <n v="312.64999999999998"/>
    <n v="249.25"/>
    <m/>
    <n v="380.10205337617623"/>
    <n v="135.84198201737277"/>
    <n v="0"/>
    <n v="147455.74479999999"/>
    <n v="117554.276"/>
    <n v="0"/>
    <n v="179268.29163791274"/>
    <n v="64067.425662817557"/>
  </r>
  <r>
    <s v="Sistema de Compensação"/>
    <x v="3"/>
    <x v="4"/>
    <x v="3"/>
    <x v="1"/>
    <x v="0"/>
    <x v="0"/>
    <x v="2"/>
    <x v="6"/>
    <n v="0"/>
    <n v="0"/>
    <n v="48.302"/>
    <n v="48.302"/>
    <n v="48.302"/>
    <n v="48.302"/>
    <n v="49"/>
    <x v="0"/>
    <n v="0"/>
    <n v="0"/>
    <n v="35"/>
    <n v="62"/>
    <n v="0"/>
    <n v="312.64999999999998"/>
    <n v="249.25"/>
    <m/>
    <n v="380.10205337617623"/>
    <n v="135.84198201737277"/>
    <n v="0"/>
    <n v="15101.620299999999"/>
    <n v="12039.273499999999"/>
    <n v="0"/>
    <n v="18359.689382176064"/>
    <n v="6561.4394154031397"/>
  </r>
  <r>
    <s v="Regular"/>
    <x v="3"/>
    <x v="4"/>
    <x v="3"/>
    <x v="1"/>
    <x v="0"/>
    <x v="0"/>
    <x v="2"/>
    <x v="7"/>
    <n v="0"/>
    <n v="0"/>
    <n v="434.47199999999998"/>
    <n v="434.47199999999998"/>
    <n v="434.47199999999998"/>
    <n v="434.47199999999998"/>
    <n v="683"/>
    <x v="0"/>
    <n v="0"/>
    <n v="0"/>
    <n v="35"/>
    <n v="62"/>
    <n v="0"/>
    <n v="312.64999999999998"/>
    <n v="249.25"/>
    <m/>
    <n v="380.10205337617623"/>
    <n v="135.84198201737277"/>
    <n v="0"/>
    <n v="135837.67079999999"/>
    <n v="108292.14599999999"/>
    <n v="0"/>
    <n v="165143.69933445402"/>
    <n v="59019.537611051979"/>
  </r>
  <r>
    <s v="Sistema de Compensação"/>
    <x v="3"/>
    <x v="4"/>
    <x v="3"/>
    <x v="1"/>
    <x v="0"/>
    <x v="0"/>
    <x v="2"/>
    <x v="7"/>
    <n v="0"/>
    <n v="0"/>
    <n v="36.625999999999998"/>
    <n v="36.625999999999998"/>
    <n v="36.625999999999998"/>
    <n v="36.625999999999998"/>
    <n v="49"/>
    <x v="0"/>
    <n v="0"/>
    <n v="0"/>
    <n v="35"/>
    <n v="62"/>
    <n v="0"/>
    <n v="312.64999999999998"/>
    <n v="249.25"/>
    <m/>
    <n v="380.10205337617623"/>
    <n v="135.84198201737277"/>
    <n v="0"/>
    <n v="11451.118899999998"/>
    <n v="9129.0304999999989"/>
    <n v="0"/>
    <n v="13921.61780695583"/>
    <n v="4975.3484333682945"/>
  </r>
  <r>
    <s v="Regular"/>
    <x v="3"/>
    <x v="4"/>
    <x v="3"/>
    <x v="1"/>
    <x v="0"/>
    <x v="0"/>
    <x v="2"/>
    <x v="8"/>
    <n v="0"/>
    <n v="0"/>
    <n v="409.39"/>
    <n v="409.39"/>
    <n v="409.39"/>
    <n v="409.39"/>
    <n v="683"/>
    <x v="0"/>
    <n v="0"/>
    <n v="0"/>
    <n v="35"/>
    <n v="62"/>
    <n v="0"/>
    <n v="312.64999999999998"/>
    <n v="249.25"/>
    <m/>
    <n v="380.10205337617623"/>
    <n v="135.84198201737277"/>
    <n v="0"/>
    <n v="127995.78349999999"/>
    <n v="102040.45749999999"/>
    <n v="0"/>
    <n v="155609.97963167279"/>
    <n v="55612.349018092238"/>
  </r>
  <r>
    <s v="Sistema de Compensação"/>
    <x v="3"/>
    <x v="4"/>
    <x v="3"/>
    <x v="1"/>
    <x v="0"/>
    <x v="0"/>
    <x v="2"/>
    <x v="8"/>
    <n v="0"/>
    <n v="0"/>
    <n v="42.908999999999999"/>
    <n v="42.908999999999999"/>
    <n v="42.908999999999999"/>
    <n v="42.908999999999999"/>
    <n v="51"/>
    <x v="0"/>
    <n v="0"/>
    <n v="0"/>
    <n v="35"/>
    <n v="62"/>
    <n v="0"/>
    <n v="312.64999999999998"/>
    <n v="249.25"/>
    <m/>
    <n v="380.10205337617623"/>
    <n v="135.84198201737277"/>
    <n v="0"/>
    <n v="13415.498849999998"/>
    <n v="10695.06825"/>
    <n v="0"/>
    <n v="16309.799008318345"/>
    <n v="5828.8436063834479"/>
  </r>
  <r>
    <s v="Regular"/>
    <x v="3"/>
    <x v="4"/>
    <x v="3"/>
    <x v="1"/>
    <x v="0"/>
    <x v="0"/>
    <x v="2"/>
    <x v="9"/>
    <n v="0"/>
    <n v="0"/>
    <n v="431.96899999999999"/>
    <n v="431.96899999999999"/>
    <n v="431.96899999999999"/>
    <n v="431.96899999999999"/>
    <n v="677"/>
    <x v="0"/>
    <n v="0"/>
    <n v="0"/>
    <n v="35"/>
    <n v="62"/>
    <n v="0"/>
    <n v="312.64999999999998"/>
    <n v="249.25"/>
    <m/>
    <n v="380.10205337617623"/>
    <n v="135.84198201737277"/>
    <n v="0"/>
    <n v="135055.10785"/>
    <n v="107668.27325"/>
    <n v="0"/>
    <n v="164192.30389485348"/>
    <n v="58679.525130062495"/>
  </r>
  <r>
    <s v="Refaturamento - Regular"/>
    <x v="3"/>
    <x v="4"/>
    <x v="3"/>
    <x v="1"/>
    <x v="0"/>
    <x v="0"/>
    <x v="2"/>
    <x v="9"/>
    <n v="0"/>
    <n v="0"/>
    <n v="-1.4450000000000001"/>
    <n v="-1.4450000000000001"/>
    <n v="-1.4450000000000001"/>
    <n v="-1.4450000000000001"/>
    <n v="0"/>
    <x v="0"/>
    <n v="0"/>
    <n v="0"/>
    <n v="35"/>
    <n v="62"/>
    <n v="0"/>
    <n v="312.64999999999998"/>
    <n v="249.25"/>
    <m/>
    <n v="380.10205337617623"/>
    <n v="135.84198201737277"/>
    <n v="0"/>
    <n v="-451.77924999999999"/>
    <n v="-360.16624999999999"/>
    <n v="0"/>
    <n v="-549.24746712857473"/>
    <n v="-196.29166401510366"/>
  </r>
  <r>
    <s v="Sistema de Compensação"/>
    <x v="3"/>
    <x v="4"/>
    <x v="3"/>
    <x v="1"/>
    <x v="0"/>
    <x v="0"/>
    <x v="2"/>
    <x v="9"/>
    <n v="0"/>
    <n v="0"/>
    <n v="52.77"/>
    <n v="52.77"/>
    <n v="52.77"/>
    <n v="52.77"/>
    <n v="53"/>
    <x v="0"/>
    <n v="0"/>
    <n v="0"/>
    <n v="35"/>
    <n v="62"/>
    <n v="0"/>
    <n v="312.64999999999998"/>
    <n v="249.25"/>
    <m/>
    <n v="380.10205337617623"/>
    <n v="135.84198201737277"/>
    <n v="0"/>
    <n v="16498.540499999999"/>
    <n v="13152.922500000001"/>
    <n v="0"/>
    <n v="20057.985356660822"/>
    <n v="7168.3813910567615"/>
  </r>
  <r>
    <s v="Regular"/>
    <x v="3"/>
    <x v="4"/>
    <x v="3"/>
    <x v="1"/>
    <x v="0"/>
    <x v="0"/>
    <x v="2"/>
    <x v="10"/>
    <n v="0"/>
    <n v="0"/>
    <n v="417.428"/>
    <n v="417.428"/>
    <n v="417.428"/>
    <n v="417.428"/>
    <n v="675"/>
    <x v="0"/>
    <n v="0"/>
    <n v="0"/>
    <n v="35"/>
    <n v="62"/>
    <n v="0"/>
    <n v="312.64999999999998"/>
    <n v="249.25"/>
    <m/>
    <n v="380.10205337617623"/>
    <n v="135.84198201737277"/>
    <n v="0"/>
    <n v="130508.8642"/>
    <n v="104043.929"/>
    <n v="0"/>
    <n v="158665.23993671048"/>
    <n v="56704.246869547882"/>
  </r>
  <r>
    <s v="Regular"/>
    <x v="3"/>
    <x v="4"/>
    <x v="3"/>
    <x v="1"/>
    <x v="0"/>
    <x v="0"/>
    <x v="2"/>
    <x v="11"/>
    <n v="0"/>
    <n v="0"/>
    <n v="436.89299999999997"/>
    <n v="436.89299999999997"/>
    <n v="436.89299999999997"/>
    <n v="436.89299999999997"/>
    <n v="673"/>
    <x v="0"/>
    <n v="0"/>
    <n v="0"/>
    <n v="35"/>
    <n v="62"/>
    <n v="0"/>
    <n v="312.64999999999998"/>
    <n v="249.25"/>
    <m/>
    <n v="380.10205337617623"/>
    <n v="135.84198201737277"/>
    <n v="0"/>
    <n v="136594.59644999998"/>
    <n v="108895.58025"/>
    <n v="0"/>
    <n v="166063.92640567775"/>
    <n v="59348.411049516035"/>
  </r>
  <r>
    <s v="Sistema de Compensação"/>
    <x v="3"/>
    <x v="4"/>
    <x v="3"/>
    <x v="1"/>
    <x v="0"/>
    <x v="0"/>
    <x v="2"/>
    <x v="11"/>
    <n v="0"/>
    <n v="0"/>
    <n v="57.353999999999999"/>
    <n v="57.353999999999999"/>
    <n v="57.353999999999999"/>
    <n v="57.353999999999999"/>
    <n v="58"/>
    <x v="0"/>
    <n v="0"/>
    <n v="0"/>
    <n v="35"/>
    <n v="62"/>
    <n v="0"/>
    <n v="312.64999999999998"/>
    <n v="249.25"/>
    <m/>
    <n v="380.10205337617623"/>
    <n v="135.84198201737277"/>
    <n v="0"/>
    <n v="17931.728099999997"/>
    <n v="14295.4845"/>
    <n v="0"/>
    <n v="21800.37316933721"/>
    <n v="7791.0810366243977"/>
  </r>
  <r>
    <s v="Regular"/>
    <x v="3"/>
    <x v="4"/>
    <x v="4"/>
    <x v="1"/>
    <x v="0"/>
    <x v="0"/>
    <x v="2"/>
    <x v="0"/>
    <n v="0"/>
    <n v="0"/>
    <n v="99.13"/>
    <n v="99.13"/>
    <n v="99.13"/>
    <n v="99.13"/>
    <n v="156"/>
    <x v="0"/>
    <n v="0"/>
    <n v="0"/>
    <n v="35"/>
    <n v="62"/>
    <n v="0"/>
    <n v="312.64999999999998"/>
    <n v="249.25"/>
    <m/>
    <n v="380.10205337617623"/>
    <n v="135.84198201737277"/>
    <n v="0"/>
    <n v="30992.994499999997"/>
    <n v="24708.1525"/>
    <n v="0"/>
    <n v="37679.51655118035"/>
    <n v="13466.015677382162"/>
  </r>
  <r>
    <s v="Regular"/>
    <x v="3"/>
    <x v="4"/>
    <x v="4"/>
    <x v="1"/>
    <x v="0"/>
    <x v="0"/>
    <x v="2"/>
    <x v="1"/>
    <n v="0"/>
    <n v="0"/>
    <n v="104.185"/>
    <n v="104.185"/>
    <n v="104.185"/>
    <n v="104.185"/>
    <n v="167"/>
    <x v="0"/>
    <n v="0"/>
    <n v="0"/>
    <n v="35"/>
    <n v="62"/>
    <n v="0"/>
    <n v="312.64999999999998"/>
    <n v="249.25"/>
    <m/>
    <n v="380.10205337617623"/>
    <n v="135.84198201737277"/>
    <n v="0"/>
    <n v="32573.44025"/>
    <n v="25968.111250000002"/>
    <n v="0"/>
    <n v="39600.932430996923"/>
    <n v="14152.696896479982"/>
  </r>
  <r>
    <s v="Regular"/>
    <x v="3"/>
    <x v="4"/>
    <x v="4"/>
    <x v="1"/>
    <x v="0"/>
    <x v="0"/>
    <x v="2"/>
    <x v="2"/>
    <n v="0"/>
    <n v="0"/>
    <n v="134.24700000000001"/>
    <n v="134.24700000000001"/>
    <n v="134.24700000000001"/>
    <n v="134.24700000000001"/>
    <n v="167"/>
    <x v="0"/>
    <n v="0"/>
    <n v="0"/>
    <n v="35"/>
    <n v="62"/>
    <n v="0"/>
    <n v="312.64999999999998"/>
    <n v="249.25"/>
    <m/>
    <n v="380.10205337617623"/>
    <n v="135.84198201737277"/>
    <n v="0"/>
    <n v="41972.324550000005"/>
    <n v="33461.064750000005"/>
    <n v="0"/>
    <n v="51027.560359591538"/>
    <n v="18236.378559886245"/>
  </r>
  <r>
    <s v="Regular"/>
    <x v="3"/>
    <x v="4"/>
    <x v="4"/>
    <x v="1"/>
    <x v="0"/>
    <x v="0"/>
    <x v="2"/>
    <x v="3"/>
    <n v="0"/>
    <n v="0"/>
    <n v="137.59899999999999"/>
    <n v="137.59899999999999"/>
    <n v="137.59899999999999"/>
    <n v="137.59899999999999"/>
    <n v="167"/>
    <x v="0"/>
    <n v="0"/>
    <n v="0"/>
    <n v="35"/>
    <n v="62"/>
    <n v="0"/>
    <n v="312.64999999999998"/>
    <n v="249.25"/>
    <m/>
    <n v="380.10205337617623"/>
    <n v="135.84198201737277"/>
    <n v="0"/>
    <n v="43020.327349999992"/>
    <n v="34296.550749999995"/>
    <n v="0"/>
    <n v="52301.662442508466"/>
    <n v="18691.720883608476"/>
  </r>
  <r>
    <s v="Regular"/>
    <x v="3"/>
    <x v="4"/>
    <x v="4"/>
    <x v="1"/>
    <x v="0"/>
    <x v="0"/>
    <x v="2"/>
    <x v="4"/>
    <n v="0"/>
    <n v="0"/>
    <n v="112.33499999999999"/>
    <n v="112.33499999999999"/>
    <n v="112.33499999999999"/>
    <n v="112.33499999999999"/>
    <n v="167"/>
    <x v="0"/>
    <n v="0"/>
    <n v="0"/>
    <n v="35"/>
    <n v="62"/>
    <n v="0"/>
    <n v="312.64999999999998"/>
    <n v="249.25"/>
    <m/>
    <n v="380.10205337617623"/>
    <n v="135.84198201737277"/>
    <n v="0"/>
    <n v="35121.537749999996"/>
    <n v="27999.498749999999"/>
    <n v="0"/>
    <n v="42698.764166012756"/>
    <n v="15259.809049921569"/>
  </r>
  <r>
    <s v="Regular"/>
    <x v="3"/>
    <x v="4"/>
    <x v="4"/>
    <x v="1"/>
    <x v="0"/>
    <x v="0"/>
    <x v="2"/>
    <x v="5"/>
    <n v="0"/>
    <n v="0"/>
    <n v="166.108"/>
    <n v="166.108"/>
    <n v="166.108"/>
    <n v="166.108"/>
    <n v="168"/>
    <x v="0"/>
    <n v="0"/>
    <n v="0"/>
    <n v="35"/>
    <n v="62"/>
    <n v="0"/>
    <n v="312.64999999999998"/>
    <n v="249.25"/>
    <m/>
    <n v="380.10205337617623"/>
    <n v="135.84198201737277"/>
    <n v="0"/>
    <n v="51933.6662"/>
    <n v="41402.419000000002"/>
    <n v="0"/>
    <n v="63137.991882209884"/>
    <n v="22564.439948941756"/>
  </r>
  <r>
    <s v="Regular"/>
    <x v="3"/>
    <x v="4"/>
    <x v="4"/>
    <x v="1"/>
    <x v="0"/>
    <x v="0"/>
    <x v="2"/>
    <x v="6"/>
    <n v="0"/>
    <n v="0"/>
    <n v="181.74299999999999"/>
    <n v="181.74299999999999"/>
    <n v="181.74299999999999"/>
    <n v="181.74299999999999"/>
    <n v="168"/>
    <x v="0"/>
    <n v="0"/>
    <n v="0"/>
    <n v="35"/>
    <n v="62"/>
    <n v="0"/>
    <n v="312.64999999999998"/>
    <n v="249.25"/>
    <m/>
    <n v="380.10205337617623"/>
    <n v="135.84198201737277"/>
    <n v="0"/>
    <n v="56821.948949999991"/>
    <n v="45299.442750000002"/>
    <n v="0"/>
    <n v="69080.887486746389"/>
    <n v="24688.32933778338"/>
  </r>
  <r>
    <s v="Regular"/>
    <x v="3"/>
    <x v="4"/>
    <x v="4"/>
    <x v="1"/>
    <x v="0"/>
    <x v="0"/>
    <x v="2"/>
    <x v="7"/>
    <n v="0"/>
    <n v="0"/>
    <n v="126.41500000000001"/>
    <n v="126.41500000000001"/>
    <n v="126.41500000000001"/>
    <n v="126.41500000000001"/>
    <n v="167"/>
    <x v="0"/>
    <n v="0"/>
    <n v="0"/>
    <n v="35"/>
    <n v="62"/>
    <n v="0"/>
    <n v="312.64999999999998"/>
    <n v="249.25"/>
    <m/>
    <n v="380.10205337617623"/>
    <n v="135.84198201737277"/>
    <n v="0"/>
    <n v="39523.649749999997"/>
    <n v="31508.938750000001"/>
    <n v="0"/>
    <n v="48050.60107754932"/>
    <n v="17172.464156726179"/>
  </r>
  <r>
    <s v="Regular"/>
    <x v="3"/>
    <x v="4"/>
    <x v="4"/>
    <x v="1"/>
    <x v="0"/>
    <x v="0"/>
    <x v="2"/>
    <x v="8"/>
    <n v="0"/>
    <n v="0"/>
    <n v="108.601"/>
    <n v="108.601"/>
    <n v="108.601"/>
    <n v="108.601"/>
    <n v="167"/>
    <x v="0"/>
    <n v="0"/>
    <n v="0"/>
    <n v="35"/>
    <n v="62"/>
    <n v="0"/>
    <n v="312.64999999999998"/>
    <n v="249.25"/>
    <m/>
    <n v="380.10205337617623"/>
    <n v="135.84198201737277"/>
    <n v="0"/>
    <n v="33954.102650000001"/>
    <n v="27068.79925"/>
    <n v="0"/>
    <n v="41279.463098706117"/>
    <n v="14752.5750890687"/>
  </r>
  <r>
    <s v="Regular"/>
    <x v="3"/>
    <x v="4"/>
    <x v="4"/>
    <x v="1"/>
    <x v="0"/>
    <x v="0"/>
    <x v="2"/>
    <x v="9"/>
    <n v="0"/>
    <n v="0"/>
    <n v="111.941"/>
    <n v="111.941"/>
    <n v="111.941"/>
    <n v="111.941"/>
    <n v="168"/>
    <x v="0"/>
    <n v="0"/>
    <n v="0"/>
    <n v="35"/>
    <n v="62"/>
    <n v="0"/>
    <n v="312.64999999999998"/>
    <n v="249.25"/>
    <m/>
    <n v="380.10205337617623"/>
    <n v="135.84198201737277"/>
    <n v="0"/>
    <n v="34998.353649999997"/>
    <n v="27901.294249999999"/>
    <n v="0"/>
    <n v="42549.003956982546"/>
    <n v="15206.287309006726"/>
  </r>
  <r>
    <s v="Regular"/>
    <x v="3"/>
    <x v="4"/>
    <x v="4"/>
    <x v="1"/>
    <x v="0"/>
    <x v="0"/>
    <x v="2"/>
    <x v="10"/>
    <n v="0"/>
    <n v="0"/>
    <n v="132.96600000000001"/>
    <n v="132.96600000000001"/>
    <n v="132.96600000000001"/>
    <n v="132.96600000000001"/>
    <n v="168"/>
    <x v="0"/>
    <n v="0"/>
    <n v="0"/>
    <n v="35"/>
    <n v="62"/>
    <n v="0"/>
    <n v="312.64999999999998"/>
    <n v="249.25"/>
    <m/>
    <n v="380.10205337617623"/>
    <n v="135.84198201737277"/>
    <n v="0"/>
    <n v="41571.819900000002"/>
    <n v="33141.775500000003"/>
    <n v="0"/>
    <n v="50540.649629216648"/>
    <n v="18062.36498092199"/>
  </r>
  <r>
    <s v="Regular"/>
    <x v="3"/>
    <x v="4"/>
    <x v="4"/>
    <x v="1"/>
    <x v="0"/>
    <x v="0"/>
    <x v="2"/>
    <x v="11"/>
    <n v="0"/>
    <n v="0"/>
    <n v="107.05800000000001"/>
    <n v="107.05800000000001"/>
    <n v="107.05800000000001"/>
    <n v="107.05800000000001"/>
    <n v="178"/>
    <x v="0"/>
    <n v="0"/>
    <n v="0"/>
    <n v="35"/>
    <n v="62"/>
    <n v="0"/>
    <n v="312.64999999999998"/>
    <n v="249.25"/>
    <m/>
    <n v="380.10205337617623"/>
    <n v="135.84198201737277"/>
    <n v="0"/>
    <n v="33471.683700000001"/>
    <n v="26684.2065"/>
    <n v="0"/>
    <n v="40692.965630346676"/>
    <n v="14542.970910815895"/>
  </r>
  <r>
    <s v="Regular"/>
    <x v="3"/>
    <x v="4"/>
    <x v="0"/>
    <x v="0"/>
    <x v="0"/>
    <x v="0"/>
    <x v="2"/>
    <x v="0"/>
    <n v="0"/>
    <n v="0"/>
    <n v="16.821000000000002"/>
    <n v="16.821000000000002"/>
    <n v="16.821000000000002"/>
    <n v="16.821000000000002"/>
    <n v="12"/>
    <x v="0"/>
    <n v="0"/>
    <n v="0"/>
    <n v="35"/>
    <n v="62"/>
    <n v="0"/>
    <n v="293.89099999999996"/>
    <n v="234.29499999999999"/>
    <m/>
    <n v="368.69899177489094"/>
    <n v="131.76672255685159"/>
    <n v="0"/>
    <n v="4943.5405110000002"/>
    <n v="3941.0761950000001"/>
    <n v="0"/>
    <n v="6201.8857406454408"/>
    <n v="2216.4480401288006"/>
  </r>
  <r>
    <s v="Regular"/>
    <x v="3"/>
    <x v="4"/>
    <x v="0"/>
    <x v="0"/>
    <x v="0"/>
    <x v="0"/>
    <x v="2"/>
    <x v="1"/>
    <n v="0"/>
    <n v="0"/>
    <n v="17.177"/>
    <n v="17.177"/>
    <n v="17.177"/>
    <n v="17.177"/>
    <n v="12"/>
    <x v="0"/>
    <n v="0"/>
    <n v="0"/>
    <n v="35"/>
    <n v="62"/>
    <n v="0"/>
    <n v="293.89099999999996"/>
    <n v="234.29499999999999"/>
    <m/>
    <n v="368.69899177489094"/>
    <n v="131.76672255685159"/>
    <n v="0"/>
    <n v="5048.1657069999992"/>
    <n v="4024.4852149999997"/>
    <n v="0"/>
    <n v="6333.1425817173013"/>
    <n v="2263.3569933590397"/>
  </r>
  <r>
    <s v="Regular"/>
    <x v="3"/>
    <x v="4"/>
    <x v="0"/>
    <x v="0"/>
    <x v="0"/>
    <x v="0"/>
    <x v="2"/>
    <x v="2"/>
    <n v="0"/>
    <n v="0"/>
    <n v="18.698"/>
    <n v="18.698"/>
    <n v="18.698"/>
    <n v="18.698"/>
    <n v="12"/>
    <x v="0"/>
    <n v="0"/>
    <n v="0"/>
    <n v="35"/>
    <n v="62"/>
    <n v="0"/>
    <n v="293.89099999999996"/>
    <n v="234.29499999999999"/>
    <m/>
    <n v="368.69899177489094"/>
    <n v="131.76672255685159"/>
    <n v="0"/>
    <n v="5495.1739179999995"/>
    <n v="4380.8479099999995"/>
    <n v="0"/>
    <n v="6893.9337482069113"/>
    <n v="2463.7741783680112"/>
  </r>
  <r>
    <s v="Regular"/>
    <x v="3"/>
    <x v="4"/>
    <x v="0"/>
    <x v="0"/>
    <x v="0"/>
    <x v="0"/>
    <x v="2"/>
    <x v="3"/>
    <n v="0"/>
    <n v="0"/>
    <n v="18.474"/>
    <n v="18.474"/>
    <n v="18.474"/>
    <n v="18.474"/>
    <n v="12"/>
    <x v="0"/>
    <n v="0"/>
    <n v="0"/>
    <n v="35"/>
    <n v="62"/>
    <n v="0"/>
    <n v="293.89099999999996"/>
    <n v="234.29499999999999"/>
    <m/>
    <n v="368.69899177489094"/>
    <n v="131.76672255685159"/>
    <n v="0"/>
    <n v="5429.342333999999"/>
    <n v="4328.3658299999997"/>
    <n v="0"/>
    <n v="6811.3451740493356"/>
    <n v="2434.2584325152761"/>
  </r>
  <r>
    <s v="Regular"/>
    <x v="3"/>
    <x v="4"/>
    <x v="0"/>
    <x v="0"/>
    <x v="0"/>
    <x v="0"/>
    <x v="2"/>
    <x v="4"/>
    <n v="0"/>
    <n v="0"/>
    <n v="17.599"/>
    <n v="17.599"/>
    <n v="17.599"/>
    <n v="17.599"/>
    <n v="12"/>
    <x v="0"/>
    <n v="0"/>
    <n v="0"/>
    <n v="35"/>
    <n v="62"/>
    <n v="0"/>
    <n v="293.89099999999996"/>
    <n v="234.29499999999999"/>
    <m/>
    <n v="368.69899177489094"/>
    <n v="131.76672255685159"/>
    <n v="0"/>
    <n v="5172.1877089999998"/>
    <n v="4123.3577049999994"/>
    <n v="0"/>
    <n v="6488.7335562463059"/>
    <n v="2318.9625502780314"/>
  </r>
  <r>
    <s v="Regular"/>
    <x v="3"/>
    <x v="4"/>
    <x v="0"/>
    <x v="0"/>
    <x v="0"/>
    <x v="0"/>
    <x v="2"/>
    <x v="5"/>
    <n v="0"/>
    <n v="0"/>
    <n v="18.004000000000001"/>
    <n v="18.004000000000001"/>
    <n v="18.004000000000001"/>
    <n v="18.004000000000001"/>
    <n v="12"/>
    <x v="0"/>
    <n v="0"/>
    <n v="0"/>
    <n v="35"/>
    <n v="62"/>
    <n v="0"/>
    <n v="293.89099999999996"/>
    <n v="234.29499999999999"/>
    <m/>
    <n v="368.69899177489094"/>
    <n v="131.76672255685159"/>
    <n v="0"/>
    <n v="5291.2135639999997"/>
    <n v="4218.2471800000003"/>
    <n v="0"/>
    <n v="6638.0566479151366"/>
    <n v="2372.3280729135563"/>
  </r>
  <r>
    <s v="Regular"/>
    <x v="3"/>
    <x v="4"/>
    <x v="0"/>
    <x v="0"/>
    <x v="0"/>
    <x v="0"/>
    <x v="2"/>
    <x v="6"/>
    <n v="0"/>
    <n v="0"/>
    <n v="17.201000000000001"/>
    <n v="17.201000000000001"/>
    <n v="17.201000000000001"/>
    <n v="17.201000000000001"/>
    <n v="12"/>
    <x v="0"/>
    <n v="0"/>
    <n v="0"/>
    <n v="35"/>
    <n v="62"/>
    <n v="0"/>
    <n v="293.89099999999996"/>
    <n v="234.29499999999999"/>
    <m/>
    <n v="368.69899177489094"/>
    <n v="131.76672255685159"/>
    <n v="0"/>
    <n v="5055.2190909999999"/>
    <n v="4030.108295"/>
    <n v="0"/>
    <n v="6341.9913575198989"/>
    <n v="2266.5193947004041"/>
  </r>
  <r>
    <s v="Regular"/>
    <x v="3"/>
    <x v="4"/>
    <x v="0"/>
    <x v="0"/>
    <x v="0"/>
    <x v="0"/>
    <x v="2"/>
    <x v="7"/>
    <n v="0"/>
    <n v="0"/>
    <n v="19.294"/>
    <n v="19.294"/>
    <n v="19.294"/>
    <n v="19.294"/>
    <n v="12"/>
    <x v="0"/>
    <n v="0"/>
    <n v="0"/>
    <n v="35"/>
    <n v="62"/>
    <n v="0"/>
    <n v="293.89099999999996"/>
    <n v="234.29499999999999"/>
    <m/>
    <n v="368.69899177489094"/>
    <n v="131.76672255685159"/>
    <n v="0"/>
    <n v="5670.3329539999995"/>
    <n v="4520.4877299999998"/>
    <n v="0"/>
    <n v="7113.6783473047462"/>
    <n v="2542.3071450118946"/>
  </r>
  <r>
    <s v="Regular"/>
    <x v="3"/>
    <x v="4"/>
    <x v="0"/>
    <x v="0"/>
    <x v="0"/>
    <x v="0"/>
    <x v="2"/>
    <x v="8"/>
    <n v="0"/>
    <n v="0"/>
    <n v="18.248999999999999"/>
    <n v="18.248999999999999"/>
    <n v="18.248999999999999"/>
    <n v="18.248999999999999"/>
    <n v="12"/>
    <x v="0"/>
    <n v="0"/>
    <n v="0"/>
    <n v="35"/>
    <n v="62"/>
    <n v="0"/>
    <n v="293.89099999999996"/>
    <n v="234.29499999999999"/>
    <m/>
    <n v="368.69899177489094"/>
    <n v="131.76672255685159"/>
    <n v="0"/>
    <n v="5363.2168589999992"/>
    <n v="4275.6494549999998"/>
    <n v="0"/>
    <n v="6728.3879008999847"/>
    <n v="2404.6109199399843"/>
  </r>
  <r>
    <s v="Regular"/>
    <x v="3"/>
    <x v="4"/>
    <x v="0"/>
    <x v="0"/>
    <x v="0"/>
    <x v="0"/>
    <x v="2"/>
    <x v="9"/>
    <n v="0"/>
    <n v="0"/>
    <n v="19.920999999999999"/>
    <n v="19.920999999999999"/>
    <n v="19.920999999999999"/>
    <n v="19.920999999999999"/>
    <n v="12"/>
    <x v="0"/>
    <n v="0"/>
    <n v="0"/>
    <n v="35"/>
    <n v="62"/>
    <n v="0"/>
    <n v="293.89099999999996"/>
    <n v="234.29499999999999"/>
    <m/>
    <n v="368.69899177489094"/>
    <n v="131.76672255685159"/>
    <n v="0"/>
    <n v="5854.6026109999993"/>
    <n v="4667.3906950000001"/>
    <n v="0"/>
    <n v="7344.8526151476026"/>
    <n v="2624.9248800550404"/>
  </r>
  <r>
    <s v="Regular"/>
    <x v="3"/>
    <x v="4"/>
    <x v="0"/>
    <x v="0"/>
    <x v="0"/>
    <x v="0"/>
    <x v="2"/>
    <x v="10"/>
    <n v="0"/>
    <n v="0"/>
    <n v="19.454999999999998"/>
    <n v="19.454999999999998"/>
    <n v="19.454999999999998"/>
    <n v="19.454999999999998"/>
    <n v="12"/>
    <x v="0"/>
    <n v="0"/>
    <n v="0"/>
    <n v="35"/>
    <n v="62"/>
    <n v="0"/>
    <n v="293.89099999999996"/>
    <n v="234.29499999999999"/>
    <m/>
    <n v="368.69899177489094"/>
    <n v="131.76672255685159"/>
    <n v="0"/>
    <n v="5717.6494049999992"/>
    <n v="4558.2092249999996"/>
    <n v="0"/>
    <n v="7173.0388849805031"/>
    <n v="2563.5215873435473"/>
  </r>
  <r>
    <s v="Regular"/>
    <x v="3"/>
    <x v="4"/>
    <x v="0"/>
    <x v="0"/>
    <x v="0"/>
    <x v="0"/>
    <x v="2"/>
    <x v="11"/>
    <n v="0"/>
    <n v="0"/>
    <n v="19.423999999999999"/>
    <n v="19.423999999999999"/>
    <n v="19.423999999999999"/>
    <n v="19.423999999999999"/>
    <n v="12"/>
    <x v="0"/>
    <n v="0"/>
    <n v="0"/>
    <n v="35"/>
    <n v="62"/>
    <n v="0"/>
    <n v="293.89099999999996"/>
    <n v="234.29499999999999"/>
    <m/>
    <n v="368.69899177489094"/>
    <n v="131.76672255685159"/>
    <n v="0"/>
    <n v="5708.5387839999994"/>
    <n v="4550.9460799999997"/>
    <n v="0"/>
    <n v="7161.6092162354817"/>
    <n v="2559.4368189442853"/>
  </r>
  <r>
    <s v="Regular"/>
    <x v="4"/>
    <x v="4"/>
    <x v="8"/>
    <x v="9"/>
    <x v="0"/>
    <x v="0"/>
    <x v="2"/>
    <x v="0"/>
    <n v="0"/>
    <n v="0"/>
    <n v="476.20100000000002"/>
    <n v="476.20100000000002"/>
    <n v="476.20100000000002"/>
    <n v="476.20100000000002"/>
    <n v="3"/>
    <x v="0"/>
    <n v="0"/>
    <n v="0"/>
    <n v="33"/>
    <n v="81"/>
    <n v="0"/>
    <n v="171.96"/>
    <n v="137.09"/>
    <m/>
    <n v="209.05612935689695"/>
    <n v="74.71309010955504"/>
    <n v="0"/>
    <n v="81887.523960000006"/>
    <n v="65282.395090000005"/>
    <n v="0"/>
    <n v="99552.737855883694"/>
    <n v="35578.448223260224"/>
  </r>
  <r>
    <s v="Regular"/>
    <x v="4"/>
    <x v="4"/>
    <x v="8"/>
    <x v="9"/>
    <x v="0"/>
    <x v="0"/>
    <x v="2"/>
    <x v="1"/>
    <n v="0"/>
    <n v="0"/>
    <n v="476.90100000000001"/>
    <n v="476.90100000000001"/>
    <n v="476.90100000000001"/>
    <n v="476.90100000000001"/>
    <n v="3"/>
    <x v="0"/>
    <n v="0"/>
    <n v="0"/>
    <n v="33"/>
    <n v="81"/>
    <n v="0"/>
    <n v="171.96"/>
    <n v="137.09"/>
    <m/>
    <n v="209.05612935689695"/>
    <n v="74.71309010955504"/>
    <n v="0"/>
    <n v="82007.895960000009"/>
    <n v="65378.358090000002"/>
    <n v="0"/>
    <n v="99699.077146433512"/>
    <n v="35630.747386336909"/>
  </r>
  <r>
    <s v="Regular"/>
    <x v="4"/>
    <x v="4"/>
    <x v="8"/>
    <x v="9"/>
    <x v="0"/>
    <x v="0"/>
    <x v="2"/>
    <x v="2"/>
    <n v="0"/>
    <n v="0"/>
    <n v="457.16300000000001"/>
    <n v="457.16300000000001"/>
    <n v="457.16300000000001"/>
    <n v="457.16300000000001"/>
    <n v="3"/>
    <x v="0"/>
    <n v="0"/>
    <n v="0"/>
    <n v="33"/>
    <n v="81"/>
    <n v="0"/>
    <n v="171.96"/>
    <n v="137.09"/>
    <m/>
    <n v="209.05612935689695"/>
    <n v="74.71309010955504"/>
    <n v="0"/>
    <n v="78613.749479999999"/>
    <n v="62672.47567"/>
    <n v="0"/>
    <n v="95572.727265187088"/>
    <n v="34156.060413754509"/>
  </r>
  <r>
    <s v="Regular"/>
    <x v="4"/>
    <x v="4"/>
    <x v="8"/>
    <x v="9"/>
    <x v="0"/>
    <x v="0"/>
    <x v="2"/>
    <x v="3"/>
    <n v="0"/>
    <n v="0"/>
    <n v="437.16899999999998"/>
    <n v="437.16899999999998"/>
    <n v="437.16899999999998"/>
    <n v="437.16899999999998"/>
    <n v="3"/>
    <x v="0"/>
    <n v="0"/>
    <n v="0"/>
    <n v="33"/>
    <n v="81"/>
    <n v="0"/>
    <n v="171.96"/>
    <n v="137.09"/>
    <m/>
    <n v="209.05612935689695"/>
    <n v="74.71309010955504"/>
    <n v="0"/>
    <n v="75175.58124"/>
    <n v="59931.498209999998"/>
    <n v="0"/>
    <n v="91392.859014825284"/>
    <n v="32662.246890104067"/>
  </r>
  <r>
    <s v="Regular"/>
    <x v="4"/>
    <x v="4"/>
    <x v="8"/>
    <x v="9"/>
    <x v="0"/>
    <x v="0"/>
    <x v="2"/>
    <x v="4"/>
    <n v="0"/>
    <n v="0"/>
    <n v="409.19"/>
    <n v="409.19"/>
    <n v="409.19"/>
    <n v="409.19"/>
    <n v="3"/>
    <x v="0"/>
    <n v="0"/>
    <n v="0"/>
    <n v="33"/>
    <n v="81"/>
    <n v="0"/>
    <n v="171.96"/>
    <n v="137.09"/>
    <m/>
    <n v="209.05612935689695"/>
    <n v="74.71309010955504"/>
    <n v="0"/>
    <n v="70364.31240000001"/>
    <n v="56095.857100000001"/>
    <n v="0"/>
    <n v="85543.677571548658"/>
    <n v="30571.849341928828"/>
  </r>
  <r>
    <s v="Regular"/>
    <x v="4"/>
    <x v="4"/>
    <x v="8"/>
    <x v="9"/>
    <x v="0"/>
    <x v="0"/>
    <x v="2"/>
    <x v="5"/>
    <n v="0"/>
    <n v="0"/>
    <n v="372.28399999999999"/>
    <n v="372.28399999999999"/>
    <n v="372.28399999999999"/>
    <n v="372.28399999999999"/>
    <n v="3"/>
    <x v="0"/>
    <n v="0"/>
    <n v="0"/>
    <n v="33"/>
    <n v="81"/>
    <n v="0"/>
    <n v="171.96"/>
    <n v="137.09"/>
    <m/>
    <n v="209.05612935689695"/>
    <n v="74.71309010955504"/>
    <n v="0"/>
    <n v="64017.956640000004"/>
    <n v="51036.413560000001"/>
    <n v="0"/>
    <n v="77828.252061503023"/>
    <n v="27814.488038345589"/>
  </r>
  <r>
    <s v="Regular"/>
    <x v="4"/>
    <x v="4"/>
    <x v="8"/>
    <x v="9"/>
    <x v="0"/>
    <x v="0"/>
    <x v="2"/>
    <x v="6"/>
    <n v="0"/>
    <n v="0"/>
    <n v="349.851"/>
    <n v="349.851"/>
    <n v="349.851"/>
    <n v="349.851"/>
    <n v="3"/>
    <x v="0"/>
    <n v="0"/>
    <n v="0"/>
    <n v="33"/>
    <n v="81"/>
    <n v="0"/>
    <n v="171.96"/>
    <n v="137.09"/>
    <m/>
    <n v="209.05612935689695"/>
    <n v="74.71309010955504"/>
    <n v="0"/>
    <n v="60160.377960000005"/>
    <n v="47961.07359"/>
    <n v="0"/>
    <n v="73138.495911639751"/>
    <n v="26138.449287917942"/>
  </r>
  <r>
    <s v="Regular"/>
    <x v="4"/>
    <x v="4"/>
    <x v="8"/>
    <x v="9"/>
    <x v="0"/>
    <x v="0"/>
    <x v="2"/>
    <x v="7"/>
    <n v="0"/>
    <n v="0"/>
    <n v="308.34399999999999"/>
    <n v="308.34399999999999"/>
    <n v="308.34399999999999"/>
    <n v="308.34399999999999"/>
    <n v="3"/>
    <x v="0"/>
    <n v="0"/>
    <n v="0"/>
    <n v="33"/>
    <n v="81"/>
    <n v="0"/>
    <n v="171.96"/>
    <n v="137.09"/>
    <m/>
    <n v="209.05612935689695"/>
    <n v="74.71309010955504"/>
    <n v="0"/>
    <n v="53022.834240000004"/>
    <n v="42270.878960000002"/>
    <n v="0"/>
    <n v="64461.203150423033"/>
    <n v="23037.333056740637"/>
  </r>
  <r>
    <s v="Regular"/>
    <x v="4"/>
    <x v="4"/>
    <x v="8"/>
    <x v="9"/>
    <x v="0"/>
    <x v="0"/>
    <x v="2"/>
    <x v="8"/>
    <n v="0"/>
    <n v="0"/>
    <n v="313.791"/>
    <n v="313.791"/>
    <n v="313.791"/>
    <n v="313.791"/>
    <n v="3"/>
    <x v="0"/>
    <n v="0"/>
    <n v="0"/>
    <n v="33"/>
    <n v="81"/>
    <n v="0"/>
    <n v="171.96"/>
    <n v="137.09"/>
    <m/>
    <n v="209.05612935689695"/>
    <n v="74.71309010955504"/>
    <n v="0"/>
    <n v="53959.500360000005"/>
    <n v="43017.608189999999"/>
    <n v="0"/>
    <n v="65599.931887030049"/>
    <n v="23444.295258567385"/>
  </r>
  <r>
    <s v="Regular"/>
    <x v="4"/>
    <x v="4"/>
    <x v="8"/>
    <x v="9"/>
    <x v="0"/>
    <x v="0"/>
    <x v="2"/>
    <x v="9"/>
    <n v="0"/>
    <n v="0"/>
    <n v="308.44099999999997"/>
    <n v="308.44099999999997"/>
    <n v="308.44099999999997"/>
    <n v="308.44099999999997"/>
    <n v="3"/>
    <x v="0"/>
    <n v="0"/>
    <n v="0"/>
    <n v="33"/>
    <n v="81"/>
    <n v="0"/>
    <n v="171.96"/>
    <n v="137.09"/>
    <m/>
    <n v="209.05612935689695"/>
    <n v="74.71309010955504"/>
    <n v="0"/>
    <n v="53039.514360000001"/>
    <n v="42284.17669"/>
    <n v="0"/>
    <n v="64481.481594970646"/>
    <n v="23044.580226481263"/>
  </r>
  <r>
    <s v="Regular"/>
    <x v="4"/>
    <x v="4"/>
    <x v="8"/>
    <x v="9"/>
    <x v="0"/>
    <x v="0"/>
    <x v="2"/>
    <x v="10"/>
    <n v="0"/>
    <n v="0"/>
    <n v="318.589"/>
    <n v="318.589"/>
    <n v="318.589"/>
    <n v="318.589"/>
    <n v="3"/>
    <x v="0"/>
    <n v="0"/>
    <n v="0"/>
    <n v="33"/>
    <n v="81"/>
    <n v="0"/>
    <n v="171.96"/>
    <n v="137.09"/>
    <m/>
    <n v="209.05612935689695"/>
    <n v="74.71309010955504"/>
    <n v="0"/>
    <n v="54784.564440000002"/>
    <n v="43675.366009999998"/>
    <n v="0"/>
    <n v="66602.983195684443"/>
    <n v="23802.76866491303"/>
  </r>
  <r>
    <s v="Regular"/>
    <x v="4"/>
    <x v="4"/>
    <x v="8"/>
    <x v="9"/>
    <x v="0"/>
    <x v="0"/>
    <x v="2"/>
    <x v="11"/>
    <n v="0"/>
    <n v="0"/>
    <n v="319.55200000000002"/>
    <n v="319.55200000000002"/>
    <n v="319.55200000000002"/>
    <n v="319.55200000000002"/>
    <n v="3"/>
    <x v="0"/>
    <n v="0"/>
    <n v="0"/>
    <n v="33"/>
    <n v="81"/>
    <n v="0"/>
    <n v="171.96"/>
    <n v="137.09"/>
    <m/>
    <n v="209.05612935689695"/>
    <n v="74.71309010955504"/>
    <n v="0"/>
    <n v="54950.161920000006"/>
    <n v="43807.383680000006"/>
    <n v="0"/>
    <n v="66804.304248255139"/>
    <n v="23874.7173706885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9FFC6-23A9-49F6-8C35-EDB951CAEF00}" name="Efeito Resumo" cacheId="4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8" firstHeaderRow="0" firstDataRow="1" firstDataCol="1"/>
  <pivotFields count="36">
    <pivotField showAll="0"/>
    <pivotField axis="axisRow" showAll="0">
      <items count="6">
        <item sd="0" x="0"/>
        <item x="1"/>
        <item x="2"/>
        <item x="3"/>
        <item x="4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axis="axisRow" showAll="0">
      <items count="10">
        <item x="2"/>
        <item x="7"/>
        <item x="8"/>
        <item x="3"/>
        <item x="1"/>
        <item x="4"/>
        <item x="5"/>
        <item x="6"/>
        <item x="0"/>
        <item t="default"/>
      </items>
    </pivotField>
    <pivotField axis="axisRow" showAll="0">
      <items count="11">
        <item x="7"/>
        <item x="0"/>
        <item x="8"/>
        <item x="9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1"/>
        <item x="2"/>
        <item x="3"/>
        <item x="4"/>
        <item x="0"/>
        <item t="default"/>
      </items>
    </pivotField>
    <pivotField axis="axisRow" showAll="0">
      <items count="7">
        <item x="1"/>
        <item x="5"/>
        <item x="3"/>
        <item x="0"/>
        <item x="4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5">
        <item sd="0" x="0"/>
        <item x="2"/>
        <item x="3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7">
    <i>
      <x/>
    </i>
    <i>
      <x v="1"/>
    </i>
    <i r="1">
      <x/>
    </i>
    <i>
      <x v="2"/>
    </i>
    <i r="1">
      <x/>
    </i>
    <i>
      <x v="3"/>
    </i>
    <i r="1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314">
    <format dxfId="68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8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8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8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85">
      <pivotArea type="all" dataOnly="0" outline="0" fieldPosition="0"/>
    </format>
    <format dxfId="684">
      <pivotArea outline="0" collapsedLevelsAreSubtotals="1" fieldPosition="0"/>
    </format>
    <format dxfId="683">
      <pivotArea field="16" type="button" dataOnly="0" labelOnly="1" outline="0" axis="axisRow" fieldPosition="0"/>
    </format>
    <format dxfId="682">
      <pivotArea dataOnly="0" labelOnly="1" fieldPosition="0">
        <references count="1">
          <reference field="16" count="0"/>
        </references>
      </pivotArea>
    </format>
    <format dxfId="68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8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79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678">
      <pivotArea dataOnly="0" labelOnly="1" fieldPosition="0">
        <references count="2">
          <reference field="1" count="1">
            <x v="0"/>
          </reference>
          <reference field="16" count="1" selected="0">
            <x v="3"/>
          </reference>
        </references>
      </pivotArea>
    </format>
    <format dxfId="67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0"/>
          </reference>
        </references>
      </pivotArea>
    </format>
    <format dxfId="67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7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7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7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72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1"/>
          </reference>
        </references>
      </pivotArea>
    </format>
    <format dxfId="671">
      <pivotArea dataOnly="0" labelOnly="1" fieldPosition="0">
        <references count="3">
          <reference field="1" count="1" selected="0">
            <x v="0"/>
          </reference>
          <reference field="2" count="1">
            <x v="4"/>
          </reference>
          <reference field="16" count="1" selected="0">
            <x v="2"/>
          </reference>
        </references>
      </pivotArea>
    </format>
    <format dxfId="67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3"/>
          </reference>
        </references>
      </pivotArea>
    </format>
    <format dxfId="669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8"/>
          </reference>
          <reference field="16" count="1" selected="0">
            <x v="0"/>
          </reference>
        </references>
      </pivotArea>
    </format>
    <format dxfId="668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4">
            <x v="0"/>
            <x v="3"/>
            <x v="5"/>
            <x v="8"/>
          </reference>
          <reference field="16" count="1" selected="0">
            <x v="0"/>
          </reference>
        </references>
      </pivotArea>
    </format>
    <format dxfId="66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6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66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664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63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662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66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3"/>
          </reference>
        </references>
      </pivotArea>
    </format>
    <format dxfId="66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59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8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7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6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5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65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65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5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4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48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64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646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2"/>
          </reference>
        </references>
      </pivotArea>
    </format>
    <format dxfId="64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3"/>
          </reference>
        </references>
      </pivotArea>
    </format>
    <format dxfId="64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43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42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41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40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63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63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3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2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2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2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26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62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1"/>
          </reference>
        </references>
      </pivotArea>
    </format>
    <format dxfId="624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2"/>
          </reference>
        </references>
      </pivotArea>
    </format>
    <format dxfId="62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3"/>
          </reference>
        </references>
      </pivotArea>
    </format>
    <format dxfId="62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21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20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9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8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4">
            <x v="1"/>
            <x v="2"/>
            <x v="4"/>
            <x v="5"/>
          </reference>
          <reference field="16" count="1" selected="0">
            <x v="1"/>
          </reference>
        </references>
      </pivotArea>
    </format>
    <format dxfId="600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3"/>
          </reference>
          <reference field="16" count="1" selected="0">
            <x v="2"/>
          </reference>
        </references>
      </pivotArea>
    </format>
    <format dxfId="59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3"/>
          </reference>
        </references>
      </pivotArea>
    </format>
    <format dxfId="59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596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595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594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59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7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7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7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5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73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0"/>
          <reference field="16" count="1" selected="0">
            <x v="2"/>
          </reference>
        </references>
      </pivotArea>
    </format>
    <format dxfId="5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16" count="1" selected="0">
            <x v="3"/>
          </reference>
        </references>
      </pivotArea>
    </format>
    <format dxfId="57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7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69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68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67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6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6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6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6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61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60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59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8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5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5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4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3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3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537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53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53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2"/>
          </reference>
          <reference field="8" count="6">
            <x v="3"/>
            <x v="4"/>
            <x v="6"/>
            <x v="8"/>
            <x v="10"/>
            <x v="11"/>
          </reference>
          <reference field="16" count="1" selected="0">
            <x v="2"/>
          </reference>
        </references>
      </pivotArea>
    </format>
    <format dxfId="53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3"/>
          </reference>
        </references>
      </pivotArea>
    </format>
    <format dxfId="53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3"/>
          </reference>
        </references>
      </pivotArea>
    </format>
    <format dxfId="53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3"/>
          </reference>
        </references>
      </pivotArea>
    </format>
    <format dxfId="531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30">
      <pivotArea type="all" dataOnly="0" outline="0" fieldPosition="0"/>
    </format>
    <format dxfId="529">
      <pivotArea outline="0" collapsedLevelsAreSubtotals="1" fieldPosition="0"/>
    </format>
    <format dxfId="528">
      <pivotArea field="16" type="button" dataOnly="0" labelOnly="1" outline="0" axis="axisRow" fieldPosition="0"/>
    </format>
    <format dxfId="527">
      <pivotArea dataOnly="0" labelOnly="1" fieldPosition="0">
        <references count="1">
          <reference field="16" count="0"/>
        </references>
      </pivotArea>
    </format>
    <format dxfId="526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25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24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523">
      <pivotArea dataOnly="0" labelOnly="1" fieldPosition="0">
        <references count="2">
          <reference field="1" count="1">
            <x v="0"/>
          </reference>
          <reference field="16" count="1" selected="0">
            <x v="3"/>
          </reference>
        </references>
      </pivotArea>
    </format>
    <format dxfId="52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1"/>
          </reference>
        </references>
      </pivotArea>
    </format>
    <format dxfId="516">
      <pivotArea dataOnly="0" labelOnly="1" fieldPosition="0">
        <references count="3">
          <reference field="1" count="1" selected="0">
            <x v="0"/>
          </reference>
          <reference field="2" count="1">
            <x v="4"/>
          </reference>
          <reference field="16" count="1" selected="0">
            <x v="2"/>
          </reference>
        </references>
      </pivotArea>
    </format>
    <format dxfId="51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3"/>
          </reference>
        </references>
      </pivotArea>
    </format>
    <format dxfId="51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8"/>
          </reference>
          <reference field="16" count="1" selected="0">
            <x v="0"/>
          </reference>
        </references>
      </pivotArea>
    </format>
    <format dxfId="513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4">
            <x v="0"/>
            <x v="3"/>
            <x v="5"/>
            <x v="8"/>
          </reference>
          <reference field="16" count="1" selected="0">
            <x v="0"/>
          </reference>
        </references>
      </pivotArea>
    </format>
    <format dxfId="51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1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51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507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50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3"/>
          </reference>
        </references>
      </pivotArea>
    </format>
    <format dxfId="50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9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91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2"/>
          </reference>
        </references>
      </pivotArea>
    </format>
    <format dxfId="49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3"/>
          </reference>
        </references>
      </pivotArea>
    </format>
    <format dxfId="48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4"/>
          </reference>
          <reference field="16" count="1" selected="0">
            <x v="1"/>
          </reference>
        </references>
      </pivotArea>
    </format>
    <format dxfId="469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2"/>
          </reference>
        </references>
      </pivotArea>
    </format>
    <format dxfId="4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3"/>
          </reference>
        </references>
      </pivotArea>
    </format>
    <format dxfId="46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4">
            <x v="1"/>
            <x v="2"/>
            <x v="4"/>
            <x v="5"/>
          </reference>
          <reference field="16" count="1" selected="0">
            <x v="1"/>
          </reference>
        </references>
      </pivotArea>
    </format>
    <format dxfId="445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>
            <x v="3"/>
          </reference>
          <reference field="16" count="1" selected="0">
            <x v="2"/>
          </reference>
        </references>
      </pivotArea>
    </format>
    <format dxfId="44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3"/>
          </reference>
        </references>
      </pivotArea>
    </format>
    <format dxfId="44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441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440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439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0"/>
          <reference field="16" count="1" selected="0">
            <x v="0"/>
          </reference>
        </references>
      </pivotArea>
    </format>
    <format dxfId="4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2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2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1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5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418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0"/>
          <reference field="16" count="1" selected="0">
            <x v="2"/>
          </reference>
        </references>
      </pivotArea>
    </format>
    <format dxfId="41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16" count="1" selected="0">
            <x v="3"/>
          </reference>
        </references>
      </pivotArea>
    </format>
    <format dxfId="41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2"/>
          </reference>
          <reference field="8" count="6">
            <x v="3"/>
            <x v="4"/>
            <x v="6"/>
            <x v="8"/>
            <x v="10"/>
            <x v="11"/>
          </reference>
          <reference field="16" count="1" selected="0">
            <x v="2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3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3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3"/>
          </reference>
        </references>
      </pivotArea>
    </format>
    <format dxfId="37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C7EFCD-0A26-4F02-9647-EF3EE990B94A}" name="Subsidio Resumo" cacheId="4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8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10">
        <item x="7"/>
        <item x="0"/>
        <item x="8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7">
        <item x="1"/>
        <item x="5"/>
        <item x="3"/>
        <item x="0"/>
        <item x="4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8">
        <item x="0"/>
        <item x="4"/>
        <item x="1"/>
        <item x="2"/>
        <item x="6"/>
        <item x="5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83">
    <i>
      <x/>
    </i>
    <i r="1">
      <x/>
    </i>
    <i r="2">
      <x/>
    </i>
    <i r="3">
      <x v="3"/>
    </i>
    <i r="4">
      <x v="1"/>
    </i>
    <i r="5">
      <x v="3"/>
    </i>
    <i r="6">
      <x v="3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4"/>
    </i>
    <i r="3">
      <x v="3"/>
    </i>
    <i r="4">
      <x v="1"/>
    </i>
    <i r="5">
      <x v="3"/>
    </i>
    <i r="6">
      <x v="3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1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3"/>
    </i>
    <i r="3">
      <x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4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5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 v="1"/>
    </i>
    <i r="3">
      <x v="2"/>
    </i>
    <i r="4">
      <x/>
    </i>
    <i r="5">
      <x v="2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2"/>
    </i>
    <i r="2">
      <x v="1"/>
    </i>
    <i r="3">
      <x v="2"/>
    </i>
    <i r="4">
      <x/>
    </i>
    <i r="5">
      <x v="1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1"/>
    </i>
    <i r="4">
      <x v="3"/>
    </i>
    <i r="5">
      <x v="3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6"/>
    </i>
    <i r="1">
      <x v="1"/>
    </i>
    <i r="2">
      <x v="1"/>
    </i>
    <i r="3">
      <x v="1"/>
    </i>
    <i r="4">
      <x v="4"/>
    </i>
    <i r="5">
      <x v="3"/>
    </i>
    <i r="6">
      <x v="3"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26"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31" type="button" dataOnly="0" labelOnly="1" outline="0" axis="axisRow" fieldPosition="0"/>
    </format>
    <format dxfId="370">
      <pivotArea dataOnly="0" labelOnly="1" fieldPosition="0">
        <references count="1">
          <reference field="31" count="0"/>
        </references>
      </pivotArea>
    </format>
    <format dxfId="36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6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67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66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365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64">
      <pivotArea dataOnly="0" labelOnly="1" fieldPosition="0">
        <references count="2">
          <reference field="1" count="1">
            <x v="2"/>
          </reference>
          <reference field="31" count="1" selected="0">
            <x v="5"/>
          </reference>
        </references>
      </pivotArea>
    </format>
    <format dxfId="363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36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31" count="1" selected="0">
            <x v="0"/>
          </reference>
        </references>
      </pivotArea>
    </format>
    <format dxfId="36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6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5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58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31" count="1" selected="0">
            <x v="3"/>
          </reference>
        </references>
      </pivotArea>
    </format>
    <format dxfId="35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56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5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6"/>
          </reference>
        </references>
      </pivotArea>
    </format>
    <format dxfId="35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53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52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5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5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49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34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4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5"/>
          </reference>
        </references>
      </pivotArea>
    </format>
    <format dxfId="34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6"/>
          </reference>
        </references>
      </pivotArea>
    </format>
    <format dxfId="34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44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4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4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4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4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33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33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5"/>
          </reference>
        </references>
      </pivotArea>
    </format>
    <format dxfId="33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6"/>
          </reference>
        </references>
      </pivotArea>
    </format>
    <format dxfId="33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35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3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3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3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3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3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2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2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32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2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2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5"/>
          </reference>
        </references>
      </pivotArea>
    </format>
    <format dxfId="32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32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2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32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320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31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31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31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31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31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31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4">
            <x v="1"/>
            <x v="2"/>
            <x v="4"/>
            <x v="5"/>
          </reference>
          <reference field="31" count="1" selected="0">
            <x v="3"/>
          </reference>
        </references>
      </pivotArea>
    </format>
    <format dxfId="3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4"/>
          </reference>
        </references>
      </pivotArea>
    </format>
    <format dxfId="31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30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30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30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30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6"/>
          </reference>
        </references>
      </pivotArea>
    </format>
    <format dxfId="30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304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0"/>
          <reference field="31" count="1" selected="0">
            <x v="0"/>
          </reference>
        </references>
      </pivotArea>
    </format>
    <format dxfId="30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30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0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0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9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31" count="1" selected="0">
            <x v="2"/>
          </reference>
        </references>
      </pivotArea>
    </format>
    <format dxfId="29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9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9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9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9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8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8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28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8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8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8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8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8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8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7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7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7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6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6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6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6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9"/>
            <x v="11"/>
          </reference>
          <reference field="31" count="1" selected="0">
            <x v="5"/>
          </reference>
        </references>
      </pivotArea>
    </format>
    <format dxfId="2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2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1">
      <pivotArea type="all" dataOnly="0" outline="0" fieldPosition="0"/>
    </format>
    <format dxfId="260">
      <pivotArea outline="0" collapsedLevelsAreSubtotals="1" fieldPosition="0"/>
    </format>
    <format dxfId="259">
      <pivotArea field="31" type="button" dataOnly="0" labelOnly="1" outline="0" axis="axisRow" fieldPosition="0"/>
    </format>
    <format dxfId="258">
      <pivotArea dataOnly="0" labelOnly="1" fieldPosition="0">
        <references count="1">
          <reference field="31" count="0"/>
        </references>
      </pivotArea>
    </format>
    <format dxfId="257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5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5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54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253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52">
      <pivotArea dataOnly="0" labelOnly="1" fieldPosition="0">
        <references count="2">
          <reference field="1" count="1">
            <x v="2"/>
          </reference>
          <reference field="31" count="1" selected="0">
            <x v="5"/>
          </reference>
        </references>
      </pivotArea>
    </format>
    <format dxfId="251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250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31" count="1" selected="0">
            <x v="0"/>
          </reference>
        </references>
      </pivotArea>
    </format>
    <format dxfId="24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4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4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46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31" count="1" selected="0">
            <x v="3"/>
          </reference>
        </references>
      </pivotArea>
    </format>
    <format dxfId="24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4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4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6"/>
          </reference>
        </references>
      </pivotArea>
    </format>
    <format dxfId="242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4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3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3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37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23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3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5"/>
          </reference>
        </references>
      </pivotArea>
    </format>
    <format dxfId="23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6"/>
          </reference>
        </references>
      </pivotArea>
    </format>
    <format dxfId="23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32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3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3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2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2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2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2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5"/>
          </reference>
        </references>
      </pivotArea>
    </format>
    <format dxfId="22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6"/>
          </reference>
        </references>
      </pivotArea>
    </format>
    <format dxfId="22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23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2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2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2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5"/>
          </reference>
        </references>
      </pivotArea>
    </format>
    <format dxfId="21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21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20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208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20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0"/>
          </reference>
        </references>
      </pivotArea>
    </format>
    <format dxfId="20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20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20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20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4">
            <x v="1"/>
            <x v="2"/>
            <x v="4"/>
            <x v="5"/>
          </reference>
          <reference field="31" count="1" selected="0">
            <x v="3"/>
          </reference>
        </references>
      </pivotArea>
    </format>
    <format dxfId="20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4"/>
          </reference>
        </references>
      </pivotArea>
    </format>
    <format dxfId="19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19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19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1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5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3"/>
          </reference>
          <reference field="31" count="1" selected="0">
            <x v="6"/>
          </reference>
        </references>
      </pivotArea>
    </format>
    <format dxfId="19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192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0"/>
          <reference field="31" count="1" selected="0">
            <x v="0"/>
          </reference>
        </references>
      </pivotArea>
    </format>
    <format dxfId="19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9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0"/>
          <reference field="31" count="1" selected="0">
            <x v="2"/>
          </reference>
        </references>
      </pivotArea>
    </format>
    <format dxfId="18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8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7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17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7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71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70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9"/>
            <x v="11"/>
          </reference>
          <reference field="31" count="1" selected="0">
            <x v="5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82F26E-D5BA-4508-B8E3-FF2FFA9A08B5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C4C29CB-82DE-42DA-9763-BEAAF9CA65E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1BA41DE-6849-45AA-9709-2BBCB838C51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13A0A-C01C-46BA-BE12-877DD5A0D47E}" name="Efeito" displayName="Efeito" ref="A1:AG644" totalsRowShown="0" headerRowDxfId="758" dataDxfId="757">
  <autoFilter ref="A1:AG644" xr:uid="{E8013A0A-C01C-46BA-BE12-877DD5A0D47E}"/>
  <tableColumns count="33">
    <tableColumn id="1" xr3:uid="{AAE6E4B9-12D1-4DDB-B6AC-89F71BD7AAAB}" name="TipoMercado" dataDxfId="756"/>
    <tableColumn id="2" xr3:uid="{9ED81E7B-0C3B-4494-AF48-BFF50CF0B84A}" name="Subgrupo" dataDxfId="755"/>
    <tableColumn id="3" xr3:uid="{1185B5B0-641C-4902-AE20-C09C7E5AA40D}" name="Modalidade" dataDxfId="754"/>
    <tableColumn id="4" xr3:uid="{C63D5F0B-A187-47CB-B4F6-EFB868608A2E}" name="Classe" dataDxfId="753"/>
    <tableColumn id="5" xr3:uid="{FD9A7F3D-AE8A-466C-BB75-BBD39E308E91}" name="Subclasse" dataDxfId="752"/>
    <tableColumn id="6" xr3:uid="{72CBC402-70C1-43B0-95AB-1583BBD6DC5C}" name="Detalhe" dataDxfId="751"/>
    <tableColumn id="7" xr3:uid="{7315F821-1297-4D0F-8A03-2B554CB8AA48}" name="Agente" dataDxfId="750"/>
    <tableColumn id="8" xr3:uid="{83DCE45D-C283-4477-A7D9-B24E18F336D5}" name="Posto" dataDxfId="749"/>
    <tableColumn id="9" xr3:uid="{E22C5AC9-FE5A-4F2F-8A5C-4C95399068AE}" name="AnoMes" dataDxfId="748"/>
    <tableColumn id="10" xr3:uid="{CE14B584-CEFA-443D-A5F8-DDE4E5A12BFF}" name="D" dataDxfId="747"/>
    <tableColumn id="11" xr3:uid="{BB3DB221-D1D6-4E70-954A-5E6CD4D1BA91}" name="Daj" dataDxfId="746"/>
    <tableColumn id="12" xr3:uid="{C04856D8-416E-494E-95E1-5FEA4AB26A5C}" name="TUSD_E" dataDxfId="745"/>
    <tableColumn id="13" xr3:uid="{E2228683-FD04-4708-8638-15F2CFB89EA1}" name="TUSD_Eaj" dataDxfId="744"/>
    <tableColumn id="14" xr3:uid="{8D0990FE-384C-4A95-A493-291E0CC3C368}" name="TE_E" dataDxfId="743"/>
    <tableColumn id="15" xr3:uid="{DA36F3BB-87A5-450F-9C54-13078D437F97}" name="TE_Eaj" dataDxfId="742"/>
    <tableColumn id="16" xr3:uid="{536F18EC-8034-46D0-A6DE-92C1B736D873}" name="UC" dataDxfId="741"/>
    <tableColumn id="17" xr3:uid="{07B667D1-480C-42FB-A005-51DB24E0E86C}" name="OPÇÃO" dataDxfId="740"/>
    <tableColumn id="18" xr3:uid="{53E4C9BD-E58E-4346-B2B2-E80F4B1BD6E5}" name="CóD. AUX." dataDxfId="739"/>
    <tableColumn id="19" xr3:uid="{7FC76616-0FDD-4881-BCB0-BD477B00E449}" name="CóD. AUX. TUSD R$/kW" dataDxfId="738"/>
    <tableColumn id="20" xr3:uid="{E5467444-CB48-431F-87E3-F98D6F85A317}" name="CóD. AUX. TUSD R$/MWh" dataDxfId="737"/>
    <tableColumn id="21" xr3:uid="{2B20E6B5-E7D3-4BBB-B5F1-B9743E90B043}" name="CóD. AUX. TE R$/MWh" dataDxfId="736"/>
    <tableColumn id="22" xr3:uid="{79B96089-905F-4B23-8E79-BDCB115FE36D}" name="TUSD (R$/kW)" dataDxfId="735"/>
    <tableColumn id="23" xr3:uid="{1555557C-C198-4544-9D64-50E8A6BDECE0}" name="TUSD (R$/MWh)" dataDxfId="734"/>
    <tableColumn id="24" xr3:uid="{AAA22B69-CA69-4147-A425-3164EB5BE2BC}" name="TE (R$/MWh)" dataDxfId="733"/>
    <tableColumn id="25" xr3:uid="{9CEB5B89-1AC3-4822-B318-1E77D42F2E10}" name="TUSD (R$/kW) NOVA" dataDxfId="732"/>
    <tableColumn id="26" xr3:uid="{A469DFA2-98D4-477D-8062-A2C7D83827FE}" name="TUSD (R$/MWh) NOVA" dataDxfId="731">
      <calculatedColumnFormula>('TUSD BE'!$AM$53+'TUSD BF'!$AM$53+'TUSD CVA'!$AM$53)*1</calculatedColumnFormula>
    </tableColumn>
    <tableColumn id="27" xr3:uid="{3B3D1DF0-3C73-4B39-936C-9374DCCA5CDC}" name="TE (R$/MWh) NOVA" dataDxfId="730">
      <calculatedColumnFormula>('TE BE'!$AB$43+'TE BF'!$AB$43+'TE CVA'!$AB$43)*1</calculatedColumnFormula>
    </tableColumn>
    <tableColumn id="28" xr3:uid="{46165A1F-7EBC-4BF4-8F94-6B8235132DF1}" name="RA0 ou RV - TUSD (kW)" dataDxfId="729"/>
    <tableColumn id="29" xr3:uid="{27522E47-E148-4F74-A8BC-C0631EFA20CB}" name="RA0 ou RV - TUSD (MWh)" dataDxfId="728"/>
    <tableColumn id="30" xr3:uid="{B566FCBF-8525-4EF6-A29E-D7F7BDA9FD4F}" name="RA0 ou RV - TE (MWh)" dataDxfId="727"/>
    <tableColumn id="31" xr3:uid="{77CF0F88-B4E5-4BCD-8FE4-153649EB013A}" name="RA1 ou RRD - TUSD (kW)" dataDxfId="726"/>
    <tableColumn id="32" xr3:uid="{081DAF56-161A-4120-97FF-444EE82D3CC5}" name="RA1 ou RRD - TUSD (MWh)" dataDxfId="725"/>
    <tableColumn id="33" xr3:uid="{CA13EA52-1B25-44B6-B4D8-16673BD9DD2C}" name="RA1 ou RRD - TE (MWh)" dataDxfId="7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6B5DB-8B73-4A4F-A40C-07263DE69021}" name="Subsidio" displayName="Subsidio" ref="A1:AF312" totalsRowShown="0" headerRowDxfId="723" dataDxfId="722">
  <autoFilter ref="A1:AF312" xr:uid="{2E46B5DB-8B73-4A4F-A40C-07263DE69021}"/>
  <tableColumns count="32">
    <tableColumn id="1" xr3:uid="{A5D18940-6D62-4F86-9383-64483EE33CCF}" name="TipoMercado" dataDxfId="721"/>
    <tableColumn id="2" xr3:uid="{B2D27A78-A191-4BC5-B40C-85BF04FFA233}" name="Subgrupo" dataDxfId="720"/>
    <tableColumn id="3" xr3:uid="{9A104228-4B00-4ED9-8D42-BB94A3724C7E}" name="Modalidade" dataDxfId="719"/>
    <tableColumn id="4" xr3:uid="{F358DD77-EB93-4398-BFF4-15B97BB6B51F}" name="Classe" dataDxfId="718"/>
    <tableColumn id="5" xr3:uid="{84B9C403-27D5-4C38-BCAA-973278455477}" name="Subclasse" dataDxfId="717"/>
    <tableColumn id="6" xr3:uid="{973E5C92-1CFD-472B-9625-44898CD8F88C}" name="Detalhe" dataDxfId="716"/>
    <tableColumn id="7" xr3:uid="{D6A8577D-9552-43F3-B9DB-57F33CAFD0A2}" name="Agente" dataDxfId="715"/>
    <tableColumn id="8" xr3:uid="{BE3DECDD-988E-4FCB-97B3-D40BF6CFED7E}" name="Posto" dataDxfId="714"/>
    <tableColumn id="9" xr3:uid="{CD052340-5771-419B-A56C-E52C49338863}" name="AnoMes" dataDxfId="713"/>
    <tableColumn id="10" xr3:uid="{5CA5D517-9464-4EF4-8A21-4C73ED0C2D97}" name="D" dataDxfId="712"/>
    <tableColumn id="11" xr3:uid="{54B87A6B-084C-43BE-AABC-FA29EDB82C6C}" name="Daj" dataDxfId="711"/>
    <tableColumn id="12" xr3:uid="{1017F602-1AD7-4234-B4C5-5F63DB9C1D6F}" name="TUSD_E" dataDxfId="710"/>
    <tableColumn id="13" xr3:uid="{674C56DF-7AA7-4726-9F7D-2875C8AEFC6F}" name="TUSD_Eaj" dataDxfId="709"/>
    <tableColumn id="14" xr3:uid="{4926B8A0-852F-409D-B54C-E96CE5D5AE44}" name="TE_E" dataDxfId="708"/>
    <tableColumn id="15" xr3:uid="{29900D0B-232C-4C4A-B105-B0BAA491BB51}" name="TE_Eaj" dataDxfId="707"/>
    <tableColumn id="16" xr3:uid="{1992A8FA-FD12-4C69-A681-B9D6853CBB17}" name="UC" dataDxfId="706"/>
    <tableColumn id="17" xr3:uid="{9BD32B0C-0649-44C7-9DCE-7DF17E186AF9}" name="OPÇÃO" dataDxfId="705"/>
    <tableColumn id="18" xr3:uid="{5AEE2065-C94A-424F-9FFC-9C1421F2E55E}" name="CóD. AUX." dataDxfId="704"/>
    <tableColumn id="19" xr3:uid="{5D0D25EE-F9EB-45BC-A5CC-547F03A4163D}" name="CóD. AUX. TUSD R$/kW" dataDxfId="703"/>
    <tableColumn id="20" xr3:uid="{4F85B29C-C83D-4E6A-AE31-FF3C21D8F15C}" name="CóD. AUX. TUSD R$/MWh" dataDxfId="702"/>
    <tableColumn id="21" xr3:uid="{E809C904-8233-44EA-A725-80B2CBB5CAB6}" name="CóD. AUX. TE R$/MWh" dataDxfId="701"/>
    <tableColumn id="22" xr3:uid="{E1F7E37A-7064-4F41-90D5-F06CAD8E1A5A}" name="TUSD (R$/kW)" dataDxfId="700"/>
    <tableColumn id="23" xr3:uid="{53D52738-F6A8-415E-8881-83FBCFB59A74}" name="TUSD (R$/MWh)" dataDxfId="699"/>
    <tableColumn id="24" xr3:uid="{108FD3CA-83C9-4B5B-90A3-4372FF604D9B}" name="TE (R$/MWh)" dataDxfId="698"/>
    <tableColumn id="25" xr3:uid="{395B400D-C40E-4E30-9A85-1E28A187EC0B}" name="TUSD (R$/kW) NOVA" dataDxfId="697"/>
    <tableColumn id="26" xr3:uid="{2E2270F0-9F4C-4A96-896B-EC9E729E0DAB}" name="TUSD (R$/MWh) NOVA" dataDxfId="696">
      <calculatedColumnFormula>('TUSD BE'!$AM$51+'TUSD BF'!$AM$51+'TUSD CVA'!$AM$51)*1</calculatedColumnFormula>
    </tableColumn>
    <tableColumn id="27" xr3:uid="{C89B110D-42AB-45E4-8F32-94C55357DE08}" name="TE (R$/MWh) NOVA" dataDxfId="695">
      <calculatedColumnFormula>('TE BE'!$AB$41+'TE BF'!$AB$41+'TE CVA'!$AB$41)*1</calculatedColumnFormula>
    </tableColumn>
    <tableColumn id="28" xr3:uid="{367D1ED1-C2A7-4714-AD4A-04D53E6144B7}" name="SUBSIDIO kW - TV" dataDxfId="694">
      <calculatedColumnFormula>(J2-K2)*V2</calculatedColumnFormula>
    </tableColumn>
    <tableColumn id="29" xr3:uid="{A7929A9A-90E6-4908-9085-FEA3F98E5574}" name="SUBSIDIO MWh - TV" dataDxfId="693">
      <calculatedColumnFormula>(L2-M2)*W2+(N2-O2)*X2</calculatedColumnFormula>
    </tableColumn>
    <tableColumn id="30" xr3:uid="{5EF13669-41B2-491E-AED2-52BA2F5C91D3}" name="SUBSIDIO kW - TN" dataDxfId="692">
      <calculatedColumnFormula>(J2-K2)*Y2</calculatedColumnFormula>
    </tableColumn>
    <tableColumn id="31" xr3:uid="{2AD6E522-7239-4F0A-B971-A6EDC6D07123}" name="SUBSIDIO MWh - TN" dataDxfId="691">
      <calculatedColumnFormula>(L2-M2)*Z2+(N2-O2)*AA2</calculatedColumnFormula>
    </tableColumn>
    <tableColumn id="32" xr3:uid="{C3C6FC9F-AB33-453E-9FA3-63B103802146}" name="TIPO" dataDxfId="6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82EE73-1725-48AD-AC9B-067535C64D80}" name="TabelaFin" displayName="TabelaFin" ref="B3:AT52" tableType="queryTable" totalsRowShown="0" headerRowDxfId="149" dataDxfId="147" headerRowBorderDxfId="148" tableBorderDxfId="146" totalsRowBorderDxfId="145">
  <autoFilter ref="B3:AT52" xr:uid="{6482EE73-1725-48AD-AC9B-067535C64D80}"/>
  <sortState xmlns:xlrd2="http://schemas.microsoft.com/office/spreadsheetml/2017/richdata2" ref="B4:AT52">
    <sortCondition ref="B4:B52"/>
    <sortCondition ref="C4:C52"/>
    <sortCondition ref="D4:D52"/>
    <sortCondition ref="E4:E52"/>
    <sortCondition ref="F4:F52"/>
    <sortCondition descending="1" ref="G4:G52"/>
    <sortCondition descending="1" ref="H4:H52"/>
    <sortCondition ref="I4:I52"/>
  </sortState>
  <tableColumns count="45">
    <tableColumn id="46" xr3:uid="{6F09798A-9192-48F5-9083-492443A8ADC6}" uniqueName="46" name="SUBGRUPO" queryTableFieldId="1" dataDxfId="144"/>
    <tableColumn id="47" xr3:uid="{00E7257A-5547-4D89-AD96-05E2E7E16856}" uniqueName="47" name="MODALIDADE" queryTableFieldId="2" dataDxfId="143"/>
    <tableColumn id="48" xr3:uid="{230B72BC-C4A6-4B9E-957A-9FAE32BE684F}" uniqueName="48" name="CLASSE" queryTableFieldId="3" dataDxfId="142"/>
    <tableColumn id="49" xr3:uid="{A2602088-ED35-44AE-A943-7455B3A84861}" uniqueName="49" name="SUBCLASSE" queryTableFieldId="4" dataDxfId="141"/>
    <tableColumn id="50" xr3:uid="{678B45C2-C328-4E04-9360-40F665E00CF4}" uniqueName="50" name="DETALHE" queryTableFieldId="5" dataDxfId="140"/>
    <tableColumn id="51" xr3:uid="{3D07DEF8-685B-46F1-8E15-E2EDAC447257}" uniqueName="51" name="POSTO" queryTableFieldId="6" dataDxfId="139"/>
    <tableColumn id="52" xr3:uid="{BC9F6E60-8A65-4ED7-880F-1CF533524150}" uniqueName="52" name="UNIDADE" queryTableFieldId="7" dataDxfId="138"/>
    <tableColumn id="53" xr3:uid="{432C0009-95CE-417F-BDD7-500A5469AA65}" uniqueName="53" name="ACESSANTE" queryTableFieldId="8" dataDxfId="137"/>
    <tableColumn id="54" xr3:uid="{43DA80F4-D8B0-498D-8718-032DCC02057D}" uniqueName="54" name="Total TUSD" queryTableFieldId="9" dataDxfId="136"/>
    <tableColumn id="55" xr3:uid="{47FCC197-36E2-40D2-AA8E-1A8BE1FF9FB9}" uniqueName="55" name="Total TE" queryTableFieldId="10" dataDxfId="135"/>
    <tableColumn id="56" xr3:uid="{F5E61823-7333-47F2-95AE-1839F8469B46}" uniqueName="56" name="TUSD_CDE_COVID" queryTableFieldId="11" dataDxfId="134"/>
    <tableColumn id="57" xr3:uid="{8137B788-DBAE-4D1A-8E19-72166BC9A473}" uniqueName="57" name="TUSD_TFSEE" queryTableFieldId="12" dataDxfId="133"/>
    <tableColumn id="58" xr3:uid="{AACF58E9-74A5-4D68-91AF-6D5DE003EFD9}" uniqueName="58" name="TUSD_PeD" queryTableFieldId="13" dataDxfId="132"/>
    <tableColumn id="59" xr3:uid="{D4D73ADF-B5CE-4CD4-B8A4-6B325627A09D}" uniqueName="59" name="TUSD_ONS" queryTableFieldId="14" dataDxfId="131"/>
    <tableColumn id="60" xr3:uid="{020320E6-23B4-4AF4-9D71-6CDBA6331359}" uniqueName="60" name="TUSD_CCC" queryTableFieldId="15" dataDxfId="130"/>
    <tableColumn id="61" xr3:uid="{E3BFDB24-6C42-41B7-BE12-1366E04F9C8D}" uniqueName="61" name="TUSD_CDE" queryTableFieldId="16" dataDxfId="129"/>
    <tableColumn id="62" xr3:uid="{A58058CA-AC19-4E71-A4FF-5EB1C4A242E8}" uniqueName="62" name="TUSD_PROINFA" queryTableFieldId="17" dataDxfId="128"/>
    <tableColumn id="63" xr3:uid="{416C509F-7CAC-4187-A111-4DA5A0EBCA23}" uniqueName="63" name="Liminar1" queryTableFieldId="18" dataDxfId="127"/>
    <tableColumn id="64" xr3:uid="{7222586F-EB3A-4CA6-89F3-3775F19145D6}" uniqueName="64" name="TUSD_RB" queryTableFieldId="19" dataDxfId="126"/>
    <tableColumn id="65" xr3:uid="{90A34D30-C918-4649-BBEF-66832090D77A}" uniqueName="65" name="TUSD_FR" queryTableFieldId="20" dataDxfId="125"/>
    <tableColumn id="66" xr3:uid="{63CD41E4-8BA8-4A0E-BC76-ABDBDEEFECA1}" uniqueName="66" name="TUSD_CCT" queryTableFieldId="21" dataDxfId="124"/>
    <tableColumn id="67" xr3:uid="{BA5F22C6-F299-4A58-B3B6-B79FB178F849}" uniqueName="67" name="TUSD_CCD" queryTableFieldId="22" dataDxfId="123"/>
    <tableColumn id="68" xr3:uid="{2DE34CDF-B993-4719-AA08-335D30C52AFA}" uniqueName="68" name="TUSD_CUSD" queryTableFieldId="23" dataDxfId="122"/>
    <tableColumn id="69" xr3:uid="{D8B67352-82E5-47A7-BDA4-9CC55C60E7AC}" uniqueName="69" name="TUSDG_T" queryTableFieldId="24" dataDxfId="121"/>
    <tableColumn id="70" xr3:uid="{DB074418-D047-4542-B825-EDAD7CB785AD}" uniqueName="70" name="TUSDG_ONS" queryTableFieldId="25" dataDxfId="120"/>
    <tableColumn id="71" xr3:uid="{AD02FFE1-E381-40C8-A574-C17246F4264D}" uniqueName="71" name="TUSD_FioB" queryTableFieldId="26" dataDxfId="119"/>
    <tableColumn id="72" xr3:uid="{5202BCE6-955E-4CCF-83D6-209B2E5A73E2}" uniqueName="72" name="TUSD Subsidio" queryTableFieldId="27" dataDxfId="118"/>
    <tableColumn id="73" xr3:uid="{2DAF1E65-1008-4870-B7C9-4B36ED1F5164}" uniqueName="73" name="TUSD BENEFICIO_L14299" queryTableFieldId="28" dataDxfId="117"/>
    <tableColumn id="74" xr3:uid="{CCDCF4CF-9512-496C-B517-376633AF4F3B}" uniqueName="74" name="TUSD Outros" queryTableFieldId="29" dataDxfId="116"/>
    <tableColumn id="75" xr3:uid="{1BE2A2BF-291E-4A1D-9176-A3B03CA768CF}" uniqueName="75" name="TUSD_PT" queryTableFieldId="30" dataDxfId="115"/>
    <tableColumn id="76" xr3:uid="{08173C4E-7497-4374-B803-9AA0722D4FCF}" uniqueName="76" name="TUSD_Per_RB_D" queryTableFieldId="31" dataDxfId="114"/>
    <tableColumn id="77" xr3:uid="{49007A2E-1316-43DE-8A4F-F6198CA11668}" uniqueName="77" name="TUSD_PNT" queryTableFieldId="32" dataDxfId="113"/>
    <tableColumn id="78" xr3:uid="{62EDF361-25E0-43E6-A9D5-F1F002E5E5A3}" uniqueName="78" name="TUSD_RI" queryTableFieldId="33" dataDxfId="112"/>
    <tableColumn id="79" xr3:uid="{32BF3312-924F-4227-96F4-510079E90884}" uniqueName="79" name="TE_CDE_COVID" queryTableFieldId="34" dataDxfId="111"/>
    <tableColumn id="80" xr3:uid="{489DFA44-20FB-4567-9DFC-4701EDB6CE7A}" uniqueName="80" name="TE_CDE_ELET" queryTableFieldId="35" dataDxfId="110"/>
    <tableColumn id="81" xr3:uid="{E19BE20B-2078-4266-9EB7-D8411026381B}" uniqueName="81" name="TE_PeD" queryTableFieldId="36" dataDxfId="109"/>
    <tableColumn id="82" xr3:uid="{1CD80AA4-562D-4EC9-B2F8-283CAF408316}" uniqueName="82" name="TE_ESSERR" queryTableFieldId="37" dataDxfId="108"/>
    <tableColumn id="83" xr3:uid="{CA352512-E52B-4E3B-8C1D-40C11F8B186B}" uniqueName="83" name="TE_CFURH" queryTableFieldId="38" dataDxfId="107"/>
    <tableColumn id="84" xr3:uid="{1B91E4CB-878D-412C-8A69-7BECACF7EFF9}" uniqueName="84" name="TE_ENERGIA" queryTableFieldId="39" dataDxfId="106"/>
    <tableColumn id="85" xr3:uid="{B0DFFF4A-6FD8-4F48-9221-4D65E5C35539}" uniqueName="85" name="TE_TRANSPORTE_ITAIPU" queryTableFieldId="40" dataDxfId="105"/>
    <tableColumn id="86" xr3:uid="{EC089D3F-38B1-490F-A49D-9937D7E585BC}" uniqueName="86" name="TE_TUST_ITAIPU" queryTableFieldId="41" dataDxfId="104"/>
    <tableColumn id="87" xr3:uid="{217E8326-6652-4E34-9376-DD891D51F117}" uniqueName="87" name="TE_TUST_CI" queryTableFieldId="42" dataDxfId="103"/>
    <tableColumn id="88" xr3:uid="{C78FDA59-9AD6-45BC-82E7-6043182EEBF2}" uniqueName="88" name="TE Subsidio" queryTableFieldId="43" dataDxfId="102"/>
    <tableColumn id="89" xr3:uid="{387FAF76-5B8E-44A0-B08D-E97E41FCDDBD}" uniqueName="89" name="TE BENEFICIO_L14299" queryTableFieldId="44" dataDxfId="101"/>
    <tableColumn id="90" xr3:uid="{9683EDC7-930F-42BF-8B07-9A6634331D30}" uniqueName="90" name="TE_Per_RB" queryTableFieldId="45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A09563-B818-411C-9936-EF01C2113F2E}" name="TabelaEc" displayName="TabelaEc" ref="B3:AT52" tableType="queryTable" totalsRowShown="0" headerRowDxfId="99" dataDxfId="97" headerRowBorderDxfId="98" tableBorderDxfId="96" totalsRowBorderDxfId="95">
  <autoFilter ref="B3:AT52" xr:uid="{A6A09563-B818-411C-9936-EF01C2113F2E}"/>
  <sortState xmlns:xlrd2="http://schemas.microsoft.com/office/spreadsheetml/2017/richdata2" ref="B4:AT52">
    <sortCondition ref="B4:B52"/>
    <sortCondition ref="C4:C52"/>
    <sortCondition ref="D4:D52"/>
    <sortCondition ref="E4:E52"/>
    <sortCondition ref="F4:F52"/>
    <sortCondition descending="1" ref="G4:G52"/>
    <sortCondition descending="1" ref="H4:H52"/>
    <sortCondition ref="I4:I52"/>
  </sortState>
  <tableColumns count="45">
    <tableColumn id="46" xr3:uid="{0FB1CDAD-0EFB-4874-BCF8-DD8E9F797AAC}" uniqueName="46" name="SUBGRUPO" queryTableFieldId="1" dataDxfId="94"/>
    <tableColumn id="47" xr3:uid="{E02FD4E4-0133-48F0-9B2B-21B7898841CE}" uniqueName="47" name="MODALIDADE" queryTableFieldId="2" dataDxfId="93"/>
    <tableColumn id="48" xr3:uid="{695F6BDA-6B2E-4638-9581-6ACBEE2BF73E}" uniqueName="48" name="CLASSE" queryTableFieldId="3" dataDxfId="92"/>
    <tableColumn id="49" xr3:uid="{7418AFDF-2FEE-4D50-B7F4-936DA5AB4AB2}" uniqueName="49" name="SUBCLASSE" queryTableFieldId="4" dataDxfId="91"/>
    <tableColumn id="50" xr3:uid="{6C1809DE-D180-4CA7-95DE-660C0322D38B}" uniqueName="50" name="DETALHE" queryTableFieldId="5" dataDxfId="90"/>
    <tableColumn id="51" xr3:uid="{71ADAD4D-80E7-4F9B-BBEA-DAA4F45B1F21}" uniqueName="51" name="POSTO" queryTableFieldId="6" dataDxfId="89"/>
    <tableColumn id="52" xr3:uid="{FED94614-159D-499A-ADD3-FA5A22A1E7CB}" uniqueName="52" name="UNIDADE" queryTableFieldId="7" dataDxfId="88"/>
    <tableColumn id="53" xr3:uid="{3782D62F-634C-491C-84AE-850AF68577F2}" uniqueName="53" name="ACESSANTE" queryTableFieldId="8" dataDxfId="87"/>
    <tableColumn id="54" xr3:uid="{96B583C6-69DB-4C49-BEF7-6599A555638B}" uniqueName="54" name="Total TUSD" queryTableFieldId="9" dataDxfId="86"/>
    <tableColumn id="55" xr3:uid="{1ACD7CC1-2B04-44B1-A167-E61B0EC4C362}" uniqueName="55" name="Total TE" queryTableFieldId="10" dataDxfId="85"/>
    <tableColumn id="56" xr3:uid="{E543E8D1-8147-424F-B563-D33BE95E9F74}" uniqueName="56" name="TUSD_CDE_COVID" queryTableFieldId="11" dataDxfId="84"/>
    <tableColumn id="57" xr3:uid="{EDE19DDC-91C0-47D2-8839-48A64B35CE71}" uniqueName="57" name="TUSD_TFSEE" queryTableFieldId="12" dataDxfId="83"/>
    <tableColumn id="58" xr3:uid="{704BAAC6-DD81-4250-8C98-F163899AD1A0}" uniqueName="58" name="TUSD_PeD" queryTableFieldId="13" dataDxfId="82"/>
    <tableColumn id="59" xr3:uid="{DC7E36BC-9EF8-4588-B3B9-123206606089}" uniqueName="59" name="TUSD_ONS" queryTableFieldId="14" dataDxfId="81"/>
    <tableColumn id="60" xr3:uid="{59DBA0F0-8B69-4E66-B5AC-2FB62E0F2F05}" uniqueName="60" name="TUSD_CCC" queryTableFieldId="15" dataDxfId="80"/>
    <tableColumn id="61" xr3:uid="{21CAE8FF-417B-46EF-928A-D3946C7A7563}" uniqueName="61" name="TUSD_CDE" queryTableFieldId="16" dataDxfId="79"/>
    <tableColumn id="62" xr3:uid="{CD502853-2815-429E-AB70-2BD21B9ADD80}" uniqueName="62" name="TUSD_PROINFA" queryTableFieldId="17" dataDxfId="78"/>
    <tableColumn id="63" xr3:uid="{C06EF374-8007-42DB-A5AC-91EDFAFEAF5F}" uniqueName="63" name="Liminar1" queryTableFieldId="18" dataDxfId="77"/>
    <tableColumn id="64" xr3:uid="{8EFB533F-8662-4004-B7A5-438913EA6975}" uniqueName="64" name="TUSD_RB" queryTableFieldId="19" dataDxfId="76"/>
    <tableColumn id="65" xr3:uid="{EA40F6AA-3DD2-4395-8374-EE6F4FE8D746}" uniqueName="65" name="TUSD_FR" queryTableFieldId="20" dataDxfId="75"/>
    <tableColumn id="66" xr3:uid="{9620069B-3966-48D8-A53E-A30AA36D8A14}" uniqueName="66" name="TUSD_CCT" queryTableFieldId="21" dataDxfId="74"/>
    <tableColumn id="67" xr3:uid="{980433CD-9D73-46F9-8CB6-4E7370A30B6F}" uniqueName="67" name="TUSD_CCD" queryTableFieldId="22" dataDxfId="73"/>
    <tableColumn id="68" xr3:uid="{97661101-02C6-4FFB-81F3-DC0C24589250}" uniqueName="68" name="TUSD_CUSD" queryTableFieldId="23" dataDxfId="72"/>
    <tableColumn id="69" xr3:uid="{24DCE120-9C4F-4D98-BF87-1A12C18765C9}" uniqueName="69" name="TUSDG_T" queryTableFieldId="24" dataDxfId="71"/>
    <tableColumn id="70" xr3:uid="{4F32F742-5739-4C72-BC7E-DC6F4B49BCCB}" uniqueName="70" name="TUSDG_ONS" queryTableFieldId="25" dataDxfId="70"/>
    <tableColumn id="71" xr3:uid="{7076134E-CDD1-4449-8B57-3CC566DB64E7}" uniqueName="71" name="TUSD_FioB" queryTableFieldId="26" dataDxfId="69"/>
    <tableColumn id="72" xr3:uid="{4D2265BB-168D-4805-86B2-6CC31CB60A49}" uniqueName="72" name="TUSD Subsidio" queryTableFieldId="27" dataDxfId="68"/>
    <tableColumn id="73" xr3:uid="{E8860C36-9291-427C-879D-94C1850FA48C}" uniqueName="73" name="TUSD BENEFICIO_L14299" queryTableFieldId="28" dataDxfId="67"/>
    <tableColumn id="74" xr3:uid="{9386161F-5704-4768-AFD4-6805AB839E78}" uniqueName="74" name="TUSD Outros" queryTableFieldId="29" dataDxfId="66"/>
    <tableColumn id="75" xr3:uid="{8B61F022-9E2B-4750-A683-B135D66AB95C}" uniqueName="75" name="TUSD_PT" queryTableFieldId="30" dataDxfId="65"/>
    <tableColumn id="76" xr3:uid="{16922078-0243-48AA-A6EB-77AD6E69B1EC}" uniqueName="76" name="TUSD_Per_RB_D" queryTableFieldId="31" dataDxfId="64"/>
    <tableColumn id="77" xr3:uid="{9CF5B6AD-70C2-40E9-A033-E84852858722}" uniqueName="77" name="TUSD_PNT" queryTableFieldId="32" dataDxfId="63"/>
    <tableColumn id="78" xr3:uid="{709817F1-B42D-4C3B-893D-AD907155F7C0}" uniqueName="78" name="TUSD_RI" queryTableFieldId="33" dataDxfId="62"/>
    <tableColumn id="79" xr3:uid="{BAD9F654-D200-412C-8E26-788E9A487C4D}" uniqueName="79" name="TE_CDE_COVID" queryTableFieldId="34" dataDxfId="61"/>
    <tableColumn id="80" xr3:uid="{0EC6C0A6-2B94-4395-BE02-F11F1A4FF201}" uniqueName="80" name="TE_CDE_ELET" queryTableFieldId="35" dataDxfId="60"/>
    <tableColumn id="81" xr3:uid="{2073188D-411C-4A90-B019-2BBB5E5FEDA0}" uniqueName="81" name="TE_PeD" queryTableFieldId="36" dataDxfId="59"/>
    <tableColumn id="82" xr3:uid="{41BA6ED4-C6DF-4CD0-AEF4-D2BF8557E5AF}" uniqueName="82" name="TE_ESSERR" queryTableFieldId="37" dataDxfId="58"/>
    <tableColumn id="83" xr3:uid="{DD12EB83-FC83-467C-AADE-4FE242F0EC61}" uniqueName="83" name="TE_CFURH" queryTableFieldId="38" dataDxfId="57"/>
    <tableColumn id="84" xr3:uid="{24176A78-3BC4-4FB5-A2F0-1DFCBCFD2F2E}" uniqueName="84" name="TE_ENERGIA" queryTableFieldId="39" dataDxfId="56"/>
    <tableColumn id="85" xr3:uid="{A299C3F7-8DC5-4947-8604-6BCC382F6907}" uniqueName="85" name="TE_TRANSPORTE_ITAIPU" queryTableFieldId="40" dataDxfId="55"/>
    <tableColumn id="86" xr3:uid="{3B390A37-51A3-41C4-BC03-BDC7341A67F9}" uniqueName="86" name="TE_TUST_ITAIPU" queryTableFieldId="41" dataDxfId="54"/>
    <tableColumn id="87" xr3:uid="{F92CC7D1-F8CD-4FF2-8FCB-981B805839C5}" uniqueName="87" name="TE_TUST_CI" queryTableFieldId="42" dataDxfId="53"/>
    <tableColumn id="88" xr3:uid="{2CF16053-F6DD-425C-99CD-2441071577B3}" uniqueName="88" name="TE Subsidio" queryTableFieldId="43" dataDxfId="52"/>
    <tableColumn id="89" xr3:uid="{8771C4CD-2E01-44A5-8E6D-A646B2B3BECF}" uniqueName="89" name="TE BENEFICIO_L14299" queryTableFieldId="44" dataDxfId="51"/>
    <tableColumn id="90" xr3:uid="{305BF4E5-8406-478E-BFB2-43F73C8193D7}" uniqueName="90" name="TE_Per_RB" queryTableFieldId="45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A0891D-9999-4E95-8AD3-EBCA4BF8A07F}" name="TabelaCVA" displayName="TabelaCVA" ref="B3:AT52" tableType="queryTable" totalsRowShown="0" headerRowDxfId="49" dataDxfId="47" headerRowBorderDxfId="48" tableBorderDxfId="46" totalsRowBorderDxfId="45">
  <autoFilter ref="B3:AT52" xr:uid="{11A0891D-9999-4E95-8AD3-EBCA4BF8A07F}"/>
  <sortState xmlns:xlrd2="http://schemas.microsoft.com/office/spreadsheetml/2017/richdata2" ref="B4:AT52">
    <sortCondition ref="B4:B52"/>
    <sortCondition ref="C4:C52"/>
    <sortCondition ref="D4:D52"/>
    <sortCondition ref="E4:E52"/>
    <sortCondition ref="F4:F52"/>
    <sortCondition descending="1" ref="G4:G52"/>
    <sortCondition descending="1" ref="H4:H52"/>
    <sortCondition ref="I4:I52"/>
  </sortState>
  <tableColumns count="45">
    <tableColumn id="46" xr3:uid="{8B3C74A4-8AED-4BB1-A0D5-29EBFDF9CA91}" uniqueName="46" name="SUBGRUPO" queryTableFieldId="1" dataDxfId="44"/>
    <tableColumn id="47" xr3:uid="{7CC002A3-1127-4663-982E-7F94B616CC88}" uniqueName="47" name="MODALIDADE" queryTableFieldId="2" dataDxfId="43"/>
    <tableColumn id="48" xr3:uid="{790010A2-7C83-415A-8791-BB027F2E0DCB}" uniqueName="48" name="CLASSE" queryTableFieldId="3" dataDxfId="42"/>
    <tableColumn id="49" xr3:uid="{A66773E1-5C07-4DD2-A3FF-786B617559A1}" uniqueName="49" name="SUBCLASSE" queryTableFieldId="4" dataDxfId="41"/>
    <tableColumn id="50" xr3:uid="{9F97F25A-7478-4F7D-82C8-6A643ABD3321}" uniqueName="50" name="DETALHE" queryTableFieldId="5" dataDxfId="40"/>
    <tableColumn id="51" xr3:uid="{EF488BAA-341E-412E-88CC-D36ACF40C0C5}" uniqueName="51" name="POSTO" queryTableFieldId="6" dataDxfId="39"/>
    <tableColumn id="52" xr3:uid="{0980F9A8-3DEC-45C3-BB5C-CBCFA2E22615}" uniqueName="52" name="UNIDADE" queryTableFieldId="7" dataDxfId="38"/>
    <tableColumn id="53" xr3:uid="{BAA58452-8E3D-43F9-B70E-318E6186C973}" uniqueName="53" name="ACESSANTE" queryTableFieldId="8" dataDxfId="37"/>
    <tableColumn id="54" xr3:uid="{B3A7A884-D7B8-4280-93E5-2E6852A924DD}" uniqueName="54" name="Total TUSD" queryTableFieldId="9" dataDxfId="36"/>
    <tableColumn id="55" xr3:uid="{8556D82C-47AE-4C5F-8D93-B16C4DFF4872}" uniqueName="55" name="Total TE" queryTableFieldId="10" dataDxfId="35"/>
    <tableColumn id="56" xr3:uid="{56A30470-7A71-448F-86D7-4AE409D7924B}" uniqueName="56" name="TUSD_CDE_COVID" queryTableFieldId="11" dataDxfId="34"/>
    <tableColumn id="57" xr3:uid="{915125E5-AC29-420D-AC1E-37463BC0DE53}" uniqueName="57" name="TUSD_TFSEE" queryTableFieldId="12" dataDxfId="33"/>
    <tableColumn id="58" xr3:uid="{8BD4AF13-DB25-46CB-8D4A-41A9D5A1338C}" uniqueName="58" name="TUSD_PeD" queryTableFieldId="13" dataDxfId="32"/>
    <tableColumn id="59" xr3:uid="{8F319866-88C0-4714-AE16-47CBCA0893E2}" uniqueName="59" name="TUSD_ONS" queryTableFieldId="14" dataDxfId="31"/>
    <tableColumn id="60" xr3:uid="{8EC6C46A-1BF5-4352-AB28-C848BB8E790E}" uniqueName="60" name="TUSD_CCC" queryTableFieldId="15" dataDxfId="30"/>
    <tableColumn id="61" xr3:uid="{E1480F97-8B99-4E7A-B65E-DBCA824EF49F}" uniqueName="61" name="TUSD_CDE" queryTableFieldId="16" dataDxfId="29"/>
    <tableColumn id="62" xr3:uid="{2DF4478E-48DD-4B57-A5BC-85E706381ED3}" uniqueName="62" name="TUSD_PROINFA" queryTableFieldId="17" dataDxfId="28"/>
    <tableColumn id="63" xr3:uid="{1E69ABC3-ACAD-41DE-81F8-662904290199}" uniqueName="63" name="Liminar1" queryTableFieldId="18" dataDxfId="27"/>
    <tableColumn id="64" xr3:uid="{0E4E3543-2876-4A27-83FB-EA641F0172B2}" uniqueName="64" name="TUSD_RB" queryTableFieldId="19" dataDxfId="26"/>
    <tableColumn id="65" xr3:uid="{457D4244-6D24-4624-BD5D-7C9907984064}" uniqueName="65" name="TUSD_FR" queryTableFieldId="20" dataDxfId="25"/>
    <tableColumn id="66" xr3:uid="{13E5A1D5-BA0E-4C61-8A80-9A41D8048E4F}" uniqueName="66" name="TUSD_CCT" queryTableFieldId="21" dataDxfId="24"/>
    <tableColumn id="67" xr3:uid="{2C4A9613-CBB3-4A11-97B1-BA6E5E3C7575}" uniqueName="67" name="TUSD_CCD" queryTableFieldId="22" dataDxfId="23"/>
    <tableColumn id="68" xr3:uid="{586F33C7-BC3A-4C47-8D91-D0F36A8048AA}" uniqueName="68" name="TUSD_CUSD" queryTableFieldId="23" dataDxfId="22"/>
    <tableColumn id="69" xr3:uid="{A373E5A0-0E6A-445B-9404-26BB5309A6DA}" uniqueName="69" name="TUSDG_T" queryTableFieldId="24" dataDxfId="21"/>
    <tableColumn id="70" xr3:uid="{B9465D7E-BCF0-4BCB-9FDF-DCE713E25486}" uniqueName="70" name="TUSDG_ONS" queryTableFieldId="25" dataDxfId="20"/>
    <tableColumn id="71" xr3:uid="{3C8D82F7-F816-46F3-BC40-2B2611A1B3BF}" uniqueName="71" name="TUSD_FioB" queryTableFieldId="26" dataDxfId="19"/>
    <tableColumn id="72" xr3:uid="{D4C20349-6CD1-4792-B676-D1F87A4AEF69}" uniqueName="72" name="TUSD Subsidio" queryTableFieldId="27" dataDxfId="18"/>
    <tableColumn id="73" xr3:uid="{E3061AEC-F092-4B75-B093-54FE74F11473}" uniqueName="73" name="TUSD BENEFICIO_L14299" queryTableFieldId="28" dataDxfId="17"/>
    <tableColumn id="74" xr3:uid="{BAAC6CC3-8F62-498C-B622-45C31678532C}" uniqueName="74" name="TUSD Outros" queryTableFieldId="29" dataDxfId="16"/>
    <tableColumn id="75" xr3:uid="{5A572B4E-8242-4F37-AAF7-5A8653EF374B}" uniqueName="75" name="TUSD_PT" queryTableFieldId="30" dataDxfId="15"/>
    <tableColumn id="76" xr3:uid="{8A539680-4421-4752-B024-070A1DCE17BD}" uniqueName="76" name="TUSD_Per_RB_D" queryTableFieldId="31" dataDxfId="14"/>
    <tableColumn id="77" xr3:uid="{1AD700BD-3840-4ED0-BDDE-148CF42153CA}" uniqueName="77" name="TUSD_PNT" queryTableFieldId="32" dataDxfId="13"/>
    <tableColumn id="78" xr3:uid="{A3E5D2E6-CF21-44AC-A0B3-3CC8DB015EC0}" uniqueName="78" name="TUSD_RI" queryTableFieldId="33" dataDxfId="12"/>
    <tableColumn id="79" xr3:uid="{5015BA85-7D82-483A-BF01-33FBF439B854}" uniqueName="79" name="TE_CDE_COVID" queryTableFieldId="34" dataDxfId="11"/>
    <tableColumn id="80" xr3:uid="{703B7C4E-32B1-416B-B660-58965E2E72F3}" uniqueName="80" name="TE_CDE_ELET" queryTableFieldId="35" dataDxfId="10"/>
    <tableColumn id="81" xr3:uid="{4D53D509-F6F9-4EAD-A3A5-C9E12CE35D0F}" uniqueName="81" name="TE_PeD" queryTableFieldId="36" dataDxfId="9"/>
    <tableColumn id="82" xr3:uid="{3BE6C5EC-FFA4-4FA5-9743-FDA1E9383230}" uniqueName="82" name="TE_ESSERR" queryTableFieldId="37" dataDxfId="8"/>
    <tableColumn id="83" xr3:uid="{18CB4A5F-1302-4978-A7B6-7B244B92778E}" uniqueName="83" name="TE_CFURH" queryTableFieldId="38" dataDxfId="7"/>
    <tableColumn id="84" xr3:uid="{BE8C0883-DABD-4C06-890F-01ADF413C98B}" uniqueName="84" name="TE_ENERGIA" queryTableFieldId="39" dataDxfId="6"/>
    <tableColumn id="85" xr3:uid="{BB7A55C2-C1BE-4628-BC80-72ECAFCEE786}" uniqueName="85" name="TE_TRANSPORTE_ITAIPU" queryTableFieldId="40" dataDxfId="5"/>
    <tableColumn id="86" xr3:uid="{C5D0E1B5-311D-44DD-98B6-70C87B431646}" uniqueName="86" name="TE_TUST_ITAIPU" queryTableFieldId="41" dataDxfId="4"/>
    <tableColumn id="87" xr3:uid="{BE0EE809-11D6-42D5-97CC-5731BEAC9D01}" uniqueName="87" name="TE_TUST_CI" queryTableFieldId="42" dataDxfId="3"/>
    <tableColumn id="88" xr3:uid="{08ACC175-00B3-48D6-A6F8-B3C94983CD26}" uniqueName="88" name="TE Subsidio" queryTableFieldId="43" dataDxfId="2"/>
    <tableColumn id="89" xr3:uid="{5B78A2E9-014E-4956-A63A-60BD910869F3}" uniqueName="89" name="TE BENEFICIO_L14299" queryTableFieldId="44" dataDxfId="1"/>
    <tableColumn id="90" xr3:uid="{2836123F-724A-4A61-B536-215C66367F6F}" uniqueName="90" name="TE_Per_RB" queryTableFieldId="4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99E3-842C-4A12-A6A8-5ED6025B8CB4}">
  <sheetPr codeName="Planilha1"/>
  <dimension ref="A1:W644"/>
  <sheetViews>
    <sheetView showGridLines="0" topLeftCell="H601" workbookViewId="0">
      <selection activeCell="T645" sqref="T645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3" style="3" bestFit="1" customWidth="1"/>
    <col min="8" max="8" width="10.28515625" style="3" bestFit="1" customWidth="1"/>
    <col min="9" max="9" width="8.7109375" style="6" bestFit="1" customWidth="1"/>
    <col min="10" max="11" width="7.85546875" style="4" bestFit="1" customWidth="1"/>
    <col min="12" max="12" width="7" style="4" bestFit="1" customWidth="1"/>
    <col min="13" max="13" width="8" style="4" bestFit="1" customWidth="1"/>
    <col min="14" max="15" width="7" style="4" bestFit="1" customWidth="1"/>
    <col min="16" max="16" width="7.85546875" style="4" bestFit="1" customWidth="1"/>
    <col min="17" max="17" width="10.1406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103</v>
      </c>
      <c r="T1" s="1" t="s">
        <v>326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48</v>
      </c>
      <c r="D2" s="3" t="s">
        <v>46</v>
      </c>
      <c r="E2" s="3" t="s">
        <v>47</v>
      </c>
      <c r="F2" s="3" t="s">
        <v>25</v>
      </c>
      <c r="G2" s="3" t="s">
        <v>25</v>
      </c>
      <c r="H2" s="3" t="s">
        <v>38</v>
      </c>
      <c r="I2" s="6">
        <v>44440</v>
      </c>
      <c r="J2" s="4">
        <v>119</v>
      </c>
      <c r="K2" s="4">
        <v>111.86</v>
      </c>
      <c r="L2" s="4">
        <v>67.009</v>
      </c>
      <c r="M2" s="4">
        <v>62.988459999999996</v>
      </c>
      <c r="N2" s="4">
        <v>67.009</v>
      </c>
      <c r="O2" s="4">
        <v>62.988459999999996</v>
      </c>
      <c r="P2" s="4">
        <v>0</v>
      </c>
      <c r="Q2" s="3" t="s">
        <v>26</v>
      </c>
      <c r="R2" s="3">
        <v>0</v>
      </c>
      <c r="S2" s="3" t="s">
        <v>104</v>
      </c>
      <c r="T2" s="3" t="s">
        <v>327</v>
      </c>
      <c r="U2" s="3">
        <v>11</v>
      </c>
      <c r="V2" s="3">
        <v>14</v>
      </c>
      <c r="W2" s="3">
        <v>69</v>
      </c>
    </row>
    <row r="3" spans="1:23" ht="11.25" customHeight="1" x14ac:dyDescent="0.25">
      <c r="A3" s="3" t="s">
        <v>21</v>
      </c>
      <c r="B3" s="3" t="s">
        <v>35</v>
      </c>
      <c r="C3" s="3" t="s">
        <v>48</v>
      </c>
      <c r="D3" s="3" t="s">
        <v>46</v>
      </c>
      <c r="E3" s="3" t="s">
        <v>47</v>
      </c>
      <c r="F3" s="3" t="s">
        <v>25</v>
      </c>
      <c r="G3" s="3" t="s">
        <v>25</v>
      </c>
      <c r="H3" s="3" t="s">
        <v>38</v>
      </c>
      <c r="I3" s="6">
        <v>44470</v>
      </c>
      <c r="J3" s="4">
        <v>119</v>
      </c>
      <c r="K3" s="4">
        <v>111.86</v>
      </c>
      <c r="L3" s="4">
        <v>67.436000000000007</v>
      </c>
      <c r="M3" s="4">
        <v>63.38984</v>
      </c>
      <c r="N3" s="4">
        <v>67.436000000000007</v>
      </c>
      <c r="O3" s="4">
        <v>63.38984</v>
      </c>
      <c r="P3" s="4">
        <v>0</v>
      </c>
      <c r="Q3" s="3" t="s">
        <v>26</v>
      </c>
      <c r="R3" s="3">
        <v>0</v>
      </c>
      <c r="S3" s="3" t="s">
        <v>105</v>
      </c>
      <c r="T3" s="3" t="s">
        <v>328</v>
      </c>
      <c r="U3" s="3">
        <v>11</v>
      </c>
      <c r="V3" s="3">
        <v>14</v>
      </c>
      <c r="W3" s="3">
        <v>69</v>
      </c>
    </row>
    <row r="4" spans="1:23" ht="11.25" customHeight="1" x14ac:dyDescent="0.25">
      <c r="A4" s="3" t="s">
        <v>21</v>
      </c>
      <c r="B4" s="3" t="s">
        <v>35</v>
      </c>
      <c r="C4" s="3" t="s">
        <v>48</v>
      </c>
      <c r="D4" s="3" t="s">
        <v>46</v>
      </c>
      <c r="E4" s="3" t="s">
        <v>47</v>
      </c>
      <c r="F4" s="3" t="s">
        <v>25</v>
      </c>
      <c r="G4" s="3" t="s">
        <v>25</v>
      </c>
      <c r="H4" s="3" t="s">
        <v>38</v>
      </c>
      <c r="I4" s="6">
        <v>44501</v>
      </c>
      <c r="J4" s="4">
        <v>121</v>
      </c>
      <c r="K4" s="4">
        <v>113.74</v>
      </c>
      <c r="L4" s="4">
        <v>66.242999999999995</v>
      </c>
      <c r="M4" s="4">
        <v>62.268419999999999</v>
      </c>
      <c r="N4" s="4">
        <v>66.242999999999995</v>
      </c>
      <c r="O4" s="4">
        <v>62.268419999999999</v>
      </c>
      <c r="P4" s="4">
        <v>0</v>
      </c>
      <c r="Q4" s="3" t="s">
        <v>26</v>
      </c>
      <c r="R4" s="3">
        <v>0</v>
      </c>
      <c r="S4" s="3" t="s">
        <v>106</v>
      </c>
      <c r="T4" s="3" t="s">
        <v>329</v>
      </c>
      <c r="U4" s="3">
        <v>11</v>
      </c>
      <c r="V4" s="3">
        <v>14</v>
      </c>
      <c r="W4" s="3">
        <v>69</v>
      </c>
    </row>
    <row r="5" spans="1:23" ht="11.25" customHeight="1" x14ac:dyDescent="0.25">
      <c r="A5" s="3" t="s">
        <v>21</v>
      </c>
      <c r="B5" s="3" t="s">
        <v>35</v>
      </c>
      <c r="C5" s="3" t="s">
        <v>48</v>
      </c>
      <c r="D5" s="3" t="s">
        <v>46</v>
      </c>
      <c r="E5" s="3" t="s">
        <v>47</v>
      </c>
      <c r="F5" s="3" t="s">
        <v>25</v>
      </c>
      <c r="G5" s="3" t="s">
        <v>25</v>
      </c>
      <c r="H5" s="3" t="s">
        <v>38</v>
      </c>
      <c r="I5" s="6">
        <v>44531</v>
      </c>
      <c r="J5" s="4">
        <v>119</v>
      </c>
      <c r="K5" s="4">
        <v>111.86</v>
      </c>
      <c r="L5" s="4">
        <v>67.462000000000003</v>
      </c>
      <c r="M5" s="4">
        <v>63.414279999999998</v>
      </c>
      <c r="N5" s="4">
        <v>67.462000000000003</v>
      </c>
      <c r="O5" s="4">
        <v>63.414279999999998</v>
      </c>
      <c r="P5" s="4">
        <v>0</v>
      </c>
      <c r="Q5" s="3" t="s">
        <v>26</v>
      </c>
      <c r="R5" s="3">
        <v>0</v>
      </c>
      <c r="S5" s="3" t="s">
        <v>107</v>
      </c>
      <c r="T5" s="3" t="s">
        <v>330</v>
      </c>
      <c r="U5" s="3">
        <v>11</v>
      </c>
      <c r="V5" s="3">
        <v>14</v>
      </c>
      <c r="W5" s="3">
        <v>69</v>
      </c>
    </row>
    <row r="6" spans="1:23" ht="11.25" customHeight="1" x14ac:dyDescent="0.25">
      <c r="A6" s="3" t="s">
        <v>21</v>
      </c>
      <c r="B6" s="3" t="s">
        <v>35</v>
      </c>
      <c r="C6" s="3" t="s">
        <v>48</v>
      </c>
      <c r="D6" s="3" t="s">
        <v>46</v>
      </c>
      <c r="E6" s="3" t="s">
        <v>47</v>
      </c>
      <c r="F6" s="3" t="s">
        <v>25</v>
      </c>
      <c r="G6" s="3" t="s">
        <v>25</v>
      </c>
      <c r="H6" s="3" t="s">
        <v>38</v>
      </c>
      <c r="I6" s="6">
        <v>44562</v>
      </c>
      <c r="J6" s="4">
        <v>123</v>
      </c>
      <c r="K6" s="4">
        <v>115.62</v>
      </c>
      <c r="L6" s="4">
        <v>71.691000000000003</v>
      </c>
      <c r="M6" s="4">
        <v>67.389539999999997</v>
      </c>
      <c r="N6" s="4">
        <v>71.691000000000003</v>
      </c>
      <c r="O6" s="4">
        <v>67.389539999999997</v>
      </c>
      <c r="P6" s="4">
        <v>0</v>
      </c>
      <c r="Q6" s="3" t="s">
        <v>26</v>
      </c>
      <c r="R6" s="3">
        <v>0</v>
      </c>
      <c r="S6" s="3" t="s">
        <v>108</v>
      </c>
      <c r="T6" s="3" t="s">
        <v>331</v>
      </c>
      <c r="U6" s="3">
        <v>11</v>
      </c>
      <c r="V6" s="3">
        <v>14</v>
      </c>
      <c r="W6" s="3">
        <v>69</v>
      </c>
    </row>
    <row r="7" spans="1:23" ht="11.25" customHeight="1" x14ac:dyDescent="0.25">
      <c r="A7" s="3" t="s">
        <v>21</v>
      </c>
      <c r="B7" s="3" t="s">
        <v>35</v>
      </c>
      <c r="C7" s="3" t="s">
        <v>48</v>
      </c>
      <c r="D7" s="3" t="s">
        <v>46</v>
      </c>
      <c r="E7" s="3" t="s">
        <v>47</v>
      </c>
      <c r="F7" s="3" t="s">
        <v>25</v>
      </c>
      <c r="G7" s="3" t="s">
        <v>25</v>
      </c>
      <c r="H7" s="3" t="s">
        <v>38</v>
      </c>
      <c r="I7" s="6">
        <v>44593</v>
      </c>
      <c r="J7" s="4">
        <v>123</v>
      </c>
      <c r="K7" s="4">
        <v>115.62</v>
      </c>
      <c r="L7" s="4">
        <v>64.504000000000005</v>
      </c>
      <c r="M7" s="4">
        <v>60.633760000000002</v>
      </c>
      <c r="N7" s="4">
        <v>64.504000000000005</v>
      </c>
      <c r="O7" s="4">
        <v>60.633760000000002</v>
      </c>
      <c r="P7" s="4">
        <v>0</v>
      </c>
      <c r="Q7" s="3" t="s">
        <v>26</v>
      </c>
      <c r="R7" s="3">
        <v>0</v>
      </c>
      <c r="S7" s="3" t="s">
        <v>109</v>
      </c>
      <c r="T7" s="3" t="s">
        <v>332</v>
      </c>
      <c r="U7" s="3">
        <v>11</v>
      </c>
      <c r="V7" s="3">
        <v>14</v>
      </c>
      <c r="W7" s="3">
        <v>69</v>
      </c>
    </row>
    <row r="8" spans="1:23" ht="11.25" customHeight="1" x14ac:dyDescent="0.25">
      <c r="A8" s="3" t="s">
        <v>21</v>
      </c>
      <c r="B8" s="3" t="s">
        <v>35</v>
      </c>
      <c r="C8" s="3" t="s">
        <v>48</v>
      </c>
      <c r="D8" s="3" t="s">
        <v>46</v>
      </c>
      <c r="E8" s="3" t="s">
        <v>47</v>
      </c>
      <c r="F8" s="3" t="s">
        <v>25</v>
      </c>
      <c r="G8" s="3" t="s">
        <v>25</v>
      </c>
      <c r="H8" s="3" t="s">
        <v>38</v>
      </c>
      <c r="I8" s="6">
        <v>44621</v>
      </c>
      <c r="J8" s="4">
        <v>121</v>
      </c>
      <c r="K8" s="4">
        <v>113.74</v>
      </c>
      <c r="L8" s="4">
        <v>68.736000000000004</v>
      </c>
      <c r="M8" s="4">
        <v>64.611840000000001</v>
      </c>
      <c r="N8" s="4">
        <v>68.736000000000004</v>
      </c>
      <c r="O8" s="4">
        <v>64.611840000000001</v>
      </c>
      <c r="P8" s="4">
        <v>0</v>
      </c>
      <c r="Q8" s="3" t="s">
        <v>26</v>
      </c>
      <c r="R8" s="3">
        <v>0</v>
      </c>
      <c r="S8" s="3" t="s">
        <v>110</v>
      </c>
      <c r="T8" s="3" t="s">
        <v>333</v>
      </c>
      <c r="U8" s="3">
        <v>11</v>
      </c>
      <c r="V8" s="3">
        <v>14</v>
      </c>
      <c r="W8" s="3">
        <v>69</v>
      </c>
    </row>
    <row r="9" spans="1:23" ht="11.25" customHeight="1" x14ac:dyDescent="0.25">
      <c r="A9" s="3" t="s">
        <v>21</v>
      </c>
      <c r="B9" s="3" t="s">
        <v>35</v>
      </c>
      <c r="C9" s="3" t="s">
        <v>48</v>
      </c>
      <c r="D9" s="3" t="s">
        <v>46</v>
      </c>
      <c r="E9" s="3" t="s">
        <v>47</v>
      </c>
      <c r="F9" s="3" t="s">
        <v>25</v>
      </c>
      <c r="G9" s="3" t="s">
        <v>25</v>
      </c>
      <c r="H9" s="3" t="s">
        <v>38</v>
      </c>
      <c r="I9" s="6">
        <v>44652</v>
      </c>
      <c r="J9" s="4">
        <v>119</v>
      </c>
      <c r="K9" s="4">
        <v>111.86</v>
      </c>
      <c r="L9" s="4">
        <v>69.516000000000005</v>
      </c>
      <c r="M9" s="4">
        <v>65.345039999999997</v>
      </c>
      <c r="N9" s="4">
        <v>69.516000000000005</v>
      </c>
      <c r="O9" s="4">
        <v>65.345039999999997</v>
      </c>
      <c r="P9" s="4">
        <v>0</v>
      </c>
      <c r="Q9" s="3" t="s">
        <v>26</v>
      </c>
      <c r="R9" s="3">
        <v>0</v>
      </c>
      <c r="S9" s="3" t="s">
        <v>111</v>
      </c>
      <c r="T9" s="3" t="s">
        <v>334</v>
      </c>
      <c r="U9" s="3">
        <v>11</v>
      </c>
      <c r="V9" s="3">
        <v>14</v>
      </c>
      <c r="W9" s="3">
        <v>69</v>
      </c>
    </row>
    <row r="10" spans="1:23" ht="11.25" customHeight="1" x14ac:dyDescent="0.25">
      <c r="A10" s="3" t="s">
        <v>21</v>
      </c>
      <c r="B10" s="3" t="s">
        <v>35</v>
      </c>
      <c r="C10" s="3" t="s">
        <v>48</v>
      </c>
      <c r="D10" s="3" t="s">
        <v>46</v>
      </c>
      <c r="E10" s="3" t="s">
        <v>47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140</v>
      </c>
      <c r="K10" s="4">
        <v>131.6</v>
      </c>
      <c r="L10" s="4">
        <v>68.391999999999996</v>
      </c>
      <c r="M10" s="4">
        <v>64.288480000000007</v>
      </c>
      <c r="N10" s="4">
        <v>68.391999999999996</v>
      </c>
      <c r="O10" s="4">
        <v>64.288480000000007</v>
      </c>
      <c r="P10" s="4">
        <v>0</v>
      </c>
      <c r="Q10" s="3" t="s">
        <v>26</v>
      </c>
      <c r="R10" s="3">
        <v>0</v>
      </c>
      <c r="S10" s="3" t="s">
        <v>112</v>
      </c>
      <c r="T10" s="3" t="s">
        <v>335</v>
      </c>
      <c r="U10" s="3">
        <v>11</v>
      </c>
      <c r="V10" s="3">
        <v>14</v>
      </c>
      <c r="W10" s="3">
        <v>69</v>
      </c>
    </row>
    <row r="11" spans="1:23" ht="11.25" customHeight="1" x14ac:dyDescent="0.25">
      <c r="A11" s="3" t="s">
        <v>21</v>
      </c>
      <c r="B11" s="3" t="s">
        <v>35</v>
      </c>
      <c r="C11" s="3" t="s">
        <v>48</v>
      </c>
      <c r="D11" s="3" t="s">
        <v>46</v>
      </c>
      <c r="E11" s="3" t="s">
        <v>47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119</v>
      </c>
      <c r="K11" s="4">
        <v>111.86</v>
      </c>
      <c r="L11" s="4">
        <v>63.353000000000002</v>
      </c>
      <c r="M11" s="4">
        <v>59.551819999999999</v>
      </c>
      <c r="N11" s="4">
        <v>63.353000000000002</v>
      </c>
      <c r="O11" s="4">
        <v>59.551819999999999</v>
      </c>
      <c r="P11" s="4">
        <v>0</v>
      </c>
      <c r="Q11" s="3" t="s">
        <v>26</v>
      </c>
      <c r="R11" s="3">
        <v>0</v>
      </c>
      <c r="S11" s="3" t="s">
        <v>113</v>
      </c>
      <c r="T11" s="3" t="s">
        <v>336</v>
      </c>
      <c r="U11" s="3">
        <v>11</v>
      </c>
      <c r="V11" s="3">
        <v>14</v>
      </c>
      <c r="W11" s="3">
        <v>69</v>
      </c>
    </row>
    <row r="12" spans="1:23" ht="11.25" customHeight="1" x14ac:dyDescent="0.25">
      <c r="A12" s="3" t="s">
        <v>21</v>
      </c>
      <c r="B12" s="3" t="s">
        <v>35</v>
      </c>
      <c r="C12" s="3" t="s">
        <v>48</v>
      </c>
      <c r="D12" s="3" t="s">
        <v>46</v>
      </c>
      <c r="E12" s="3" t="s">
        <v>47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119</v>
      </c>
      <c r="K12" s="4">
        <v>111.86</v>
      </c>
      <c r="L12" s="4">
        <v>65.085999999999999</v>
      </c>
      <c r="M12" s="4">
        <v>61.180840000000003</v>
      </c>
      <c r="N12" s="4">
        <v>65.085999999999999</v>
      </c>
      <c r="O12" s="4">
        <v>61.180840000000003</v>
      </c>
      <c r="P12" s="4">
        <v>0</v>
      </c>
      <c r="Q12" s="3" t="s">
        <v>26</v>
      </c>
      <c r="R12" s="3">
        <v>0</v>
      </c>
      <c r="S12" s="3" t="s">
        <v>114</v>
      </c>
      <c r="T12" s="3" t="s">
        <v>337</v>
      </c>
      <c r="U12" s="3">
        <v>11</v>
      </c>
      <c r="V12" s="3">
        <v>14</v>
      </c>
      <c r="W12" s="3">
        <v>69</v>
      </c>
    </row>
    <row r="13" spans="1:23" ht="11.25" customHeight="1" x14ac:dyDescent="0.25">
      <c r="A13" s="3" t="s">
        <v>21</v>
      </c>
      <c r="B13" s="3" t="s">
        <v>35</v>
      </c>
      <c r="C13" s="3" t="s">
        <v>48</v>
      </c>
      <c r="D13" s="3" t="s">
        <v>46</v>
      </c>
      <c r="E13" s="3" t="s">
        <v>47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119</v>
      </c>
      <c r="K13" s="4">
        <v>111.86</v>
      </c>
      <c r="L13" s="4">
        <v>63.167999999999999</v>
      </c>
      <c r="M13" s="4">
        <v>59.377920000000003</v>
      </c>
      <c r="N13" s="4">
        <v>63.167999999999999</v>
      </c>
      <c r="O13" s="4">
        <v>59.377920000000003</v>
      </c>
      <c r="P13" s="4">
        <v>0</v>
      </c>
      <c r="Q13" s="3" t="s">
        <v>26</v>
      </c>
      <c r="R13" s="3">
        <v>0</v>
      </c>
      <c r="S13" s="3" t="s">
        <v>115</v>
      </c>
      <c r="T13" s="3" t="s">
        <v>338</v>
      </c>
      <c r="U13" s="3">
        <v>11</v>
      </c>
      <c r="V13" s="3">
        <v>14</v>
      </c>
      <c r="W13" s="3">
        <v>69</v>
      </c>
    </row>
    <row r="14" spans="1:23" ht="11.25" customHeight="1" x14ac:dyDescent="0.25">
      <c r="A14" s="3" t="s">
        <v>21</v>
      </c>
      <c r="B14" s="3" t="s">
        <v>35</v>
      </c>
      <c r="C14" s="3" t="s">
        <v>48</v>
      </c>
      <c r="D14" s="3" t="s">
        <v>46</v>
      </c>
      <c r="E14" s="3" t="s">
        <v>47</v>
      </c>
      <c r="F14" s="3" t="s">
        <v>25</v>
      </c>
      <c r="G14" s="3" t="s">
        <v>25</v>
      </c>
      <c r="H14" s="3" t="s">
        <v>37</v>
      </c>
      <c r="I14" s="6">
        <v>44440</v>
      </c>
      <c r="J14" s="4">
        <v>119</v>
      </c>
      <c r="K14" s="4">
        <v>111.86</v>
      </c>
      <c r="L14" s="4">
        <v>8.0259999999999998</v>
      </c>
      <c r="M14" s="4">
        <v>7.5444399999999998</v>
      </c>
      <c r="N14" s="4">
        <v>8.0259999999999998</v>
      </c>
      <c r="O14" s="4">
        <v>7.5444399999999998</v>
      </c>
      <c r="P14" s="4">
        <v>0</v>
      </c>
      <c r="Q14" s="3" t="s">
        <v>26</v>
      </c>
      <c r="R14" s="3">
        <v>0</v>
      </c>
      <c r="S14" s="3" t="s">
        <v>116</v>
      </c>
      <c r="T14" s="3" t="s">
        <v>339</v>
      </c>
      <c r="U14" s="3">
        <v>8</v>
      </c>
      <c r="V14" s="3">
        <v>14</v>
      </c>
      <c r="W14" s="3">
        <v>77</v>
      </c>
    </row>
    <row r="15" spans="1:23" ht="11.25" customHeight="1" x14ac:dyDescent="0.25">
      <c r="A15" s="3" t="s">
        <v>21</v>
      </c>
      <c r="B15" s="3" t="s">
        <v>35</v>
      </c>
      <c r="C15" s="3" t="s">
        <v>48</v>
      </c>
      <c r="D15" s="3" t="s">
        <v>46</v>
      </c>
      <c r="E15" s="3" t="s">
        <v>47</v>
      </c>
      <c r="F15" s="3" t="s">
        <v>25</v>
      </c>
      <c r="G15" s="3" t="s">
        <v>25</v>
      </c>
      <c r="H15" s="3" t="s">
        <v>37</v>
      </c>
      <c r="I15" s="6">
        <v>44470</v>
      </c>
      <c r="J15" s="4">
        <v>119</v>
      </c>
      <c r="K15" s="4">
        <v>111.86</v>
      </c>
      <c r="L15" s="4">
        <v>7.4390000000000001</v>
      </c>
      <c r="M15" s="4">
        <v>6.9926599999999999</v>
      </c>
      <c r="N15" s="4">
        <v>7.4390000000000001</v>
      </c>
      <c r="O15" s="4">
        <v>6.9926599999999999</v>
      </c>
      <c r="P15" s="4">
        <v>0</v>
      </c>
      <c r="Q15" s="3" t="s">
        <v>26</v>
      </c>
      <c r="R15" s="3">
        <v>0</v>
      </c>
      <c r="S15" s="3" t="s">
        <v>117</v>
      </c>
      <c r="T15" s="3" t="s">
        <v>340</v>
      </c>
      <c r="U15" s="3">
        <v>8</v>
      </c>
      <c r="V15" s="3">
        <v>14</v>
      </c>
      <c r="W15" s="3">
        <v>77</v>
      </c>
    </row>
    <row r="16" spans="1:23" ht="11.25" customHeight="1" x14ac:dyDescent="0.25">
      <c r="A16" s="3" t="s">
        <v>21</v>
      </c>
      <c r="B16" s="3" t="s">
        <v>35</v>
      </c>
      <c r="C16" s="3" t="s">
        <v>48</v>
      </c>
      <c r="D16" s="3" t="s">
        <v>46</v>
      </c>
      <c r="E16" s="3" t="s">
        <v>47</v>
      </c>
      <c r="F16" s="3" t="s">
        <v>25</v>
      </c>
      <c r="G16" s="3" t="s">
        <v>25</v>
      </c>
      <c r="H16" s="3" t="s">
        <v>37</v>
      </c>
      <c r="I16" s="6">
        <v>44501</v>
      </c>
      <c r="J16" s="4">
        <v>120</v>
      </c>
      <c r="K16" s="4">
        <v>112.8</v>
      </c>
      <c r="L16" s="4">
        <v>7.6929999999999996</v>
      </c>
      <c r="M16" s="4">
        <v>7.23142</v>
      </c>
      <c r="N16" s="4">
        <v>7.6929999999999996</v>
      </c>
      <c r="O16" s="4">
        <v>7.23142</v>
      </c>
      <c r="P16" s="4">
        <v>0</v>
      </c>
      <c r="Q16" s="3" t="s">
        <v>26</v>
      </c>
      <c r="R16" s="3">
        <v>0</v>
      </c>
      <c r="S16" s="3" t="s">
        <v>118</v>
      </c>
      <c r="T16" s="3" t="s">
        <v>341</v>
      </c>
      <c r="U16" s="3">
        <v>8</v>
      </c>
      <c r="V16" s="3">
        <v>14</v>
      </c>
      <c r="W16" s="3">
        <v>77</v>
      </c>
    </row>
    <row r="17" spans="1:23" ht="11.25" customHeight="1" x14ac:dyDescent="0.25">
      <c r="A17" s="3" t="s">
        <v>21</v>
      </c>
      <c r="B17" s="3" t="s">
        <v>35</v>
      </c>
      <c r="C17" s="3" t="s">
        <v>48</v>
      </c>
      <c r="D17" s="3" t="s">
        <v>46</v>
      </c>
      <c r="E17" s="3" t="s">
        <v>47</v>
      </c>
      <c r="F17" s="3" t="s">
        <v>25</v>
      </c>
      <c r="G17" s="3" t="s">
        <v>25</v>
      </c>
      <c r="H17" s="3" t="s">
        <v>37</v>
      </c>
      <c r="I17" s="6">
        <v>44531</v>
      </c>
      <c r="J17" s="4">
        <v>119</v>
      </c>
      <c r="K17" s="4">
        <v>111.86</v>
      </c>
      <c r="L17" s="4">
        <v>7.806</v>
      </c>
      <c r="M17" s="4">
        <v>7.3376400000000004</v>
      </c>
      <c r="N17" s="4">
        <v>7.806</v>
      </c>
      <c r="O17" s="4">
        <v>7.3376400000000004</v>
      </c>
      <c r="P17" s="4">
        <v>0</v>
      </c>
      <c r="Q17" s="3" t="s">
        <v>26</v>
      </c>
      <c r="R17" s="3">
        <v>0</v>
      </c>
      <c r="S17" s="3" t="s">
        <v>119</v>
      </c>
      <c r="T17" s="3" t="s">
        <v>342</v>
      </c>
      <c r="U17" s="3">
        <v>8</v>
      </c>
      <c r="V17" s="3">
        <v>14</v>
      </c>
      <c r="W17" s="3">
        <v>77</v>
      </c>
    </row>
    <row r="18" spans="1:23" ht="11.25" customHeight="1" x14ac:dyDescent="0.25">
      <c r="A18" s="3" t="s">
        <v>21</v>
      </c>
      <c r="B18" s="3" t="s">
        <v>35</v>
      </c>
      <c r="C18" s="3" t="s">
        <v>48</v>
      </c>
      <c r="D18" s="3" t="s">
        <v>46</v>
      </c>
      <c r="E18" s="3" t="s">
        <v>47</v>
      </c>
      <c r="F18" s="3" t="s">
        <v>25</v>
      </c>
      <c r="G18" s="3" t="s">
        <v>25</v>
      </c>
      <c r="H18" s="3" t="s">
        <v>37</v>
      </c>
      <c r="I18" s="6">
        <v>44562</v>
      </c>
      <c r="J18" s="4">
        <v>122</v>
      </c>
      <c r="K18" s="4">
        <v>114.68</v>
      </c>
      <c r="L18" s="4">
        <v>7.3620000000000001</v>
      </c>
      <c r="M18" s="4">
        <v>6.92028</v>
      </c>
      <c r="N18" s="4">
        <v>7.3620000000000001</v>
      </c>
      <c r="O18" s="4">
        <v>6.92028</v>
      </c>
      <c r="P18" s="4">
        <v>0</v>
      </c>
      <c r="Q18" s="3" t="s">
        <v>26</v>
      </c>
      <c r="R18" s="3">
        <v>0</v>
      </c>
      <c r="S18" s="3" t="s">
        <v>120</v>
      </c>
      <c r="T18" s="3" t="s">
        <v>343</v>
      </c>
      <c r="U18" s="3">
        <v>8</v>
      </c>
      <c r="V18" s="3">
        <v>14</v>
      </c>
      <c r="W18" s="3">
        <v>77</v>
      </c>
    </row>
    <row r="19" spans="1:23" ht="11.25" customHeight="1" x14ac:dyDescent="0.25">
      <c r="A19" s="3" t="s">
        <v>21</v>
      </c>
      <c r="B19" s="3" t="s">
        <v>35</v>
      </c>
      <c r="C19" s="3" t="s">
        <v>48</v>
      </c>
      <c r="D19" s="3" t="s">
        <v>46</v>
      </c>
      <c r="E19" s="3" t="s">
        <v>47</v>
      </c>
      <c r="F19" s="3" t="s">
        <v>25</v>
      </c>
      <c r="G19" s="3" t="s">
        <v>25</v>
      </c>
      <c r="H19" s="3" t="s">
        <v>37</v>
      </c>
      <c r="I19" s="6">
        <v>44593</v>
      </c>
      <c r="J19" s="4">
        <v>122</v>
      </c>
      <c r="K19" s="4">
        <v>114.68</v>
      </c>
      <c r="L19" s="4">
        <v>7.2539999999999996</v>
      </c>
      <c r="M19" s="4">
        <v>6.8187600000000002</v>
      </c>
      <c r="N19" s="4">
        <v>7.2539999999999996</v>
      </c>
      <c r="O19" s="4">
        <v>6.8187600000000002</v>
      </c>
      <c r="P19" s="4">
        <v>0</v>
      </c>
      <c r="Q19" s="3" t="s">
        <v>26</v>
      </c>
      <c r="R19" s="3">
        <v>0</v>
      </c>
      <c r="S19" s="3" t="s">
        <v>121</v>
      </c>
      <c r="T19" s="3" t="s">
        <v>344</v>
      </c>
      <c r="U19" s="3">
        <v>8</v>
      </c>
      <c r="V19" s="3">
        <v>14</v>
      </c>
      <c r="W19" s="3">
        <v>77</v>
      </c>
    </row>
    <row r="20" spans="1:23" ht="11.25" customHeight="1" x14ac:dyDescent="0.25">
      <c r="A20" s="3" t="s">
        <v>21</v>
      </c>
      <c r="B20" s="3" t="s">
        <v>35</v>
      </c>
      <c r="C20" s="3" t="s">
        <v>48</v>
      </c>
      <c r="D20" s="3" t="s">
        <v>46</v>
      </c>
      <c r="E20" s="3" t="s">
        <v>47</v>
      </c>
      <c r="F20" s="3" t="s">
        <v>25</v>
      </c>
      <c r="G20" s="3" t="s">
        <v>25</v>
      </c>
      <c r="H20" s="3" t="s">
        <v>37</v>
      </c>
      <c r="I20" s="6">
        <v>44621</v>
      </c>
      <c r="J20" s="4">
        <v>121</v>
      </c>
      <c r="K20" s="4">
        <v>113.74</v>
      </c>
      <c r="L20" s="4">
        <v>7.9989999999999997</v>
      </c>
      <c r="M20" s="4">
        <v>7.5190599999999996</v>
      </c>
      <c r="N20" s="4">
        <v>7.9989999999999997</v>
      </c>
      <c r="O20" s="4">
        <v>7.5190599999999996</v>
      </c>
      <c r="P20" s="4">
        <v>0</v>
      </c>
      <c r="Q20" s="3" t="s">
        <v>26</v>
      </c>
      <c r="R20" s="3">
        <v>0</v>
      </c>
      <c r="S20" s="3" t="s">
        <v>122</v>
      </c>
      <c r="T20" s="3" t="s">
        <v>345</v>
      </c>
      <c r="U20" s="3">
        <v>8</v>
      </c>
      <c r="V20" s="3">
        <v>14</v>
      </c>
      <c r="W20" s="3">
        <v>77</v>
      </c>
    </row>
    <row r="21" spans="1:23" ht="11.25" customHeight="1" x14ac:dyDescent="0.25">
      <c r="A21" s="3" t="s">
        <v>21</v>
      </c>
      <c r="B21" s="3" t="s">
        <v>35</v>
      </c>
      <c r="C21" s="3" t="s">
        <v>48</v>
      </c>
      <c r="D21" s="3" t="s">
        <v>46</v>
      </c>
      <c r="E21" s="3" t="s">
        <v>47</v>
      </c>
      <c r="F21" s="3" t="s">
        <v>25</v>
      </c>
      <c r="G21" s="3" t="s">
        <v>25</v>
      </c>
      <c r="H21" s="3" t="s">
        <v>37</v>
      </c>
      <c r="I21" s="6">
        <v>44652</v>
      </c>
      <c r="J21" s="4">
        <v>119</v>
      </c>
      <c r="K21" s="4">
        <v>111.86</v>
      </c>
      <c r="L21" s="4">
        <v>7.383</v>
      </c>
      <c r="M21" s="4">
        <v>6.9400199999999996</v>
      </c>
      <c r="N21" s="4">
        <v>7.383</v>
      </c>
      <c r="O21" s="4">
        <v>6.9400199999999996</v>
      </c>
      <c r="P21" s="4">
        <v>0</v>
      </c>
      <c r="Q21" s="3" t="s">
        <v>26</v>
      </c>
      <c r="R21" s="3">
        <v>0</v>
      </c>
      <c r="S21" s="3" t="s">
        <v>123</v>
      </c>
      <c r="T21" s="3" t="s">
        <v>346</v>
      </c>
      <c r="U21" s="3">
        <v>8</v>
      </c>
      <c r="V21" s="3">
        <v>14</v>
      </c>
      <c r="W21" s="3">
        <v>77</v>
      </c>
    </row>
    <row r="22" spans="1:23" ht="11.25" customHeight="1" x14ac:dyDescent="0.25">
      <c r="A22" s="3" t="s">
        <v>21</v>
      </c>
      <c r="B22" s="3" t="s">
        <v>35</v>
      </c>
      <c r="C22" s="3" t="s">
        <v>48</v>
      </c>
      <c r="D22" s="3" t="s">
        <v>46</v>
      </c>
      <c r="E22" s="3" t="s">
        <v>47</v>
      </c>
      <c r="F22" s="3" t="s">
        <v>25</v>
      </c>
      <c r="G22" s="3" t="s">
        <v>25</v>
      </c>
      <c r="H22" s="3" t="s">
        <v>37</v>
      </c>
      <c r="I22" s="6">
        <v>44682</v>
      </c>
      <c r="J22" s="4">
        <v>134</v>
      </c>
      <c r="K22" s="4">
        <v>125.96</v>
      </c>
      <c r="L22" s="4">
        <v>7.6139999999999999</v>
      </c>
      <c r="M22" s="4">
        <v>7.1571600000000002</v>
      </c>
      <c r="N22" s="4">
        <v>7.6139999999999999</v>
      </c>
      <c r="O22" s="4">
        <v>7.1571600000000002</v>
      </c>
      <c r="P22" s="4">
        <v>0</v>
      </c>
      <c r="Q22" s="3" t="s">
        <v>26</v>
      </c>
      <c r="R22" s="3">
        <v>0</v>
      </c>
      <c r="S22" s="3" t="s">
        <v>124</v>
      </c>
      <c r="T22" s="3" t="s">
        <v>347</v>
      </c>
      <c r="U22" s="3">
        <v>8</v>
      </c>
      <c r="V22" s="3">
        <v>14</v>
      </c>
      <c r="W22" s="3">
        <v>77</v>
      </c>
    </row>
    <row r="23" spans="1:23" ht="11.25" customHeight="1" x14ac:dyDescent="0.25">
      <c r="A23" s="3" t="s">
        <v>21</v>
      </c>
      <c r="B23" s="3" t="s">
        <v>35</v>
      </c>
      <c r="C23" s="3" t="s">
        <v>48</v>
      </c>
      <c r="D23" s="3" t="s">
        <v>46</v>
      </c>
      <c r="E23" s="3" t="s">
        <v>47</v>
      </c>
      <c r="F23" s="3" t="s">
        <v>25</v>
      </c>
      <c r="G23" s="3" t="s">
        <v>25</v>
      </c>
      <c r="H23" s="3" t="s">
        <v>37</v>
      </c>
      <c r="I23" s="6">
        <v>44713</v>
      </c>
      <c r="J23" s="4">
        <v>119</v>
      </c>
      <c r="K23" s="4">
        <v>111.86</v>
      </c>
      <c r="L23" s="4">
        <v>7.6159999999999997</v>
      </c>
      <c r="M23" s="4">
        <v>7.1590400000000001</v>
      </c>
      <c r="N23" s="4">
        <v>7.6159999999999997</v>
      </c>
      <c r="O23" s="4">
        <v>7.1590400000000001</v>
      </c>
      <c r="P23" s="4">
        <v>0</v>
      </c>
      <c r="Q23" s="3" t="s">
        <v>26</v>
      </c>
      <c r="R23" s="3">
        <v>0</v>
      </c>
      <c r="S23" s="3" t="s">
        <v>125</v>
      </c>
      <c r="T23" s="3" t="s">
        <v>348</v>
      </c>
      <c r="U23" s="3">
        <v>8</v>
      </c>
      <c r="V23" s="3">
        <v>14</v>
      </c>
      <c r="W23" s="3">
        <v>77</v>
      </c>
    </row>
    <row r="24" spans="1:23" ht="11.25" customHeight="1" x14ac:dyDescent="0.25">
      <c r="A24" s="3" t="s">
        <v>21</v>
      </c>
      <c r="B24" s="3" t="s">
        <v>35</v>
      </c>
      <c r="C24" s="3" t="s">
        <v>48</v>
      </c>
      <c r="D24" s="3" t="s">
        <v>46</v>
      </c>
      <c r="E24" s="3" t="s">
        <v>47</v>
      </c>
      <c r="F24" s="3" t="s">
        <v>25</v>
      </c>
      <c r="G24" s="3" t="s">
        <v>25</v>
      </c>
      <c r="H24" s="3" t="s">
        <v>37</v>
      </c>
      <c r="I24" s="6">
        <v>44743</v>
      </c>
      <c r="J24" s="4">
        <v>119</v>
      </c>
      <c r="K24" s="4">
        <v>111.86</v>
      </c>
      <c r="L24" s="4">
        <v>7.0119999999999996</v>
      </c>
      <c r="M24" s="4">
        <v>6.5912800000000002</v>
      </c>
      <c r="N24" s="4">
        <v>7.0119999999999996</v>
      </c>
      <c r="O24" s="4">
        <v>6.5912800000000002</v>
      </c>
      <c r="P24" s="4">
        <v>0</v>
      </c>
      <c r="Q24" s="3" t="s">
        <v>26</v>
      </c>
      <c r="R24" s="3">
        <v>0</v>
      </c>
      <c r="S24" s="3" t="s">
        <v>126</v>
      </c>
      <c r="T24" s="3" t="s">
        <v>349</v>
      </c>
      <c r="U24" s="3">
        <v>8</v>
      </c>
      <c r="V24" s="3">
        <v>14</v>
      </c>
      <c r="W24" s="3">
        <v>77</v>
      </c>
    </row>
    <row r="25" spans="1:23" ht="11.25" customHeight="1" x14ac:dyDescent="0.25">
      <c r="A25" s="3" t="s">
        <v>21</v>
      </c>
      <c r="B25" s="3" t="s">
        <v>35</v>
      </c>
      <c r="C25" s="3" t="s">
        <v>48</v>
      </c>
      <c r="D25" s="3" t="s">
        <v>46</v>
      </c>
      <c r="E25" s="3" t="s">
        <v>47</v>
      </c>
      <c r="F25" s="3" t="s">
        <v>25</v>
      </c>
      <c r="G25" s="3" t="s">
        <v>25</v>
      </c>
      <c r="H25" s="3" t="s">
        <v>37</v>
      </c>
      <c r="I25" s="6">
        <v>44774</v>
      </c>
      <c r="J25" s="4">
        <v>122</v>
      </c>
      <c r="K25" s="4">
        <v>114.68</v>
      </c>
      <c r="L25" s="4">
        <v>7.9409999999999998</v>
      </c>
      <c r="M25" s="4">
        <v>7.4645400000000004</v>
      </c>
      <c r="N25" s="4">
        <v>7.9409999999999998</v>
      </c>
      <c r="O25" s="4">
        <v>7.4645400000000004</v>
      </c>
      <c r="P25" s="4">
        <v>0</v>
      </c>
      <c r="Q25" s="3" t="s">
        <v>26</v>
      </c>
      <c r="R25" s="3">
        <v>0</v>
      </c>
      <c r="S25" s="3" t="s">
        <v>127</v>
      </c>
      <c r="T25" s="3" t="s">
        <v>350</v>
      </c>
      <c r="U25" s="3">
        <v>8</v>
      </c>
      <c r="V25" s="3">
        <v>14</v>
      </c>
      <c r="W25" s="3">
        <v>77</v>
      </c>
    </row>
    <row r="26" spans="1:23" ht="11.25" customHeight="1" x14ac:dyDescent="0.25">
      <c r="A26" s="3" t="s">
        <v>21</v>
      </c>
      <c r="B26" s="3" t="s">
        <v>35</v>
      </c>
      <c r="C26" s="3" t="s">
        <v>56</v>
      </c>
      <c r="D26" s="3" t="s">
        <v>25</v>
      </c>
      <c r="E26" s="3" t="s">
        <v>25</v>
      </c>
      <c r="F26" s="3" t="s">
        <v>57</v>
      </c>
      <c r="G26" s="3" t="s">
        <v>58</v>
      </c>
      <c r="H26" s="3" t="s">
        <v>38</v>
      </c>
      <c r="I26" s="6">
        <v>44440</v>
      </c>
      <c r="J26" s="4">
        <v>2500</v>
      </c>
      <c r="K26" s="4">
        <v>2500</v>
      </c>
      <c r="L26" s="4">
        <v>481.97800000000001</v>
      </c>
      <c r="M26" s="4">
        <v>481.97800000000001</v>
      </c>
      <c r="N26" s="4">
        <v>0</v>
      </c>
      <c r="O26" s="4">
        <v>0</v>
      </c>
      <c r="P26" s="4">
        <v>0</v>
      </c>
      <c r="Q26" s="3" t="s">
        <v>59</v>
      </c>
      <c r="R26" s="3">
        <v>5351</v>
      </c>
      <c r="S26" s="3" t="s">
        <v>128</v>
      </c>
      <c r="T26" s="3" t="s">
        <v>351</v>
      </c>
      <c r="U26" s="3">
        <v>6</v>
      </c>
      <c r="V26" s="3">
        <v>1</v>
      </c>
      <c r="W26" s="3">
        <v>0</v>
      </c>
    </row>
    <row r="27" spans="1:23" ht="11.25" customHeight="1" x14ac:dyDescent="0.25">
      <c r="A27" s="3" t="s">
        <v>21</v>
      </c>
      <c r="B27" s="3" t="s">
        <v>35</v>
      </c>
      <c r="C27" s="3" t="s">
        <v>56</v>
      </c>
      <c r="D27" s="3" t="s">
        <v>25</v>
      </c>
      <c r="E27" s="3" t="s">
        <v>25</v>
      </c>
      <c r="F27" s="3" t="s">
        <v>57</v>
      </c>
      <c r="G27" s="3" t="s">
        <v>58</v>
      </c>
      <c r="H27" s="3" t="s">
        <v>38</v>
      </c>
      <c r="I27" s="6">
        <v>44470</v>
      </c>
      <c r="J27" s="4">
        <v>2500</v>
      </c>
      <c r="K27" s="4">
        <v>2500</v>
      </c>
      <c r="L27" s="4">
        <v>292.416</v>
      </c>
      <c r="M27" s="4">
        <v>292.416</v>
      </c>
      <c r="N27" s="4">
        <v>0</v>
      </c>
      <c r="O27" s="4">
        <v>0</v>
      </c>
      <c r="P27" s="4">
        <v>0</v>
      </c>
      <c r="Q27" s="3" t="s">
        <v>59</v>
      </c>
      <c r="R27" s="3">
        <v>5351</v>
      </c>
      <c r="S27" s="3" t="s">
        <v>129</v>
      </c>
      <c r="T27" s="3" t="s">
        <v>352</v>
      </c>
      <c r="U27" s="3">
        <v>6</v>
      </c>
      <c r="V27" s="3">
        <v>1</v>
      </c>
      <c r="W27" s="3">
        <v>0</v>
      </c>
    </row>
    <row r="28" spans="1:23" ht="11.25" customHeight="1" x14ac:dyDescent="0.25">
      <c r="A28" s="3" t="s">
        <v>21</v>
      </c>
      <c r="B28" s="3" t="s">
        <v>35</v>
      </c>
      <c r="C28" s="3" t="s">
        <v>56</v>
      </c>
      <c r="D28" s="3" t="s">
        <v>25</v>
      </c>
      <c r="E28" s="3" t="s">
        <v>25</v>
      </c>
      <c r="F28" s="3" t="s">
        <v>57</v>
      </c>
      <c r="G28" s="3" t="s">
        <v>58</v>
      </c>
      <c r="H28" s="3" t="s">
        <v>38</v>
      </c>
      <c r="I28" s="6">
        <v>44501</v>
      </c>
      <c r="J28" s="4">
        <v>2500</v>
      </c>
      <c r="K28" s="4">
        <v>2500</v>
      </c>
      <c r="L28" s="4">
        <v>342.30599999999998</v>
      </c>
      <c r="M28" s="4">
        <v>342.30599999999998</v>
      </c>
      <c r="N28" s="4">
        <v>0</v>
      </c>
      <c r="O28" s="4">
        <v>0</v>
      </c>
      <c r="P28" s="4">
        <v>0</v>
      </c>
      <c r="Q28" s="3" t="s">
        <v>59</v>
      </c>
      <c r="R28" s="3">
        <v>5351</v>
      </c>
      <c r="S28" s="3" t="s">
        <v>130</v>
      </c>
      <c r="T28" s="3" t="s">
        <v>353</v>
      </c>
      <c r="U28" s="3">
        <v>6</v>
      </c>
      <c r="V28" s="3">
        <v>1</v>
      </c>
      <c r="W28" s="3">
        <v>0</v>
      </c>
    </row>
    <row r="29" spans="1:23" ht="11.25" customHeight="1" x14ac:dyDescent="0.25">
      <c r="A29" s="3" t="s">
        <v>21</v>
      </c>
      <c r="B29" s="3" t="s">
        <v>35</v>
      </c>
      <c r="C29" s="3" t="s">
        <v>56</v>
      </c>
      <c r="D29" s="3" t="s">
        <v>25</v>
      </c>
      <c r="E29" s="3" t="s">
        <v>25</v>
      </c>
      <c r="F29" s="3" t="s">
        <v>57</v>
      </c>
      <c r="G29" s="3" t="s">
        <v>58</v>
      </c>
      <c r="H29" s="3" t="s">
        <v>38</v>
      </c>
      <c r="I29" s="6">
        <v>44531</v>
      </c>
      <c r="J29" s="4">
        <v>2550</v>
      </c>
      <c r="K29" s="4">
        <v>2550</v>
      </c>
      <c r="L29" s="4">
        <v>379.07299999999998</v>
      </c>
      <c r="M29" s="4">
        <v>379.07299999999998</v>
      </c>
      <c r="N29" s="4">
        <v>0</v>
      </c>
      <c r="O29" s="4">
        <v>0</v>
      </c>
      <c r="P29" s="4">
        <v>0</v>
      </c>
      <c r="Q29" s="3" t="s">
        <v>59</v>
      </c>
      <c r="R29" s="3">
        <v>5351</v>
      </c>
      <c r="S29" s="3" t="s">
        <v>131</v>
      </c>
      <c r="T29" s="3" t="s">
        <v>354</v>
      </c>
      <c r="U29" s="3">
        <v>6</v>
      </c>
      <c r="V29" s="3">
        <v>1</v>
      </c>
      <c r="W29" s="3">
        <v>0</v>
      </c>
    </row>
    <row r="30" spans="1:23" ht="11.25" customHeight="1" x14ac:dyDescent="0.25">
      <c r="A30" s="3" t="s">
        <v>21</v>
      </c>
      <c r="B30" s="3" t="s">
        <v>35</v>
      </c>
      <c r="C30" s="3" t="s">
        <v>56</v>
      </c>
      <c r="D30" s="3" t="s">
        <v>25</v>
      </c>
      <c r="E30" s="3" t="s">
        <v>25</v>
      </c>
      <c r="F30" s="3" t="s">
        <v>57</v>
      </c>
      <c r="G30" s="3" t="s">
        <v>58</v>
      </c>
      <c r="H30" s="3" t="s">
        <v>38</v>
      </c>
      <c r="I30" s="6">
        <v>44562</v>
      </c>
      <c r="J30" s="4">
        <v>2550</v>
      </c>
      <c r="K30" s="4">
        <v>2550</v>
      </c>
      <c r="L30" s="4">
        <v>538.346</v>
      </c>
      <c r="M30" s="4">
        <v>538.346</v>
      </c>
      <c r="N30" s="4">
        <v>0</v>
      </c>
      <c r="O30" s="4">
        <v>0</v>
      </c>
      <c r="P30" s="4">
        <v>0</v>
      </c>
      <c r="Q30" s="3" t="s">
        <v>59</v>
      </c>
      <c r="R30" s="3">
        <v>5351</v>
      </c>
      <c r="S30" s="3" t="s">
        <v>132</v>
      </c>
      <c r="T30" s="3" t="s">
        <v>355</v>
      </c>
      <c r="U30" s="3">
        <v>6</v>
      </c>
      <c r="V30" s="3">
        <v>1</v>
      </c>
      <c r="W30" s="3">
        <v>0</v>
      </c>
    </row>
    <row r="31" spans="1:23" ht="11.25" customHeight="1" x14ac:dyDescent="0.25">
      <c r="A31" s="3" t="s">
        <v>21</v>
      </c>
      <c r="B31" s="3" t="s">
        <v>35</v>
      </c>
      <c r="C31" s="3" t="s">
        <v>56</v>
      </c>
      <c r="D31" s="3" t="s">
        <v>25</v>
      </c>
      <c r="E31" s="3" t="s">
        <v>25</v>
      </c>
      <c r="F31" s="3" t="s">
        <v>57</v>
      </c>
      <c r="G31" s="3" t="s">
        <v>58</v>
      </c>
      <c r="H31" s="3" t="s">
        <v>38</v>
      </c>
      <c r="I31" s="6">
        <v>44593</v>
      </c>
      <c r="J31" s="4">
        <v>2550</v>
      </c>
      <c r="K31" s="4">
        <v>2550</v>
      </c>
      <c r="L31" s="4">
        <v>463.702</v>
      </c>
      <c r="M31" s="4">
        <v>463.702</v>
      </c>
      <c r="N31" s="4">
        <v>0</v>
      </c>
      <c r="O31" s="4">
        <v>0</v>
      </c>
      <c r="P31" s="4">
        <v>0</v>
      </c>
      <c r="Q31" s="3" t="s">
        <v>59</v>
      </c>
      <c r="R31" s="3">
        <v>5351</v>
      </c>
      <c r="S31" s="3" t="s">
        <v>133</v>
      </c>
      <c r="T31" s="3" t="s">
        <v>356</v>
      </c>
      <c r="U31" s="3">
        <v>6</v>
      </c>
      <c r="V31" s="3">
        <v>1</v>
      </c>
      <c r="W31" s="3">
        <v>0</v>
      </c>
    </row>
    <row r="32" spans="1:23" ht="11.25" customHeight="1" x14ac:dyDescent="0.25">
      <c r="A32" s="3" t="s">
        <v>21</v>
      </c>
      <c r="B32" s="3" t="s">
        <v>35</v>
      </c>
      <c r="C32" s="3" t="s">
        <v>56</v>
      </c>
      <c r="D32" s="3" t="s">
        <v>25</v>
      </c>
      <c r="E32" s="3" t="s">
        <v>25</v>
      </c>
      <c r="F32" s="3" t="s">
        <v>57</v>
      </c>
      <c r="G32" s="3" t="s">
        <v>58</v>
      </c>
      <c r="H32" s="3" t="s">
        <v>38</v>
      </c>
      <c r="I32" s="6">
        <v>44621</v>
      </c>
      <c r="J32" s="4">
        <v>2809</v>
      </c>
      <c r="K32" s="4">
        <v>2809</v>
      </c>
      <c r="L32" s="4">
        <v>449.02300000000002</v>
      </c>
      <c r="M32" s="4">
        <v>449.02300000000002</v>
      </c>
      <c r="N32" s="4">
        <v>0</v>
      </c>
      <c r="O32" s="4">
        <v>0</v>
      </c>
      <c r="P32" s="4">
        <v>0</v>
      </c>
      <c r="Q32" s="3" t="s">
        <v>59</v>
      </c>
      <c r="R32" s="3">
        <v>5351</v>
      </c>
      <c r="S32" s="3" t="s">
        <v>134</v>
      </c>
      <c r="T32" s="3" t="s">
        <v>357</v>
      </c>
      <c r="U32" s="3">
        <v>6</v>
      </c>
      <c r="V32" s="3">
        <v>1</v>
      </c>
      <c r="W32" s="3">
        <v>0</v>
      </c>
    </row>
    <row r="33" spans="1:23" ht="11.25" customHeight="1" x14ac:dyDescent="0.25">
      <c r="A33" s="3" t="s">
        <v>21</v>
      </c>
      <c r="B33" s="3" t="s">
        <v>35</v>
      </c>
      <c r="C33" s="3" t="s">
        <v>56</v>
      </c>
      <c r="D33" s="3" t="s">
        <v>25</v>
      </c>
      <c r="E33" s="3" t="s">
        <v>25</v>
      </c>
      <c r="F33" s="3" t="s">
        <v>57</v>
      </c>
      <c r="G33" s="3" t="s">
        <v>58</v>
      </c>
      <c r="H33" s="3" t="s">
        <v>38</v>
      </c>
      <c r="I33" s="6">
        <v>44652</v>
      </c>
      <c r="J33" s="4">
        <v>2832</v>
      </c>
      <c r="K33" s="4">
        <v>2832</v>
      </c>
      <c r="L33" s="4">
        <v>396.52499999999998</v>
      </c>
      <c r="M33" s="4">
        <v>396.52499999999998</v>
      </c>
      <c r="N33" s="4">
        <v>0</v>
      </c>
      <c r="O33" s="4">
        <v>0</v>
      </c>
      <c r="P33" s="4">
        <v>0</v>
      </c>
      <c r="Q33" s="3" t="s">
        <v>59</v>
      </c>
      <c r="R33" s="3">
        <v>5351</v>
      </c>
      <c r="S33" s="3" t="s">
        <v>135</v>
      </c>
      <c r="T33" s="3" t="s">
        <v>358</v>
      </c>
      <c r="U33" s="3">
        <v>6</v>
      </c>
      <c r="V33" s="3">
        <v>1</v>
      </c>
      <c r="W33" s="3">
        <v>0</v>
      </c>
    </row>
    <row r="34" spans="1:23" ht="11.25" customHeight="1" x14ac:dyDescent="0.25">
      <c r="A34" s="3" t="s">
        <v>21</v>
      </c>
      <c r="B34" s="3" t="s">
        <v>35</v>
      </c>
      <c r="C34" s="3" t="s">
        <v>56</v>
      </c>
      <c r="D34" s="3" t="s">
        <v>25</v>
      </c>
      <c r="E34" s="3" t="s">
        <v>25</v>
      </c>
      <c r="F34" s="3" t="s">
        <v>57</v>
      </c>
      <c r="G34" s="3" t="s">
        <v>58</v>
      </c>
      <c r="H34" s="3" t="s">
        <v>38</v>
      </c>
      <c r="I34" s="6">
        <v>44682</v>
      </c>
      <c r="J34" s="4">
        <v>2778</v>
      </c>
      <c r="K34" s="4">
        <v>2778</v>
      </c>
      <c r="L34" s="4">
        <v>459.20699999999999</v>
      </c>
      <c r="M34" s="4">
        <v>459.20699999999999</v>
      </c>
      <c r="N34" s="4">
        <v>0</v>
      </c>
      <c r="O34" s="4">
        <v>0</v>
      </c>
      <c r="P34" s="4">
        <v>0</v>
      </c>
      <c r="Q34" s="3" t="s">
        <v>59</v>
      </c>
      <c r="R34" s="3">
        <v>5351</v>
      </c>
      <c r="S34" s="3" t="s">
        <v>136</v>
      </c>
      <c r="T34" s="3" t="s">
        <v>359</v>
      </c>
      <c r="U34" s="3">
        <v>6</v>
      </c>
      <c r="V34" s="3">
        <v>1</v>
      </c>
      <c r="W34" s="3">
        <v>0</v>
      </c>
    </row>
    <row r="35" spans="1:23" ht="11.25" customHeight="1" x14ac:dyDescent="0.25">
      <c r="A35" s="3" t="s">
        <v>21</v>
      </c>
      <c r="B35" s="3" t="s">
        <v>35</v>
      </c>
      <c r="C35" s="3" t="s">
        <v>56</v>
      </c>
      <c r="D35" s="3" t="s">
        <v>25</v>
      </c>
      <c r="E35" s="3" t="s">
        <v>25</v>
      </c>
      <c r="F35" s="3" t="s">
        <v>57</v>
      </c>
      <c r="G35" s="3" t="s">
        <v>58</v>
      </c>
      <c r="H35" s="3" t="s">
        <v>38</v>
      </c>
      <c r="I35" s="6">
        <v>44713</v>
      </c>
      <c r="J35" s="4">
        <v>2876</v>
      </c>
      <c r="K35" s="4">
        <v>2876</v>
      </c>
      <c r="L35" s="4">
        <v>480.66399999999999</v>
      </c>
      <c r="M35" s="4">
        <v>480.66399999999999</v>
      </c>
      <c r="N35" s="4">
        <v>0</v>
      </c>
      <c r="O35" s="4">
        <v>0</v>
      </c>
      <c r="P35" s="4">
        <v>0</v>
      </c>
      <c r="Q35" s="3" t="s">
        <v>59</v>
      </c>
      <c r="R35" s="3">
        <v>5351</v>
      </c>
      <c r="S35" s="3" t="s">
        <v>137</v>
      </c>
      <c r="T35" s="3" t="s">
        <v>360</v>
      </c>
      <c r="U35" s="3">
        <v>6</v>
      </c>
      <c r="V35" s="3">
        <v>1</v>
      </c>
      <c r="W35" s="3">
        <v>0</v>
      </c>
    </row>
    <row r="36" spans="1:23" ht="11.25" customHeight="1" x14ac:dyDescent="0.25">
      <c r="A36" s="3" t="s">
        <v>21</v>
      </c>
      <c r="B36" s="3" t="s">
        <v>35</v>
      </c>
      <c r="C36" s="3" t="s">
        <v>56</v>
      </c>
      <c r="D36" s="3" t="s">
        <v>25</v>
      </c>
      <c r="E36" s="3" t="s">
        <v>25</v>
      </c>
      <c r="F36" s="3" t="s">
        <v>57</v>
      </c>
      <c r="G36" s="3" t="s">
        <v>58</v>
      </c>
      <c r="H36" s="3" t="s">
        <v>38</v>
      </c>
      <c r="I36" s="6">
        <v>44743</v>
      </c>
      <c r="J36" s="4">
        <v>2550</v>
      </c>
      <c r="K36" s="4">
        <v>2550</v>
      </c>
      <c r="L36" s="4">
        <v>400.822</v>
      </c>
      <c r="M36" s="4">
        <v>400.822</v>
      </c>
      <c r="N36" s="4">
        <v>0</v>
      </c>
      <c r="O36" s="4">
        <v>0</v>
      </c>
      <c r="P36" s="4">
        <v>0</v>
      </c>
      <c r="Q36" s="3" t="s">
        <v>59</v>
      </c>
      <c r="R36" s="3">
        <v>5351</v>
      </c>
      <c r="S36" s="3" t="s">
        <v>138</v>
      </c>
      <c r="T36" s="3" t="s">
        <v>361</v>
      </c>
      <c r="U36" s="3">
        <v>6</v>
      </c>
      <c r="V36" s="3">
        <v>1</v>
      </c>
      <c r="W36" s="3">
        <v>0</v>
      </c>
    </row>
    <row r="37" spans="1:23" ht="11.25" customHeight="1" x14ac:dyDescent="0.25">
      <c r="A37" s="3" t="s">
        <v>21</v>
      </c>
      <c r="B37" s="3" t="s">
        <v>35</v>
      </c>
      <c r="C37" s="3" t="s">
        <v>56</v>
      </c>
      <c r="D37" s="3" t="s">
        <v>25</v>
      </c>
      <c r="E37" s="3" t="s">
        <v>25</v>
      </c>
      <c r="F37" s="3" t="s">
        <v>57</v>
      </c>
      <c r="G37" s="3" t="s">
        <v>58</v>
      </c>
      <c r="H37" s="3" t="s">
        <v>38</v>
      </c>
      <c r="I37" s="6">
        <v>44774</v>
      </c>
      <c r="J37" s="4">
        <v>3195</v>
      </c>
      <c r="K37" s="4">
        <v>3195</v>
      </c>
      <c r="L37" s="4">
        <v>487.95299999999997</v>
      </c>
      <c r="M37" s="4">
        <v>487.95299999999997</v>
      </c>
      <c r="N37" s="4">
        <v>0</v>
      </c>
      <c r="O37" s="4">
        <v>0</v>
      </c>
      <c r="P37" s="4">
        <v>0</v>
      </c>
      <c r="Q37" s="3" t="s">
        <v>59</v>
      </c>
      <c r="R37" s="3">
        <v>5351</v>
      </c>
      <c r="S37" s="3" t="s">
        <v>139</v>
      </c>
      <c r="T37" s="3" t="s">
        <v>362</v>
      </c>
      <c r="U37" s="3">
        <v>6</v>
      </c>
      <c r="V37" s="3">
        <v>1</v>
      </c>
      <c r="W37" s="3">
        <v>0</v>
      </c>
    </row>
    <row r="38" spans="1:23" ht="11.25" customHeight="1" x14ac:dyDescent="0.25">
      <c r="A38" s="3" t="s">
        <v>21</v>
      </c>
      <c r="B38" s="3" t="s">
        <v>35</v>
      </c>
      <c r="C38" s="3" t="s">
        <v>56</v>
      </c>
      <c r="D38" s="3" t="s">
        <v>25</v>
      </c>
      <c r="E38" s="3" t="s">
        <v>25</v>
      </c>
      <c r="F38" s="3" t="s">
        <v>57</v>
      </c>
      <c r="G38" s="3" t="s">
        <v>58</v>
      </c>
      <c r="H38" s="3" t="s">
        <v>25</v>
      </c>
      <c r="I38" s="6">
        <v>44440</v>
      </c>
      <c r="J38" s="4">
        <v>0</v>
      </c>
      <c r="K38" s="4">
        <v>0</v>
      </c>
      <c r="L38" s="4">
        <v>0</v>
      </c>
      <c r="M38" s="4">
        <v>0</v>
      </c>
      <c r="N38" s="4">
        <v>1076.577</v>
      </c>
      <c r="O38" s="4">
        <v>868.47466589999999</v>
      </c>
      <c r="P38" s="4">
        <v>0</v>
      </c>
      <c r="Q38" s="3" t="s">
        <v>59</v>
      </c>
      <c r="R38" s="3">
        <v>5351</v>
      </c>
      <c r="S38" s="3" t="s">
        <v>140</v>
      </c>
      <c r="T38" s="3" t="s">
        <v>351</v>
      </c>
      <c r="U38" s="3">
        <v>0</v>
      </c>
      <c r="V38" s="3">
        <v>0</v>
      </c>
      <c r="W38" s="3">
        <v>78</v>
      </c>
    </row>
    <row r="39" spans="1:23" ht="11.25" customHeight="1" x14ac:dyDescent="0.25">
      <c r="A39" s="3" t="s">
        <v>21</v>
      </c>
      <c r="B39" s="3" t="s">
        <v>35</v>
      </c>
      <c r="C39" s="3" t="s">
        <v>56</v>
      </c>
      <c r="D39" s="3" t="s">
        <v>25</v>
      </c>
      <c r="E39" s="3" t="s">
        <v>25</v>
      </c>
      <c r="F39" s="3" t="s">
        <v>57</v>
      </c>
      <c r="G39" s="3" t="s">
        <v>58</v>
      </c>
      <c r="H39" s="3" t="s">
        <v>25</v>
      </c>
      <c r="I39" s="6">
        <v>44470</v>
      </c>
      <c r="J39" s="4">
        <v>0</v>
      </c>
      <c r="K39" s="4">
        <v>0</v>
      </c>
      <c r="L39" s="4">
        <v>0</v>
      </c>
      <c r="M39" s="4">
        <v>0</v>
      </c>
      <c r="N39" s="4">
        <v>1112.021</v>
      </c>
      <c r="O39" s="4">
        <v>897.06734070000005</v>
      </c>
      <c r="P39" s="4">
        <v>0</v>
      </c>
      <c r="Q39" s="3" t="s">
        <v>59</v>
      </c>
      <c r="R39" s="3">
        <v>5351</v>
      </c>
      <c r="S39" s="3" t="s">
        <v>141</v>
      </c>
      <c r="T39" s="3" t="s">
        <v>352</v>
      </c>
      <c r="U39" s="3">
        <v>0</v>
      </c>
      <c r="V39" s="3">
        <v>0</v>
      </c>
      <c r="W39" s="3">
        <v>78</v>
      </c>
    </row>
    <row r="40" spans="1:23" ht="11.25" customHeight="1" x14ac:dyDescent="0.25">
      <c r="A40" s="3" t="s">
        <v>21</v>
      </c>
      <c r="B40" s="3" t="s">
        <v>35</v>
      </c>
      <c r="C40" s="3" t="s">
        <v>56</v>
      </c>
      <c r="D40" s="3" t="s">
        <v>25</v>
      </c>
      <c r="E40" s="3" t="s">
        <v>25</v>
      </c>
      <c r="F40" s="3" t="s">
        <v>57</v>
      </c>
      <c r="G40" s="3" t="s">
        <v>58</v>
      </c>
      <c r="H40" s="3" t="s">
        <v>25</v>
      </c>
      <c r="I40" s="6">
        <v>44501</v>
      </c>
      <c r="J40" s="4">
        <v>0</v>
      </c>
      <c r="K40" s="4">
        <v>0</v>
      </c>
      <c r="L40" s="4">
        <v>0</v>
      </c>
      <c r="M40" s="4">
        <v>0</v>
      </c>
      <c r="N40" s="4">
        <v>1103.4000000000001</v>
      </c>
      <c r="O40" s="4">
        <v>1103.4000000000001</v>
      </c>
      <c r="P40" s="4">
        <v>0</v>
      </c>
      <c r="Q40" s="3" t="s">
        <v>59</v>
      </c>
      <c r="R40" s="3">
        <v>5351</v>
      </c>
      <c r="S40" s="3" t="s">
        <v>142</v>
      </c>
      <c r="T40" s="3" t="s">
        <v>353</v>
      </c>
      <c r="U40" s="3">
        <v>0</v>
      </c>
      <c r="V40" s="3">
        <v>0</v>
      </c>
      <c r="W40" s="3">
        <v>78</v>
      </c>
    </row>
    <row r="41" spans="1:23" ht="11.25" customHeight="1" x14ac:dyDescent="0.25">
      <c r="A41" s="3" t="s">
        <v>21</v>
      </c>
      <c r="B41" s="3" t="s">
        <v>35</v>
      </c>
      <c r="C41" s="3" t="s">
        <v>56</v>
      </c>
      <c r="D41" s="3" t="s">
        <v>25</v>
      </c>
      <c r="E41" s="3" t="s">
        <v>25</v>
      </c>
      <c r="F41" s="3" t="s">
        <v>57</v>
      </c>
      <c r="G41" s="3" t="s">
        <v>58</v>
      </c>
      <c r="H41" s="3" t="s">
        <v>25</v>
      </c>
      <c r="I41" s="6">
        <v>44531</v>
      </c>
      <c r="J41" s="4">
        <v>0</v>
      </c>
      <c r="K41" s="4">
        <v>0</v>
      </c>
      <c r="L41" s="4">
        <v>0</v>
      </c>
      <c r="M41" s="4">
        <v>0</v>
      </c>
      <c r="N41" s="4">
        <v>1146.7660000000001</v>
      </c>
      <c r="O41" s="4">
        <v>1146.7660000000001</v>
      </c>
      <c r="P41" s="4">
        <v>0</v>
      </c>
      <c r="Q41" s="3" t="s">
        <v>59</v>
      </c>
      <c r="R41" s="3">
        <v>5351</v>
      </c>
      <c r="S41" s="3" t="s">
        <v>143</v>
      </c>
      <c r="T41" s="3" t="s">
        <v>354</v>
      </c>
      <c r="U41" s="3">
        <v>0</v>
      </c>
      <c r="V41" s="3">
        <v>0</v>
      </c>
      <c r="W41" s="3">
        <v>78</v>
      </c>
    </row>
    <row r="42" spans="1:23" ht="11.25" customHeight="1" x14ac:dyDescent="0.25">
      <c r="A42" s="3" t="s">
        <v>21</v>
      </c>
      <c r="B42" s="3" t="s">
        <v>35</v>
      </c>
      <c r="C42" s="3" t="s">
        <v>56</v>
      </c>
      <c r="D42" s="3" t="s">
        <v>25</v>
      </c>
      <c r="E42" s="3" t="s">
        <v>25</v>
      </c>
      <c r="F42" s="3" t="s">
        <v>57</v>
      </c>
      <c r="G42" s="3" t="s">
        <v>58</v>
      </c>
      <c r="H42" s="3" t="s">
        <v>25</v>
      </c>
      <c r="I42" s="6">
        <v>44562</v>
      </c>
      <c r="J42" s="4">
        <v>0</v>
      </c>
      <c r="K42" s="4">
        <v>0</v>
      </c>
      <c r="L42" s="4">
        <v>0</v>
      </c>
      <c r="M42" s="4">
        <v>0</v>
      </c>
      <c r="N42" s="4">
        <v>1261.893</v>
      </c>
      <c r="O42" s="4">
        <v>1261.893</v>
      </c>
      <c r="P42" s="4">
        <v>0</v>
      </c>
      <c r="Q42" s="3" t="s">
        <v>59</v>
      </c>
      <c r="R42" s="3">
        <v>5351</v>
      </c>
      <c r="S42" s="3" t="s">
        <v>144</v>
      </c>
      <c r="T42" s="3" t="s">
        <v>355</v>
      </c>
      <c r="U42" s="3">
        <v>0</v>
      </c>
      <c r="V42" s="3">
        <v>0</v>
      </c>
      <c r="W42" s="3">
        <v>78</v>
      </c>
    </row>
    <row r="43" spans="1:23" ht="11.25" customHeight="1" x14ac:dyDescent="0.25">
      <c r="A43" s="3" t="s">
        <v>21</v>
      </c>
      <c r="B43" s="3" t="s">
        <v>35</v>
      </c>
      <c r="C43" s="3" t="s">
        <v>56</v>
      </c>
      <c r="D43" s="3" t="s">
        <v>25</v>
      </c>
      <c r="E43" s="3" t="s">
        <v>25</v>
      </c>
      <c r="F43" s="3" t="s">
        <v>57</v>
      </c>
      <c r="G43" s="3" t="s">
        <v>58</v>
      </c>
      <c r="H43" s="3" t="s">
        <v>25</v>
      </c>
      <c r="I43" s="6">
        <v>44593</v>
      </c>
      <c r="J43" s="4">
        <v>0</v>
      </c>
      <c r="K43" s="4">
        <v>0</v>
      </c>
      <c r="L43" s="4">
        <v>0</v>
      </c>
      <c r="M43" s="4">
        <v>0</v>
      </c>
      <c r="N43" s="4">
        <v>1131.1489999999999</v>
      </c>
      <c r="O43" s="4">
        <v>1131.1489999999999</v>
      </c>
      <c r="P43" s="4">
        <v>0</v>
      </c>
      <c r="Q43" s="3" t="s">
        <v>59</v>
      </c>
      <c r="R43" s="3">
        <v>5351</v>
      </c>
      <c r="S43" s="3" t="s">
        <v>145</v>
      </c>
      <c r="T43" s="3" t="s">
        <v>356</v>
      </c>
      <c r="U43" s="3">
        <v>0</v>
      </c>
      <c r="V43" s="3">
        <v>0</v>
      </c>
      <c r="W43" s="3">
        <v>78</v>
      </c>
    </row>
    <row r="44" spans="1:23" ht="11.25" customHeight="1" x14ac:dyDescent="0.25">
      <c r="A44" s="3" t="s">
        <v>21</v>
      </c>
      <c r="B44" s="3" t="s">
        <v>35</v>
      </c>
      <c r="C44" s="3" t="s">
        <v>56</v>
      </c>
      <c r="D44" s="3" t="s">
        <v>25</v>
      </c>
      <c r="E44" s="3" t="s">
        <v>25</v>
      </c>
      <c r="F44" s="3" t="s">
        <v>57</v>
      </c>
      <c r="G44" s="3" t="s">
        <v>58</v>
      </c>
      <c r="H44" s="3" t="s">
        <v>25</v>
      </c>
      <c r="I44" s="6">
        <v>44621</v>
      </c>
      <c r="J44" s="4">
        <v>0</v>
      </c>
      <c r="K44" s="4">
        <v>0</v>
      </c>
      <c r="L44" s="4">
        <v>0</v>
      </c>
      <c r="M44" s="4">
        <v>0</v>
      </c>
      <c r="N44" s="4">
        <v>1232.3889999999999</v>
      </c>
      <c r="O44" s="4">
        <v>1232.3889999999999</v>
      </c>
      <c r="P44" s="4">
        <v>0</v>
      </c>
      <c r="Q44" s="3" t="s">
        <v>59</v>
      </c>
      <c r="R44" s="3">
        <v>5351</v>
      </c>
      <c r="S44" s="3" t="s">
        <v>146</v>
      </c>
      <c r="T44" s="3" t="s">
        <v>357</v>
      </c>
      <c r="U44" s="3">
        <v>0</v>
      </c>
      <c r="V44" s="3">
        <v>0</v>
      </c>
      <c r="W44" s="3">
        <v>78</v>
      </c>
    </row>
    <row r="45" spans="1:23" ht="11.25" customHeight="1" x14ac:dyDescent="0.25">
      <c r="A45" s="3" t="s">
        <v>21</v>
      </c>
      <c r="B45" s="3" t="s">
        <v>35</v>
      </c>
      <c r="C45" s="3" t="s">
        <v>56</v>
      </c>
      <c r="D45" s="3" t="s">
        <v>25</v>
      </c>
      <c r="E45" s="3" t="s">
        <v>25</v>
      </c>
      <c r="F45" s="3" t="s">
        <v>57</v>
      </c>
      <c r="G45" s="3" t="s">
        <v>58</v>
      </c>
      <c r="H45" s="3" t="s">
        <v>25</v>
      </c>
      <c r="I45" s="6">
        <v>44652</v>
      </c>
      <c r="J45" s="4">
        <v>0</v>
      </c>
      <c r="K45" s="4">
        <v>0</v>
      </c>
      <c r="L45" s="4">
        <v>0</v>
      </c>
      <c r="M45" s="4">
        <v>0</v>
      </c>
      <c r="N45" s="4">
        <v>1130.751</v>
      </c>
      <c r="O45" s="4">
        <v>1130.751</v>
      </c>
      <c r="P45" s="4">
        <v>0</v>
      </c>
      <c r="Q45" s="3" t="s">
        <v>59</v>
      </c>
      <c r="R45" s="3">
        <v>5351</v>
      </c>
      <c r="S45" s="3" t="s">
        <v>147</v>
      </c>
      <c r="T45" s="3" t="s">
        <v>358</v>
      </c>
      <c r="U45" s="3">
        <v>0</v>
      </c>
      <c r="V45" s="3">
        <v>0</v>
      </c>
      <c r="W45" s="3">
        <v>78</v>
      </c>
    </row>
    <row r="46" spans="1:23" ht="11.25" customHeight="1" x14ac:dyDescent="0.25">
      <c r="A46" s="3" t="s">
        <v>21</v>
      </c>
      <c r="B46" s="3" t="s">
        <v>35</v>
      </c>
      <c r="C46" s="3" t="s">
        <v>56</v>
      </c>
      <c r="D46" s="3" t="s">
        <v>25</v>
      </c>
      <c r="E46" s="3" t="s">
        <v>25</v>
      </c>
      <c r="F46" s="3" t="s">
        <v>57</v>
      </c>
      <c r="G46" s="3" t="s">
        <v>58</v>
      </c>
      <c r="H46" s="3" t="s">
        <v>25</v>
      </c>
      <c r="I46" s="6">
        <v>44682</v>
      </c>
      <c r="J46" s="4">
        <v>0</v>
      </c>
      <c r="K46" s="4">
        <v>0</v>
      </c>
      <c r="L46" s="4">
        <v>0</v>
      </c>
      <c r="M46" s="4">
        <v>0</v>
      </c>
      <c r="N46" s="4">
        <v>1104.546</v>
      </c>
      <c r="O46" s="4">
        <v>1104.546</v>
      </c>
      <c r="P46" s="4">
        <v>0</v>
      </c>
      <c r="Q46" s="3" t="s">
        <v>59</v>
      </c>
      <c r="R46" s="3">
        <v>5351</v>
      </c>
      <c r="S46" s="3" t="s">
        <v>148</v>
      </c>
      <c r="T46" s="3" t="s">
        <v>359</v>
      </c>
      <c r="U46" s="3">
        <v>0</v>
      </c>
      <c r="V46" s="3">
        <v>0</v>
      </c>
      <c r="W46" s="3">
        <v>78</v>
      </c>
    </row>
    <row r="47" spans="1:23" ht="11.25" customHeight="1" x14ac:dyDescent="0.25">
      <c r="A47" s="3" t="s">
        <v>21</v>
      </c>
      <c r="B47" s="3" t="s">
        <v>35</v>
      </c>
      <c r="C47" s="3" t="s">
        <v>56</v>
      </c>
      <c r="D47" s="3" t="s">
        <v>25</v>
      </c>
      <c r="E47" s="3" t="s">
        <v>25</v>
      </c>
      <c r="F47" s="3" t="s">
        <v>57</v>
      </c>
      <c r="G47" s="3" t="s">
        <v>58</v>
      </c>
      <c r="H47" s="3" t="s">
        <v>25</v>
      </c>
      <c r="I47" s="6">
        <v>44713</v>
      </c>
      <c r="J47" s="4">
        <v>0</v>
      </c>
      <c r="K47" s="4">
        <v>0</v>
      </c>
      <c r="L47" s="4">
        <v>0</v>
      </c>
      <c r="M47" s="4">
        <v>0</v>
      </c>
      <c r="N47" s="4">
        <v>1194.6420000000001</v>
      </c>
      <c r="O47" s="4">
        <v>1194.6420000000001</v>
      </c>
      <c r="P47" s="4">
        <v>0</v>
      </c>
      <c r="Q47" s="3" t="s">
        <v>59</v>
      </c>
      <c r="R47" s="3">
        <v>5351</v>
      </c>
      <c r="S47" s="3" t="s">
        <v>149</v>
      </c>
      <c r="T47" s="3" t="s">
        <v>360</v>
      </c>
      <c r="U47" s="3">
        <v>0</v>
      </c>
      <c r="V47" s="3">
        <v>0</v>
      </c>
      <c r="W47" s="3">
        <v>78</v>
      </c>
    </row>
    <row r="48" spans="1:23" ht="11.25" customHeight="1" x14ac:dyDescent="0.25">
      <c r="A48" s="3" t="s">
        <v>21</v>
      </c>
      <c r="B48" s="3" t="s">
        <v>35</v>
      </c>
      <c r="C48" s="3" t="s">
        <v>56</v>
      </c>
      <c r="D48" s="3" t="s">
        <v>25</v>
      </c>
      <c r="E48" s="3" t="s">
        <v>25</v>
      </c>
      <c r="F48" s="3" t="s">
        <v>57</v>
      </c>
      <c r="G48" s="3" t="s">
        <v>58</v>
      </c>
      <c r="H48" s="3" t="s">
        <v>25</v>
      </c>
      <c r="I48" s="6">
        <v>44743</v>
      </c>
      <c r="J48" s="4">
        <v>0</v>
      </c>
      <c r="K48" s="4">
        <v>0</v>
      </c>
      <c r="L48" s="4">
        <v>0</v>
      </c>
      <c r="M48" s="4">
        <v>0</v>
      </c>
      <c r="N48" s="4">
        <v>1172.8879999999999</v>
      </c>
      <c r="O48" s="4">
        <v>1172.8879999999999</v>
      </c>
      <c r="P48" s="4">
        <v>0</v>
      </c>
      <c r="Q48" s="3" t="s">
        <v>59</v>
      </c>
      <c r="R48" s="3">
        <v>5351</v>
      </c>
      <c r="S48" s="3" t="s">
        <v>150</v>
      </c>
      <c r="T48" s="3" t="s">
        <v>361</v>
      </c>
      <c r="U48" s="3">
        <v>0</v>
      </c>
      <c r="V48" s="3">
        <v>0</v>
      </c>
      <c r="W48" s="3">
        <v>78</v>
      </c>
    </row>
    <row r="49" spans="1:23" ht="11.25" customHeight="1" x14ac:dyDescent="0.25">
      <c r="A49" s="3" t="s">
        <v>21</v>
      </c>
      <c r="B49" s="3" t="s">
        <v>35</v>
      </c>
      <c r="C49" s="3" t="s">
        <v>56</v>
      </c>
      <c r="D49" s="3" t="s">
        <v>25</v>
      </c>
      <c r="E49" s="3" t="s">
        <v>25</v>
      </c>
      <c r="F49" s="3" t="s">
        <v>57</v>
      </c>
      <c r="G49" s="3" t="s">
        <v>58</v>
      </c>
      <c r="H49" s="3" t="s">
        <v>25</v>
      </c>
      <c r="I49" s="6">
        <v>44774</v>
      </c>
      <c r="J49" s="4">
        <v>0</v>
      </c>
      <c r="K49" s="4">
        <v>0</v>
      </c>
      <c r="L49" s="4">
        <v>0</v>
      </c>
      <c r="M49" s="4">
        <v>0</v>
      </c>
      <c r="N49" s="4">
        <v>1179.9749999999999</v>
      </c>
      <c r="O49" s="4">
        <v>1179.9749999999999</v>
      </c>
      <c r="P49" s="4">
        <v>0</v>
      </c>
      <c r="Q49" s="3" t="s">
        <v>59</v>
      </c>
      <c r="R49" s="3">
        <v>5351</v>
      </c>
      <c r="S49" s="3" t="s">
        <v>151</v>
      </c>
      <c r="T49" s="3" t="s">
        <v>362</v>
      </c>
      <c r="U49" s="3">
        <v>0</v>
      </c>
      <c r="V49" s="3">
        <v>0</v>
      </c>
      <c r="W49" s="3">
        <v>78</v>
      </c>
    </row>
    <row r="50" spans="1:23" ht="11.25" customHeight="1" x14ac:dyDescent="0.25">
      <c r="A50" s="3" t="s">
        <v>21</v>
      </c>
      <c r="B50" s="3" t="s">
        <v>35</v>
      </c>
      <c r="C50" s="3" t="s">
        <v>56</v>
      </c>
      <c r="D50" s="3" t="s">
        <v>25</v>
      </c>
      <c r="E50" s="3" t="s">
        <v>25</v>
      </c>
      <c r="F50" s="3" t="s">
        <v>57</v>
      </c>
      <c r="G50" s="3" t="s">
        <v>58</v>
      </c>
      <c r="H50" s="3" t="s">
        <v>37</v>
      </c>
      <c r="I50" s="6">
        <v>44440</v>
      </c>
      <c r="J50" s="4">
        <v>2450</v>
      </c>
      <c r="K50" s="4">
        <v>2450</v>
      </c>
      <c r="L50" s="4">
        <v>91.91</v>
      </c>
      <c r="M50" s="4">
        <v>91.91</v>
      </c>
      <c r="N50" s="4">
        <v>0</v>
      </c>
      <c r="O50" s="4">
        <v>0</v>
      </c>
      <c r="P50" s="4">
        <v>0</v>
      </c>
      <c r="Q50" s="3" t="s">
        <v>59</v>
      </c>
      <c r="R50" s="3">
        <v>5351</v>
      </c>
      <c r="S50" s="3" t="s">
        <v>152</v>
      </c>
      <c r="T50" s="3" t="s">
        <v>351</v>
      </c>
      <c r="U50" s="3">
        <v>15</v>
      </c>
      <c r="V50" s="3">
        <v>1</v>
      </c>
      <c r="W50" s="3">
        <v>0</v>
      </c>
    </row>
    <row r="51" spans="1:23" ht="11.25" customHeight="1" x14ac:dyDescent="0.25">
      <c r="A51" s="3" t="s">
        <v>21</v>
      </c>
      <c r="B51" s="3" t="s">
        <v>35</v>
      </c>
      <c r="C51" s="3" t="s">
        <v>56</v>
      </c>
      <c r="D51" s="3" t="s">
        <v>25</v>
      </c>
      <c r="E51" s="3" t="s">
        <v>25</v>
      </c>
      <c r="F51" s="3" t="s">
        <v>57</v>
      </c>
      <c r="G51" s="3" t="s">
        <v>58</v>
      </c>
      <c r="H51" s="3" t="s">
        <v>37</v>
      </c>
      <c r="I51" s="6">
        <v>44470</v>
      </c>
      <c r="J51" s="4">
        <v>2450</v>
      </c>
      <c r="K51" s="4">
        <v>2450</v>
      </c>
      <c r="L51" s="4">
        <v>70.344999999999999</v>
      </c>
      <c r="M51" s="4">
        <v>70.344999999999999</v>
      </c>
      <c r="N51" s="4">
        <v>0</v>
      </c>
      <c r="O51" s="4">
        <v>0</v>
      </c>
      <c r="P51" s="4">
        <v>0</v>
      </c>
      <c r="Q51" s="3" t="s">
        <v>59</v>
      </c>
      <c r="R51" s="3">
        <v>5351</v>
      </c>
      <c r="S51" s="3" t="s">
        <v>153</v>
      </c>
      <c r="T51" s="3" t="s">
        <v>352</v>
      </c>
      <c r="U51" s="3">
        <v>15</v>
      </c>
      <c r="V51" s="3">
        <v>1</v>
      </c>
      <c r="W51" s="3">
        <v>0</v>
      </c>
    </row>
    <row r="52" spans="1:23" ht="11.25" customHeight="1" x14ac:dyDescent="0.25">
      <c r="A52" s="3" t="s">
        <v>21</v>
      </c>
      <c r="B52" s="3" t="s">
        <v>35</v>
      </c>
      <c r="C52" s="3" t="s">
        <v>56</v>
      </c>
      <c r="D52" s="3" t="s">
        <v>25</v>
      </c>
      <c r="E52" s="3" t="s">
        <v>25</v>
      </c>
      <c r="F52" s="3" t="s">
        <v>57</v>
      </c>
      <c r="G52" s="3" t="s">
        <v>58</v>
      </c>
      <c r="H52" s="3" t="s">
        <v>37</v>
      </c>
      <c r="I52" s="6">
        <v>44501</v>
      </c>
      <c r="J52" s="4">
        <v>2450</v>
      </c>
      <c r="K52" s="4">
        <v>2450</v>
      </c>
      <c r="L52" s="4">
        <v>75.930999999999997</v>
      </c>
      <c r="M52" s="4">
        <v>75.930999999999997</v>
      </c>
      <c r="N52" s="4">
        <v>0</v>
      </c>
      <c r="O52" s="4">
        <v>0</v>
      </c>
      <c r="P52" s="4">
        <v>0</v>
      </c>
      <c r="Q52" s="3" t="s">
        <v>59</v>
      </c>
      <c r="R52" s="3">
        <v>5351</v>
      </c>
      <c r="S52" s="3" t="s">
        <v>154</v>
      </c>
      <c r="T52" s="3" t="s">
        <v>353</v>
      </c>
      <c r="U52" s="3">
        <v>15</v>
      </c>
      <c r="V52" s="3">
        <v>1</v>
      </c>
      <c r="W52" s="3">
        <v>0</v>
      </c>
    </row>
    <row r="53" spans="1:23" ht="11.25" customHeight="1" x14ac:dyDescent="0.25">
      <c r="A53" s="3" t="s">
        <v>21</v>
      </c>
      <c r="B53" s="3" t="s">
        <v>35</v>
      </c>
      <c r="C53" s="3" t="s">
        <v>56</v>
      </c>
      <c r="D53" s="3" t="s">
        <v>25</v>
      </c>
      <c r="E53" s="3" t="s">
        <v>25</v>
      </c>
      <c r="F53" s="3" t="s">
        <v>57</v>
      </c>
      <c r="G53" s="3" t="s">
        <v>58</v>
      </c>
      <c r="H53" s="3" t="s">
        <v>37</v>
      </c>
      <c r="I53" s="6">
        <v>44531</v>
      </c>
      <c r="J53" s="4">
        <v>2450</v>
      </c>
      <c r="K53" s="4">
        <v>2450</v>
      </c>
      <c r="L53" s="4">
        <v>90.515000000000001</v>
      </c>
      <c r="M53" s="4">
        <v>90.515000000000001</v>
      </c>
      <c r="N53" s="4">
        <v>0</v>
      </c>
      <c r="O53" s="4">
        <v>0</v>
      </c>
      <c r="P53" s="4">
        <v>0</v>
      </c>
      <c r="Q53" s="3" t="s">
        <v>59</v>
      </c>
      <c r="R53" s="3">
        <v>5351</v>
      </c>
      <c r="S53" s="3" t="s">
        <v>155</v>
      </c>
      <c r="T53" s="3" t="s">
        <v>354</v>
      </c>
      <c r="U53" s="3">
        <v>15</v>
      </c>
      <c r="V53" s="3">
        <v>1</v>
      </c>
      <c r="W53" s="3">
        <v>0</v>
      </c>
    </row>
    <row r="54" spans="1:23" ht="11.25" customHeight="1" x14ac:dyDescent="0.25">
      <c r="A54" s="3" t="s">
        <v>21</v>
      </c>
      <c r="B54" s="3" t="s">
        <v>35</v>
      </c>
      <c r="C54" s="3" t="s">
        <v>56</v>
      </c>
      <c r="D54" s="3" t="s">
        <v>25</v>
      </c>
      <c r="E54" s="3" t="s">
        <v>25</v>
      </c>
      <c r="F54" s="3" t="s">
        <v>57</v>
      </c>
      <c r="G54" s="3" t="s">
        <v>58</v>
      </c>
      <c r="H54" s="3" t="s">
        <v>37</v>
      </c>
      <c r="I54" s="6">
        <v>44562</v>
      </c>
      <c r="J54" s="4">
        <v>2450</v>
      </c>
      <c r="K54" s="4">
        <v>2450</v>
      </c>
      <c r="L54" s="4">
        <v>93.067999999999998</v>
      </c>
      <c r="M54" s="4">
        <v>93.067999999999998</v>
      </c>
      <c r="N54" s="4">
        <v>0</v>
      </c>
      <c r="O54" s="4">
        <v>0</v>
      </c>
      <c r="P54" s="4">
        <v>0</v>
      </c>
      <c r="Q54" s="3" t="s">
        <v>59</v>
      </c>
      <c r="R54" s="3">
        <v>5351</v>
      </c>
      <c r="S54" s="3" t="s">
        <v>156</v>
      </c>
      <c r="T54" s="3" t="s">
        <v>355</v>
      </c>
      <c r="U54" s="3">
        <v>15</v>
      </c>
      <c r="V54" s="3">
        <v>1</v>
      </c>
      <c r="W54" s="3">
        <v>0</v>
      </c>
    </row>
    <row r="55" spans="1:23" ht="11.25" customHeight="1" x14ac:dyDescent="0.25">
      <c r="A55" s="3" t="s">
        <v>21</v>
      </c>
      <c r="B55" s="3" t="s">
        <v>35</v>
      </c>
      <c r="C55" s="3" t="s">
        <v>56</v>
      </c>
      <c r="D55" s="3" t="s">
        <v>25</v>
      </c>
      <c r="E55" s="3" t="s">
        <v>25</v>
      </c>
      <c r="F55" s="3" t="s">
        <v>57</v>
      </c>
      <c r="G55" s="3" t="s">
        <v>58</v>
      </c>
      <c r="H55" s="3" t="s">
        <v>37</v>
      </c>
      <c r="I55" s="6">
        <v>44593</v>
      </c>
      <c r="J55" s="4">
        <v>2450</v>
      </c>
      <c r="K55" s="4">
        <v>2450</v>
      </c>
      <c r="L55" s="4">
        <v>87.688000000000002</v>
      </c>
      <c r="M55" s="4">
        <v>87.688000000000002</v>
      </c>
      <c r="N55" s="4">
        <v>0</v>
      </c>
      <c r="O55" s="4">
        <v>0</v>
      </c>
      <c r="P55" s="4">
        <v>0</v>
      </c>
      <c r="Q55" s="3" t="s">
        <v>59</v>
      </c>
      <c r="R55" s="3">
        <v>5351</v>
      </c>
      <c r="S55" s="3" t="s">
        <v>157</v>
      </c>
      <c r="T55" s="3" t="s">
        <v>356</v>
      </c>
      <c r="U55" s="3">
        <v>15</v>
      </c>
      <c r="V55" s="3">
        <v>1</v>
      </c>
      <c r="W55" s="3">
        <v>0</v>
      </c>
    </row>
    <row r="56" spans="1:23" ht="11.25" customHeight="1" x14ac:dyDescent="0.25">
      <c r="A56" s="3" t="s">
        <v>21</v>
      </c>
      <c r="B56" s="3" t="s">
        <v>35</v>
      </c>
      <c r="C56" s="3" t="s">
        <v>56</v>
      </c>
      <c r="D56" s="3" t="s">
        <v>25</v>
      </c>
      <c r="E56" s="3" t="s">
        <v>25</v>
      </c>
      <c r="F56" s="3" t="s">
        <v>57</v>
      </c>
      <c r="G56" s="3" t="s">
        <v>58</v>
      </c>
      <c r="H56" s="3" t="s">
        <v>37</v>
      </c>
      <c r="I56" s="6">
        <v>44621</v>
      </c>
      <c r="J56" s="4">
        <v>2450</v>
      </c>
      <c r="K56" s="4">
        <v>2450</v>
      </c>
      <c r="L56" s="4">
        <v>89.024000000000001</v>
      </c>
      <c r="M56" s="4">
        <v>89.024000000000001</v>
      </c>
      <c r="N56" s="4">
        <v>0</v>
      </c>
      <c r="O56" s="4">
        <v>0</v>
      </c>
      <c r="P56" s="4">
        <v>0</v>
      </c>
      <c r="Q56" s="3" t="s">
        <v>59</v>
      </c>
      <c r="R56" s="3">
        <v>5351</v>
      </c>
      <c r="S56" s="3" t="s">
        <v>158</v>
      </c>
      <c r="T56" s="3" t="s">
        <v>357</v>
      </c>
      <c r="U56" s="3">
        <v>15</v>
      </c>
      <c r="V56" s="3">
        <v>1</v>
      </c>
      <c r="W56" s="3">
        <v>0</v>
      </c>
    </row>
    <row r="57" spans="1:23" ht="11.25" customHeight="1" x14ac:dyDescent="0.25">
      <c r="A57" s="3" t="s">
        <v>21</v>
      </c>
      <c r="B57" s="3" t="s">
        <v>35</v>
      </c>
      <c r="C57" s="3" t="s">
        <v>56</v>
      </c>
      <c r="D57" s="3" t="s">
        <v>25</v>
      </c>
      <c r="E57" s="3" t="s">
        <v>25</v>
      </c>
      <c r="F57" s="3" t="s">
        <v>57</v>
      </c>
      <c r="G57" s="3" t="s">
        <v>58</v>
      </c>
      <c r="H57" s="3" t="s">
        <v>37</v>
      </c>
      <c r="I57" s="6">
        <v>44652</v>
      </c>
      <c r="J57" s="4">
        <v>2450</v>
      </c>
      <c r="K57" s="4">
        <v>2450</v>
      </c>
      <c r="L57" s="4">
        <v>79.69</v>
      </c>
      <c r="M57" s="4">
        <v>79.69</v>
      </c>
      <c r="N57" s="4">
        <v>0</v>
      </c>
      <c r="O57" s="4">
        <v>0</v>
      </c>
      <c r="P57" s="4">
        <v>0</v>
      </c>
      <c r="Q57" s="3" t="s">
        <v>59</v>
      </c>
      <c r="R57" s="3">
        <v>5351</v>
      </c>
      <c r="S57" s="3" t="s">
        <v>159</v>
      </c>
      <c r="T57" s="3" t="s">
        <v>358</v>
      </c>
      <c r="U57" s="3">
        <v>15</v>
      </c>
      <c r="V57" s="3">
        <v>1</v>
      </c>
      <c r="W57" s="3">
        <v>0</v>
      </c>
    </row>
    <row r="58" spans="1:23" ht="11.25" customHeight="1" x14ac:dyDescent="0.25">
      <c r="A58" s="3" t="s">
        <v>21</v>
      </c>
      <c r="B58" s="3" t="s">
        <v>35</v>
      </c>
      <c r="C58" s="3" t="s">
        <v>56</v>
      </c>
      <c r="D58" s="3" t="s">
        <v>25</v>
      </c>
      <c r="E58" s="3" t="s">
        <v>25</v>
      </c>
      <c r="F58" s="3" t="s">
        <v>57</v>
      </c>
      <c r="G58" s="3" t="s">
        <v>58</v>
      </c>
      <c r="H58" s="3" t="s">
        <v>37</v>
      </c>
      <c r="I58" s="6">
        <v>44682</v>
      </c>
      <c r="J58" s="4">
        <v>2450</v>
      </c>
      <c r="K58" s="4">
        <v>2450</v>
      </c>
      <c r="L58" s="4">
        <v>91.590999999999994</v>
      </c>
      <c r="M58" s="4">
        <v>91.590999999999994</v>
      </c>
      <c r="N58" s="4">
        <v>0</v>
      </c>
      <c r="O58" s="4">
        <v>0</v>
      </c>
      <c r="P58" s="4">
        <v>0</v>
      </c>
      <c r="Q58" s="3" t="s">
        <v>59</v>
      </c>
      <c r="R58" s="3">
        <v>5351</v>
      </c>
      <c r="S58" s="3" t="s">
        <v>160</v>
      </c>
      <c r="T58" s="3" t="s">
        <v>359</v>
      </c>
      <c r="U58" s="3">
        <v>15</v>
      </c>
      <c r="V58" s="3">
        <v>1</v>
      </c>
      <c r="W58" s="3">
        <v>0</v>
      </c>
    </row>
    <row r="59" spans="1:23" ht="11.25" customHeight="1" x14ac:dyDescent="0.25">
      <c r="A59" s="3" t="s">
        <v>21</v>
      </c>
      <c r="B59" s="3" t="s">
        <v>35</v>
      </c>
      <c r="C59" s="3" t="s">
        <v>56</v>
      </c>
      <c r="D59" s="3" t="s">
        <v>25</v>
      </c>
      <c r="E59" s="3" t="s">
        <v>25</v>
      </c>
      <c r="F59" s="3" t="s">
        <v>57</v>
      </c>
      <c r="G59" s="3" t="s">
        <v>58</v>
      </c>
      <c r="H59" s="3" t="s">
        <v>37</v>
      </c>
      <c r="I59" s="6">
        <v>44713</v>
      </c>
      <c r="J59" s="4">
        <v>2450</v>
      </c>
      <c r="K59" s="4">
        <v>2450</v>
      </c>
      <c r="L59" s="4">
        <v>95.867000000000004</v>
      </c>
      <c r="M59" s="4">
        <v>95.867000000000004</v>
      </c>
      <c r="N59" s="4">
        <v>0</v>
      </c>
      <c r="O59" s="4">
        <v>0</v>
      </c>
      <c r="P59" s="4">
        <v>0</v>
      </c>
      <c r="Q59" s="3" t="s">
        <v>59</v>
      </c>
      <c r="R59" s="3">
        <v>5351</v>
      </c>
      <c r="S59" s="3" t="s">
        <v>161</v>
      </c>
      <c r="T59" s="3" t="s">
        <v>360</v>
      </c>
      <c r="U59" s="3">
        <v>15</v>
      </c>
      <c r="V59" s="3">
        <v>1</v>
      </c>
      <c r="W59" s="3">
        <v>0</v>
      </c>
    </row>
    <row r="60" spans="1:23" ht="11.25" customHeight="1" x14ac:dyDescent="0.25">
      <c r="A60" s="3" t="s">
        <v>21</v>
      </c>
      <c r="B60" s="3" t="s">
        <v>35</v>
      </c>
      <c r="C60" s="3" t="s">
        <v>56</v>
      </c>
      <c r="D60" s="3" t="s">
        <v>25</v>
      </c>
      <c r="E60" s="3" t="s">
        <v>25</v>
      </c>
      <c r="F60" s="3" t="s">
        <v>57</v>
      </c>
      <c r="G60" s="3" t="s">
        <v>58</v>
      </c>
      <c r="H60" s="3" t="s">
        <v>37</v>
      </c>
      <c r="I60" s="6">
        <v>44743</v>
      </c>
      <c r="J60" s="4">
        <v>2450</v>
      </c>
      <c r="K60" s="4">
        <v>2450</v>
      </c>
      <c r="L60" s="4">
        <v>92.832999999999998</v>
      </c>
      <c r="M60" s="4">
        <v>92.832999999999998</v>
      </c>
      <c r="N60" s="4">
        <v>0</v>
      </c>
      <c r="O60" s="4">
        <v>0</v>
      </c>
      <c r="P60" s="4">
        <v>0</v>
      </c>
      <c r="Q60" s="3" t="s">
        <v>59</v>
      </c>
      <c r="R60" s="3">
        <v>5351</v>
      </c>
      <c r="S60" s="3" t="s">
        <v>162</v>
      </c>
      <c r="T60" s="3" t="s">
        <v>361</v>
      </c>
      <c r="U60" s="3">
        <v>15</v>
      </c>
      <c r="V60" s="3">
        <v>1</v>
      </c>
      <c r="W60" s="3">
        <v>0</v>
      </c>
    </row>
    <row r="61" spans="1:23" ht="11.25" customHeight="1" x14ac:dyDescent="0.25">
      <c r="A61" s="3" t="s">
        <v>21</v>
      </c>
      <c r="B61" s="3" t="s">
        <v>35</v>
      </c>
      <c r="C61" s="3" t="s">
        <v>56</v>
      </c>
      <c r="D61" s="3" t="s">
        <v>25</v>
      </c>
      <c r="E61" s="3" t="s">
        <v>25</v>
      </c>
      <c r="F61" s="3" t="s">
        <v>57</v>
      </c>
      <c r="G61" s="3" t="s">
        <v>58</v>
      </c>
      <c r="H61" s="3" t="s">
        <v>37</v>
      </c>
      <c r="I61" s="6">
        <v>44774</v>
      </c>
      <c r="J61" s="4">
        <v>2862</v>
      </c>
      <c r="K61" s="4">
        <v>2862</v>
      </c>
      <c r="L61" s="4">
        <v>112.767</v>
      </c>
      <c r="M61" s="4">
        <v>112.767</v>
      </c>
      <c r="N61" s="4">
        <v>0</v>
      </c>
      <c r="O61" s="4">
        <v>0</v>
      </c>
      <c r="P61" s="4">
        <v>0</v>
      </c>
      <c r="Q61" s="3" t="s">
        <v>59</v>
      </c>
      <c r="R61" s="3">
        <v>5351</v>
      </c>
      <c r="S61" s="3" t="s">
        <v>163</v>
      </c>
      <c r="T61" s="3" t="s">
        <v>362</v>
      </c>
      <c r="U61" s="3">
        <v>15</v>
      </c>
      <c r="V61" s="3">
        <v>1</v>
      </c>
      <c r="W61" s="3">
        <v>0</v>
      </c>
    </row>
    <row r="62" spans="1:23" ht="11.25" customHeight="1" x14ac:dyDescent="0.25">
      <c r="A62" s="3" t="s">
        <v>21</v>
      </c>
      <c r="B62" s="3" t="s">
        <v>35</v>
      </c>
      <c r="C62" s="3" t="s">
        <v>60</v>
      </c>
      <c r="D62" s="3" t="s">
        <v>25</v>
      </c>
      <c r="E62" s="3" t="s">
        <v>25</v>
      </c>
      <c r="F62" s="3" t="s">
        <v>25</v>
      </c>
      <c r="G62" s="3" t="s">
        <v>61</v>
      </c>
      <c r="H62" s="3" t="s">
        <v>25</v>
      </c>
      <c r="I62" s="6">
        <v>44440</v>
      </c>
      <c r="J62" s="4">
        <v>2500</v>
      </c>
      <c r="K62" s="4">
        <v>1250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62</v>
      </c>
      <c r="R62" s="3">
        <v>29137</v>
      </c>
      <c r="S62" s="3" t="s">
        <v>164</v>
      </c>
      <c r="U62" s="3">
        <v>16</v>
      </c>
      <c r="V62" s="3">
        <v>0</v>
      </c>
      <c r="W62" s="3">
        <v>0</v>
      </c>
    </row>
    <row r="63" spans="1:23" ht="11.25" customHeight="1" x14ac:dyDescent="0.25">
      <c r="A63" s="3" t="s">
        <v>21</v>
      </c>
      <c r="B63" s="3" t="s">
        <v>35</v>
      </c>
      <c r="C63" s="3" t="s">
        <v>60</v>
      </c>
      <c r="D63" s="3" t="s">
        <v>25</v>
      </c>
      <c r="E63" s="3" t="s">
        <v>25</v>
      </c>
      <c r="F63" s="3" t="s">
        <v>25</v>
      </c>
      <c r="G63" s="3" t="s">
        <v>63</v>
      </c>
      <c r="H63" s="3" t="s">
        <v>25</v>
      </c>
      <c r="I63" s="6">
        <v>44440</v>
      </c>
      <c r="J63" s="4">
        <v>335</v>
      </c>
      <c r="K63" s="4">
        <v>167.5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62</v>
      </c>
      <c r="S63" s="3" t="s">
        <v>164</v>
      </c>
      <c r="U63" s="3">
        <v>16</v>
      </c>
      <c r="V63" s="3">
        <v>0</v>
      </c>
      <c r="W63" s="3">
        <v>0</v>
      </c>
    </row>
    <row r="64" spans="1:23" ht="11.25" customHeight="1" x14ac:dyDescent="0.25">
      <c r="A64" s="3" t="s">
        <v>21</v>
      </c>
      <c r="B64" s="3" t="s">
        <v>35</v>
      </c>
      <c r="C64" s="3" t="s">
        <v>60</v>
      </c>
      <c r="D64" s="3" t="s">
        <v>25</v>
      </c>
      <c r="E64" s="3" t="s">
        <v>25</v>
      </c>
      <c r="F64" s="3" t="s">
        <v>25</v>
      </c>
      <c r="G64" s="3" t="s">
        <v>64</v>
      </c>
      <c r="H64" s="3" t="s">
        <v>25</v>
      </c>
      <c r="I64" s="6">
        <v>44440</v>
      </c>
      <c r="J64" s="4">
        <v>1000</v>
      </c>
      <c r="K64" s="4">
        <v>500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62</v>
      </c>
      <c r="R64" s="3">
        <v>29425</v>
      </c>
      <c r="S64" s="3" t="s">
        <v>164</v>
      </c>
      <c r="U64" s="3">
        <v>16</v>
      </c>
      <c r="V64" s="3">
        <v>0</v>
      </c>
      <c r="W64" s="3">
        <v>0</v>
      </c>
    </row>
    <row r="65" spans="1:23" ht="11.25" customHeight="1" x14ac:dyDescent="0.25">
      <c r="A65" s="3" t="s">
        <v>21</v>
      </c>
      <c r="B65" s="3" t="s">
        <v>35</v>
      </c>
      <c r="C65" s="3" t="s">
        <v>60</v>
      </c>
      <c r="D65" s="3" t="s">
        <v>25</v>
      </c>
      <c r="E65" s="3" t="s">
        <v>25</v>
      </c>
      <c r="F65" s="3" t="s">
        <v>25</v>
      </c>
      <c r="G65" s="3" t="s">
        <v>65</v>
      </c>
      <c r="H65" s="3" t="s">
        <v>25</v>
      </c>
      <c r="I65" s="6">
        <v>44440</v>
      </c>
      <c r="J65" s="4">
        <v>666</v>
      </c>
      <c r="K65" s="4">
        <v>333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62</v>
      </c>
      <c r="R65" s="3">
        <v>30591</v>
      </c>
      <c r="S65" s="3" t="s">
        <v>164</v>
      </c>
      <c r="U65" s="3">
        <v>16</v>
      </c>
      <c r="V65" s="3">
        <v>0</v>
      </c>
      <c r="W65" s="3">
        <v>0</v>
      </c>
    </row>
    <row r="66" spans="1:23" ht="11.25" customHeight="1" x14ac:dyDescent="0.25">
      <c r="A66" s="3" t="s">
        <v>21</v>
      </c>
      <c r="B66" s="3" t="s">
        <v>35</v>
      </c>
      <c r="C66" s="3" t="s">
        <v>60</v>
      </c>
      <c r="D66" s="3" t="s">
        <v>25</v>
      </c>
      <c r="E66" s="3" t="s">
        <v>25</v>
      </c>
      <c r="F66" s="3" t="s">
        <v>25</v>
      </c>
      <c r="G66" s="3" t="s">
        <v>61</v>
      </c>
      <c r="H66" s="3" t="s">
        <v>25</v>
      </c>
      <c r="I66" s="6">
        <v>44470</v>
      </c>
      <c r="J66" s="4">
        <v>2500</v>
      </c>
      <c r="K66" s="4">
        <v>1250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62</v>
      </c>
      <c r="R66" s="3">
        <v>29137</v>
      </c>
      <c r="S66" s="3" t="s">
        <v>165</v>
      </c>
      <c r="U66" s="3">
        <v>16</v>
      </c>
      <c r="V66" s="3">
        <v>0</v>
      </c>
      <c r="W66" s="3">
        <v>0</v>
      </c>
    </row>
    <row r="67" spans="1:23" ht="11.25" customHeight="1" x14ac:dyDescent="0.25">
      <c r="A67" s="3" t="s">
        <v>21</v>
      </c>
      <c r="B67" s="3" t="s">
        <v>35</v>
      </c>
      <c r="C67" s="3" t="s">
        <v>60</v>
      </c>
      <c r="D67" s="3" t="s">
        <v>25</v>
      </c>
      <c r="E67" s="3" t="s">
        <v>25</v>
      </c>
      <c r="F67" s="3" t="s">
        <v>25</v>
      </c>
      <c r="G67" s="3" t="s">
        <v>63</v>
      </c>
      <c r="H67" s="3" t="s">
        <v>25</v>
      </c>
      <c r="I67" s="6">
        <v>44470</v>
      </c>
      <c r="J67" s="4">
        <v>335</v>
      </c>
      <c r="K67" s="4">
        <v>167.5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62</v>
      </c>
      <c r="S67" s="3" t="s">
        <v>165</v>
      </c>
      <c r="U67" s="3">
        <v>16</v>
      </c>
      <c r="V67" s="3">
        <v>0</v>
      </c>
      <c r="W67" s="3">
        <v>0</v>
      </c>
    </row>
    <row r="68" spans="1:23" ht="11.25" customHeight="1" x14ac:dyDescent="0.25">
      <c r="A68" s="3" t="s">
        <v>21</v>
      </c>
      <c r="B68" s="3" t="s">
        <v>35</v>
      </c>
      <c r="C68" s="3" t="s">
        <v>60</v>
      </c>
      <c r="D68" s="3" t="s">
        <v>25</v>
      </c>
      <c r="E68" s="3" t="s">
        <v>25</v>
      </c>
      <c r="F68" s="3" t="s">
        <v>25</v>
      </c>
      <c r="G68" s="3" t="s">
        <v>64</v>
      </c>
      <c r="H68" s="3" t="s">
        <v>25</v>
      </c>
      <c r="I68" s="6">
        <v>44470</v>
      </c>
      <c r="J68" s="4">
        <v>1000</v>
      </c>
      <c r="K68" s="4">
        <v>500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62</v>
      </c>
      <c r="R68" s="3">
        <v>29425</v>
      </c>
      <c r="S68" s="3" t="s">
        <v>165</v>
      </c>
      <c r="U68" s="3">
        <v>16</v>
      </c>
      <c r="V68" s="3">
        <v>0</v>
      </c>
      <c r="W68" s="3">
        <v>0</v>
      </c>
    </row>
    <row r="69" spans="1:23" ht="11.25" customHeight="1" x14ac:dyDescent="0.25">
      <c r="A69" s="3" t="s">
        <v>21</v>
      </c>
      <c r="B69" s="3" t="s">
        <v>35</v>
      </c>
      <c r="C69" s="3" t="s">
        <v>60</v>
      </c>
      <c r="D69" s="3" t="s">
        <v>25</v>
      </c>
      <c r="E69" s="3" t="s">
        <v>25</v>
      </c>
      <c r="F69" s="3" t="s">
        <v>25</v>
      </c>
      <c r="G69" s="3" t="s">
        <v>65</v>
      </c>
      <c r="H69" s="3" t="s">
        <v>25</v>
      </c>
      <c r="I69" s="6">
        <v>44470</v>
      </c>
      <c r="J69" s="4">
        <v>768</v>
      </c>
      <c r="K69" s="4">
        <v>384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62</v>
      </c>
      <c r="R69" s="3">
        <v>30591</v>
      </c>
      <c r="S69" s="3" t="s">
        <v>165</v>
      </c>
      <c r="U69" s="3">
        <v>16</v>
      </c>
      <c r="V69" s="3">
        <v>0</v>
      </c>
      <c r="W69" s="3">
        <v>0</v>
      </c>
    </row>
    <row r="70" spans="1:23" ht="11.25" customHeight="1" x14ac:dyDescent="0.25">
      <c r="A70" s="3" t="s">
        <v>21</v>
      </c>
      <c r="B70" s="3" t="s">
        <v>35</v>
      </c>
      <c r="C70" s="3" t="s">
        <v>60</v>
      </c>
      <c r="D70" s="3" t="s">
        <v>25</v>
      </c>
      <c r="E70" s="3" t="s">
        <v>25</v>
      </c>
      <c r="F70" s="3" t="s">
        <v>25</v>
      </c>
      <c r="G70" s="3" t="s">
        <v>61</v>
      </c>
      <c r="H70" s="3" t="s">
        <v>25</v>
      </c>
      <c r="I70" s="6">
        <v>44501</v>
      </c>
      <c r="J70" s="4">
        <v>2500</v>
      </c>
      <c r="K70" s="4">
        <v>1250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62</v>
      </c>
      <c r="R70" s="3">
        <v>29137</v>
      </c>
      <c r="S70" s="3" t="s">
        <v>166</v>
      </c>
      <c r="U70" s="3">
        <v>16</v>
      </c>
      <c r="V70" s="3">
        <v>0</v>
      </c>
      <c r="W70" s="3">
        <v>0</v>
      </c>
    </row>
    <row r="71" spans="1:23" ht="11.25" customHeight="1" x14ac:dyDescent="0.25">
      <c r="A71" s="3" t="s">
        <v>21</v>
      </c>
      <c r="B71" s="3" t="s">
        <v>35</v>
      </c>
      <c r="C71" s="3" t="s">
        <v>60</v>
      </c>
      <c r="D71" s="3" t="s">
        <v>25</v>
      </c>
      <c r="E71" s="3" t="s">
        <v>25</v>
      </c>
      <c r="F71" s="3" t="s">
        <v>25</v>
      </c>
      <c r="G71" s="3" t="s">
        <v>63</v>
      </c>
      <c r="H71" s="3" t="s">
        <v>25</v>
      </c>
      <c r="I71" s="6">
        <v>44501</v>
      </c>
      <c r="J71" s="4">
        <v>335</v>
      </c>
      <c r="K71" s="4">
        <v>167.5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62</v>
      </c>
      <c r="S71" s="3" t="s">
        <v>166</v>
      </c>
      <c r="U71" s="3">
        <v>16</v>
      </c>
      <c r="V71" s="3">
        <v>0</v>
      </c>
      <c r="W71" s="3">
        <v>0</v>
      </c>
    </row>
    <row r="72" spans="1:23" ht="11.25" customHeight="1" x14ac:dyDescent="0.25">
      <c r="A72" s="3" t="s">
        <v>21</v>
      </c>
      <c r="B72" s="3" t="s">
        <v>35</v>
      </c>
      <c r="C72" s="3" t="s">
        <v>60</v>
      </c>
      <c r="D72" s="3" t="s">
        <v>25</v>
      </c>
      <c r="E72" s="3" t="s">
        <v>25</v>
      </c>
      <c r="F72" s="3" t="s">
        <v>25</v>
      </c>
      <c r="G72" s="3" t="s">
        <v>64</v>
      </c>
      <c r="H72" s="3" t="s">
        <v>25</v>
      </c>
      <c r="I72" s="6">
        <v>44501</v>
      </c>
      <c r="J72" s="4">
        <v>1000</v>
      </c>
      <c r="K72" s="4">
        <v>500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62</v>
      </c>
      <c r="R72" s="3">
        <v>29425</v>
      </c>
      <c r="S72" s="3" t="s">
        <v>166</v>
      </c>
      <c r="U72" s="3">
        <v>16</v>
      </c>
      <c r="V72" s="3">
        <v>0</v>
      </c>
      <c r="W72" s="3">
        <v>0</v>
      </c>
    </row>
    <row r="73" spans="1:23" ht="11.25" customHeight="1" x14ac:dyDescent="0.25">
      <c r="A73" s="3" t="s">
        <v>21</v>
      </c>
      <c r="B73" s="3" t="s">
        <v>35</v>
      </c>
      <c r="C73" s="3" t="s">
        <v>60</v>
      </c>
      <c r="D73" s="3" t="s">
        <v>25</v>
      </c>
      <c r="E73" s="3" t="s">
        <v>25</v>
      </c>
      <c r="F73" s="3" t="s">
        <v>25</v>
      </c>
      <c r="G73" s="3" t="s">
        <v>65</v>
      </c>
      <c r="H73" s="3" t="s">
        <v>25</v>
      </c>
      <c r="I73" s="6">
        <v>44501</v>
      </c>
      <c r="J73" s="4">
        <v>532</v>
      </c>
      <c r="K73" s="4">
        <v>266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62</v>
      </c>
      <c r="R73" s="3">
        <v>30591</v>
      </c>
      <c r="S73" s="3" t="s">
        <v>166</v>
      </c>
      <c r="U73" s="3">
        <v>16</v>
      </c>
      <c r="V73" s="3">
        <v>0</v>
      </c>
      <c r="W73" s="3">
        <v>0</v>
      </c>
    </row>
    <row r="74" spans="1:23" ht="11.25" customHeight="1" x14ac:dyDescent="0.25">
      <c r="A74" s="3" t="s">
        <v>21</v>
      </c>
      <c r="B74" s="3" t="s">
        <v>35</v>
      </c>
      <c r="C74" s="3" t="s">
        <v>60</v>
      </c>
      <c r="D74" s="3" t="s">
        <v>25</v>
      </c>
      <c r="E74" s="3" t="s">
        <v>25</v>
      </c>
      <c r="F74" s="3" t="s">
        <v>25</v>
      </c>
      <c r="G74" s="3" t="s">
        <v>61</v>
      </c>
      <c r="H74" s="3" t="s">
        <v>25</v>
      </c>
      <c r="I74" s="6">
        <v>44531</v>
      </c>
      <c r="J74" s="4">
        <v>2500</v>
      </c>
      <c r="K74" s="4">
        <v>1250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3" t="s">
        <v>62</v>
      </c>
      <c r="R74" s="3">
        <v>29137</v>
      </c>
      <c r="S74" s="3" t="s">
        <v>167</v>
      </c>
      <c r="U74" s="3">
        <v>16</v>
      </c>
      <c r="V74" s="3">
        <v>0</v>
      </c>
      <c r="W74" s="3">
        <v>0</v>
      </c>
    </row>
    <row r="75" spans="1:23" ht="11.25" customHeight="1" x14ac:dyDescent="0.25">
      <c r="A75" s="3" t="s">
        <v>21</v>
      </c>
      <c r="B75" s="3" t="s">
        <v>35</v>
      </c>
      <c r="C75" s="3" t="s">
        <v>60</v>
      </c>
      <c r="D75" s="3" t="s">
        <v>25</v>
      </c>
      <c r="E75" s="3" t="s">
        <v>25</v>
      </c>
      <c r="F75" s="3" t="s">
        <v>25</v>
      </c>
      <c r="G75" s="3" t="s">
        <v>63</v>
      </c>
      <c r="H75" s="3" t="s">
        <v>25</v>
      </c>
      <c r="I75" s="6">
        <v>44531</v>
      </c>
      <c r="J75" s="4">
        <v>335</v>
      </c>
      <c r="K75" s="4">
        <v>167.5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3" t="s">
        <v>62</v>
      </c>
      <c r="S75" s="3" t="s">
        <v>167</v>
      </c>
      <c r="U75" s="3">
        <v>16</v>
      </c>
      <c r="V75" s="3">
        <v>0</v>
      </c>
      <c r="W75" s="3">
        <v>0</v>
      </c>
    </row>
    <row r="76" spans="1:23" ht="11.25" customHeight="1" x14ac:dyDescent="0.25">
      <c r="A76" s="3" t="s">
        <v>21</v>
      </c>
      <c r="B76" s="3" t="s">
        <v>35</v>
      </c>
      <c r="C76" s="3" t="s">
        <v>60</v>
      </c>
      <c r="D76" s="3" t="s">
        <v>25</v>
      </c>
      <c r="E76" s="3" t="s">
        <v>25</v>
      </c>
      <c r="F76" s="3" t="s">
        <v>25</v>
      </c>
      <c r="G76" s="3" t="s">
        <v>64</v>
      </c>
      <c r="H76" s="3" t="s">
        <v>25</v>
      </c>
      <c r="I76" s="6">
        <v>44531</v>
      </c>
      <c r="J76" s="4">
        <v>1000</v>
      </c>
      <c r="K76" s="4">
        <v>500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3" t="s">
        <v>62</v>
      </c>
      <c r="R76" s="3">
        <v>29425</v>
      </c>
      <c r="S76" s="3" t="s">
        <v>167</v>
      </c>
      <c r="U76" s="3">
        <v>16</v>
      </c>
      <c r="V76" s="3">
        <v>0</v>
      </c>
      <c r="W76" s="3">
        <v>0</v>
      </c>
    </row>
    <row r="77" spans="1:23" ht="11.25" customHeight="1" x14ac:dyDescent="0.25">
      <c r="A77" s="3" t="s">
        <v>21</v>
      </c>
      <c r="B77" s="3" t="s">
        <v>35</v>
      </c>
      <c r="C77" s="3" t="s">
        <v>60</v>
      </c>
      <c r="D77" s="3" t="s">
        <v>25</v>
      </c>
      <c r="E77" s="3" t="s">
        <v>25</v>
      </c>
      <c r="F77" s="3" t="s">
        <v>25</v>
      </c>
      <c r="G77" s="3" t="s">
        <v>65</v>
      </c>
      <c r="H77" s="3" t="s">
        <v>25</v>
      </c>
      <c r="I77" s="6">
        <v>44531</v>
      </c>
      <c r="J77" s="4">
        <v>639</v>
      </c>
      <c r="K77" s="4">
        <v>319.5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 t="s">
        <v>62</v>
      </c>
      <c r="R77" s="3">
        <v>30591</v>
      </c>
      <c r="S77" s="3" t="s">
        <v>167</v>
      </c>
      <c r="U77" s="3">
        <v>16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35</v>
      </c>
      <c r="C78" s="3" t="s">
        <v>60</v>
      </c>
      <c r="D78" s="3" t="s">
        <v>25</v>
      </c>
      <c r="E78" s="3" t="s">
        <v>25</v>
      </c>
      <c r="F78" s="3" t="s">
        <v>25</v>
      </c>
      <c r="G78" s="3" t="s">
        <v>61</v>
      </c>
      <c r="H78" s="3" t="s">
        <v>25</v>
      </c>
      <c r="I78" s="6">
        <v>44562</v>
      </c>
      <c r="J78" s="4">
        <v>2500</v>
      </c>
      <c r="K78" s="4">
        <v>1250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 t="s">
        <v>62</v>
      </c>
      <c r="R78" s="3">
        <v>29137</v>
      </c>
      <c r="S78" s="3" t="s">
        <v>168</v>
      </c>
      <c r="U78" s="3">
        <v>16</v>
      </c>
      <c r="V78" s="3">
        <v>0</v>
      </c>
      <c r="W78" s="3">
        <v>0</v>
      </c>
    </row>
    <row r="79" spans="1:23" ht="11.25" customHeight="1" x14ac:dyDescent="0.25">
      <c r="A79" s="3" t="s">
        <v>21</v>
      </c>
      <c r="B79" s="3" t="s">
        <v>35</v>
      </c>
      <c r="C79" s="3" t="s">
        <v>60</v>
      </c>
      <c r="D79" s="3" t="s">
        <v>25</v>
      </c>
      <c r="E79" s="3" t="s">
        <v>25</v>
      </c>
      <c r="F79" s="3" t="s">
        <v>25</v>
      </c>
      <c r="G79" s="3" t="s">
        <v>63</v>
      </c>
      <c r="H79" s="3" t="s">
        <v>25</v>
      </c>
      <c r="I79" s="6">
        <v>44562</v>
      </c>
      <c r="J79" s="4">
        <v>335</v>
      </c>
      <c r="K79" s="4">
        <v>167.5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 t="s">
        <v>62</v>
      </c>
      <c r="S79" s="3" t="s">
        <v>168</v>
      </c>
      <c r="U79" s="3">
        <v>16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35</v>
      </c>
      <c r="C80" s="3" t="s">
        <v>60</v>
      </c>
      <c r="D80" s="3" t="s">
        <v>25</v>
      </c>
      <c r="E80" s="3" t="s">
        <v>25</v>
      </c>
      <c r="F80" s="3" t="s">
        <v>25</v>
      </c>
      <c r="G80" s="3" t="s">
        <v>64</v>
      </c>
      <c r="H80" s="3" t="s">
        <v>25</v>
      </c>
      <c r="I80" s="6">
        <v>44562</v>
      </c>
      <c r="J80" s="4">
        <v>1000</v>
      </c>
      <c r="K80" s="4">
        <v>500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 t="s">
        <v>62</v>
      </c>
      <c r="R80" s="3">
        <v>29425</v>
      </c>
      <c r="S80" s="3" t="s">
        <v>168</v>
      </c>
      <c r="U80" s="3">
        <v>16</v>
      </c>
      <c r="V80" s="3">
        <v>0</v>
      </c>
      <c r="W80" s="3">
        <v>0</v>
      </c>
    </row>
    <row r="81" spans="1:23" ht="11.25" customHeight="1" x14ac:dyDescent="0.25">
      <c r="A81" s="3" t="s">
        <v>21</v>
      </c>
      <c r="B81" s="3" t="s">
        <v>35</v>
      </c>
      <c r="C81" s="3" t="s">
        <v>60</v>
      </c>
      <c r="D81" s="3" t="s">
        <v>25</v>
      </c>
      <c r="E81" s="3" t="s">
        <v>25</v>
      </c>
      <c r="F81" s="3" t="s">
        <v>25</v>
      </c>
      <c r="G81" s="3" t="s">
        <v>65</v>
      </c>
      <c r="H81" s="3" t="s">
        <v>25</v>
      </c>
      <c r="I81" s="6">
        <v>44562</v>
      </c>
      <c r="J81" s="4">
        <v>639</v>
      </c>
      <c r="K81" s="4">
        <v>319.5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 t="s">
        <v>62</v>
      </c>
      <c r="R81" s="3">
        <v>30591</v>
      </c>
      <c r="S81" s="3" t="s">
        <v>168</v>
      </c>
      <c r="U81" s="3">
        <v>16</v>
      </c>
      <c r="V81" s="3">
        <v>0</v>
      </c>
      <c r="W81" s="3">
        <v>0</v>
      </c>
    </row>
    <row r="82" spans="1:23" ht="11.25" customHeight="1" x14ac:dyDescent="0.25">
      <c r="A82" s="3" t="s">
        <v>21</v>
      </c>
      <c r="B82" s="3" t="s">
        <v>35</v>
      </c>
      <c r="C82" s="3" t="s">
        <v>60</v>
      </c>
      <c r="D82" s="3" t="s">
        <v>25</v>
      </c>
      <c r="E82" s="3" t="s">
        <v>25</v>
      </c>
      <c r="F82" s="3" t="s">
        <v>25</v>
      </c>
      <c r="G82" s="3" t="s">
        <v>61</v>
      </c>
      <c r="H82" s="3" t="s">
        <v>25</v>
      </c>
      <c r="I82" s="6">
        <v>44593</v>
      </c>
      <c r="J82" s="4">
        <v>2500</v>
      </c>
      <c r="K82" s="4">
        <v>2500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 t="s">
        <v>62</v>
      </c>
      <c r="R82" s="3">
        <v>29137</v>
      </c>
      <c r="S82" s="3" t="s">
        <v>169</v>
      </c>
      <c r="U82" s="3">
        <v>16</v>
      </c>
      <c r="V82" s="3">
        <v>0</v>
      </c>
      <c r="W82" s="3">
        <v>0</v>
      </c>
    </row>
    <row r="83" spans="1:23" ht="11.25" customHeight="1" x14ac:dyDescent="0.25">
      <c r="A83" s="3" t="s">
        <v>21</v>
      </c>
      <c r="B83" s="3" t="s">
        <v>35</v>
      </c>
      <c r="C83" s="3" t="s">
        <v>60</v>
      </c>
      <c r="D83" s="3" t="s">
        <v>25</v>
      </c>
      <c r="E83" s="3" t="s">
        <v>25</v>
      </c>
      <c r="F83" s="3" t="s">
        <v>25</v>
      </c>
      <c r="G83" s="3" t="s">
        <v>63</v>
      </c>
      <c r="H83" s="3" t="s">
        <v>25</v>
      </c>
      <c r="I83" s="6">
        <v>44593</v>
      </c>
      <c r="J83" s="4">
        <v>335</v>
      </c>
      <c r="K83" s="4">
        <v>335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 t="s">
        <v>62</v>
      </c>
      <c r="S83" s="3" t="s">
        <v>169</v>
      </c>
      <c r="U83" s="3">
        <v>16</v>
      </c>
      <c r="V83" s="3">
        <v>0</v>
      </c>
      <c r="W83" s="3">
        <v>0</v>
      </c>
    </row>
    <row r="84" spans="1:23" ht="11.25" customHeight="1" x14ac:dyDescent="0.25">
      <c r="A84" s="3" t="s">
        <v>21</v>
      </c>
      <c r="B84" s="3" t="s">
        <v>35</v>
      </c>
      <c r="C84" s="3" t="s">
        <v>60</v>
      </c>
      <c r="D84" s="3" t="s">
        <v>25</v>
      </c>
      <c r="E84" s="3" t="s">
        <v>25</v>
      </c>
      <c r="F84" s="3" t="s">
        <v>25</v>
      </c>
      <c r="G84" s="3" t="s">
        <v>64</v>
      </c>
      <c r="H84" s="3" t="s">
        <v>25</v>
      </c>
      <c r="I84" s="6">
        <v>44593</v>
      </c>
      <c r="J84" s="4">
        <v>1000</v>
      </c>
      <c r="K84" s="4">
        <v>1000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 t="s">
        <v>62</v>
      </c>
      <c r="R84" s="3">
        <v>29425</v>
      </c>
      <c r="S84" s="3" t="s">
        <v>169</v>
      </c>
      <c r="U84" s="3">
        <v>16</v>
      </c>
      <c r="V84" s="3">
        <v>0</v>
      </c>
      <c r="W84" s="3">
        <v>0</v>
      </c>
    </row>
    <row r="85" spans="1:23" ht="11.25" customHeight="1" x14ac:dyDescent="0.25">
      <c r="A85" s="3" t="s">
        <v>21</v>
      </c>
      <c r="B85" s="3" t="s">
        <v>35</v>
      </c>
      <c r="C85" s="3" t="s">
        <v>60</v>
      </c>
      <c r="D85" s="3" t="s">
        <v>25</v>
      </c>
      <c r="E85" s="3" t="s">
        <v>25</v>
      </c>
      <c r="F85" s="3" t="s">
        <v>25</v>
      </c>
      <c r="G85" s="3" t="s">
        <v>65</v>
      </c>
      <c r="H85" s="3" t="s">
        <v>25</v>
      </c>
      <c r="I85" s="6">
        <v>44593</v>
      </c>
      <c r="J85" s="4">
        <v>520</v>
      </c>
      <c r="K85" s="4">
        <v>260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 t="s">
        <v>62</v>
      </c>
      <c r="R85" s="3">
        <v>30591</v>
      </c>
      <c r="S85" s="3" t="s">
        <v>169</v>
      </c>
      <c r="U85" s="3">
        <v>16</v>
      </c>
      <c r="V85" s="3">
        <v>0</v>
      </c>
      <c r="W85" s="3">
        <v>0</v>
      </c>
    </row>
    <row r="86" spans="1:23" ht="11.25" customHeight="1" x14ac:dyDescent="0.25">
      <c r="A86" s="3" t="s">
        <v>21</v>
      </c>
      <c r="B86" s="3" t="s">
        <v>35</v>
      </c>
      <c r="C86" s="3" t="s">
        <v>60</v>
      </c>
      <c r="D86" s="3" t="s">
        <v>25</v>
      </c>
      <c r="E86" s="3" t="s">
        <v>25</v>
      </c>
      <c r="F86" s="3" t="s">
        <v>25</v>
      </c>
      <c r="G86" s="3" t="s">
        <v>61</v>
      </c>
      <c r="H86" s="3" t="s">
        <v>25</v>
      </c>
      <c r="I86" s="6">
        <v>44621</v>
      </c>
      <c r="J86" s="4">
        <v>2500</v>
      </c>
      <c r="K86" s="4">
        <v>1250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3" t="s">
        <v>62</v>
      </c>
      <c r="R86" s="3">
        <v>29137</v>
      </c>
      <c r="S86" s="3" t="s">
        <v>170</v>
      </c>
      <c r="U86" s="3">
        <v>16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35</v>
      </c>
      <c r="C87" s="3" t="s">
        <v>60</v>
      </c>
      <c r="D87" s="3" t="s">
        <v>25</v>
      </c>
      <c r="E87" s="3" t="s">
        <v>25</v>
      </c>
      <c r="F87" s="3" t="s">
        <v>25</v>
      </c>
      <c r="G87" s="3" t="s">
        <v>63</v>
      </c>
      <c r="H87" s="3" t="s">
        <v>25</v>
      </c>
      <c r="I87" s="6">
        <v>44621</v>
      </c>
      <c r="J87" s="4">
        <v>335</v>
      </c>
      <c r="K87" s="4">
        <v>167.5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3" t="s">
        <v>62</v>
      </c>
      <c r="S87" s="3" t="s">
        <v>170</v>
      </c>
      <c r="U87" s="3">
        <v>16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35</v>
      </c>
      <c r="C88" s="3" t="s">
        <v>60</v>
      </c>
      <c r="D88" s="3" t="s">
        <v>25</v>
      </c>
      <c r="E88" s="3" t="s">
        <v>25</v>
      </c>
      <c r="F88" s="3" t="s">
        <v>25</v>
      </c>
      <c r="G88" s="3" t="s">
        <v>64</v>
      </c>
      <c r="H88" s="3" t="s">
        <v>25</v>
      </c>
      <c r="I88" s="6">
        <v>44621</v>
      </c>
      <c r="J88" s="4">
        <v>1000</v>
      </c>
      <c r="K88" s="4">
        <v>500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3" t="s">
        <v>62</v>
      </c>
      <c r="R88" s="3">
        <v>29425</v>
      </c>
      <c r="S88" s="3" t="s">
        <v>170</v>
      </c>
      <c r="U88" s="3">
        <v>16</v>
      </c>
      <c r="V88" s="3">
        <v>0</v>
      </c>
      <c r="W88" s="3">
        <v>0</v>
      </c>
    </row>
    <row r="89" spans="1:23" ht="11.25" customHeight="1" x14ac:dyDescent="0.25">
      <c r="A89" s="3" t="s">
        <v>21</v>
      </c>
      <c r="B89" s="3" t="s">
        <v>35</v>
      </c>
      <c r="C89" s="3" t="s">
        <v>60</v>
      </c>
      <c r="D89" s="3" t="s">
        <v>25</v>
      </c>
      <c r="E89" s="3" t="s">
        <v>25</v>
      </c>
      <c r="F89" s="3" t="s">
        <v>25</v>
      </c>
      <c r="G89" s="3" t="s">
        <v>65</v>
      </c>
      <c r="H89" s="3" t="s">
        <v>25</v>
      </c>
      <c r="I89" s="6">
        <v>44621</v>
      </c>
      <c r="J89" s="4">
        <v>726</v>
      </c>
      <c r="K89" s="4">
        <v>363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3" t="s">
        <v>62</v>
      </c>
      <c r="R89" s="3">
        <v>30591</v>
      </c>
      <c r="S89" s="3" t="s">
        <v>170</v>
      </c>
      <c r="U89" s="3">
        <v>16</v>
      </c>
      <c r="V89" s="3">
        <v>0</v>
      </c>
      <c r="W89" s="3">
        <v>0</v>
      </c>
    </row>
    <row r="90" spans="1:23" ht="11.25" customHeight="1" x14ac:dyDescent="0.25">
      <c r="A90" s="3" t="s">
        <v>21</v>
      </c>
      <c r="B90" s="3" t="s">
        <v>35</v>
      </c>
      <c r="C90" s="3" t="s">
        <v>60</v>
      </c>
      <c r="D90" s="3" t="s">
        <v>25</v>
      </c>
      <c r="E90" s="3" t="s">
        <v>25</v>
      </c>
      <c r="F90" s="3" t="s">
        <v>25</v>
      </c>
      <c r="G90" s="3" t="s">
        <v>61</v>
      </c>
      <c r="H90" s="3" t="s">
        <v>25</v>
      </c>
      <c r="I90" s="6">
        <v>44652</v>
      </c>
      <c r="J90" s="4">
        <v>2500</v>
      </c>
      <c r="K90" s="4">
        <v>1250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3" t="s">
        <v>62</v>
      </c>
      <c r="R90" s="3">
        <v>29137</v>
      </c>
      <c r="S90" s="3" t="s">
        <v>171</v>
      </c>
      <c r="U90" s="3">
        <v>16</v>
      </c>
      <c r="V90" s="3">
        <v>0</v>
      </c>
      <c r="W90" s="3">
        <v>0</v>
      </c>
    </row>
    <row r="91" spans="1:23" ht="11.25" customHeight="1" x14ac:dyDescent="0.25">
      <c r="A91" s="3" t="s">
        <v>21</v>
      </c>
      <c r="B91" s="3" t="s">
        <v>35</v>
      </c>
      <c r="C91" s="3" t="s">
        <v>60</v>
      </c>
      <c r="D91" s="3" t="s">
        <v>25</v>
      </c>
      <c r="E91" s="3" t="s">
        <v>25</v>
      </c>
      <c r="F91" s="3" t="s">
        <v>25</v>
      </c>
      <c r="G91" s="3" t="s">
        <v>63</v>
      </c>
      <c r="H91" s="3" t="s">
        <v>25</v>
      </c>
      <c r="I91" s="6">
        <v>44652</v>
      </c>
      <c r="J91" s="4">
        <v>335</v>
      </c>
      <c r="K91" s="4">
        <v>167.5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3" t="s">
        <v>62</v>
      </c>
      <c r="S91" s="3" t="s">
        <v>171</v>
      </c>
      <c r="U91" s="3">
        <v>16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35</v>
      </c>
      <c r="C92" s="3" t="s">
        <v>60</v>
      </c>
      <c r="D92" s="3" t="s">
        <v>25</v>
      </c>
      <c r="E92" s="3" t="s">
        <v>25</v>
      </c>
      <c r="F92" s="3" t="s">
        <v>25</v>
      </c>
      <c r="G92" s="3" t="s">
        <v>64</v>
      </c>
      <c r="H92" s="3" t="s">
        <v>25</v>
      </c>
      <c r="I92" s="6">
        <v>44652</v>
      </c>
      <c r="J92" s="4">
        <v>1000</v>
      </c>
      <c r="K92" s="4">
        <v>500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 t="s">
        <v>62</v>
      </c>
      <c r="R92" s="3">
        <v>29425</v>
      </c>
      <c r="S92" s="3" t="s">
        <v>171</v>
      </c>
      <c r="U92" s="3">
        <v>16</v>
      </c>
      <c r="V92" s="3">
        <v>0</v>
      </c>
      <c r="W92" s="3">
        <v>0</v>
      </c>
    </row>
    <row r="93" spans="1:23" ht="11.25" customHeight="1" x14ac:dyDescent="0.25">
      <c r="A93" s="3" t="s">
        <v>21</v>
      </c>
      <c r="B93" s="3" t="s">
        <v>35</v>
      </c>
      <c r="C93" s="3" t="s">
        <v>60</v>
      </c>
      <c r="D93" s="3" t="s">
        <v>25</v>
      </c>
      <c r="E93" s="3" t="s">
        <v>25</v>
      </c>
      <c r="F93" s="3" t="s">
        <v>25</v>
      </c>
      <c r="G93" s="3" t="s">
        <v>65</v>
      </c>
      <c r="H93" s="3" t="s">
        <v>25</v>
      </c>
      <c r="I93" s="6">
        <v>44652</v>
      </c>
      <c r="J93" s="4">
        <v>663</v>
      </c>
      <c r="K93" s="4">
        <v>331.5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3" t="s">
        <v>62</v>
      </c>
      <c r="R93" s="3">
        <v>30591</v>
      </c>
      <c r="S93" s="3" t="s">
        <v>171</v>
      </c>
      <c r="U93" s="3">
        <v>16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35</v>
      </c>
      <c r="C94" s="3" t="s">
        <v>60</v>
      </c>
      <c r="D94" s="3" t="s">
        <v>25</v>
      </c>
      <c r="E94" s="3" t="s">
        <v>25</v>
      </c>
      <c r="F94" s="3" t="s">
        <v>25</v>
      </c>
      <c r="G94" s="3" t="s">
        <v>61</v>
      </c>
      <c r="H94" s="3" t="s">
        <v>25</v>
      </c>
      <c r="I94" s="6">
        <v>44682</v>
      </c>
      <c r="J94" s="4">
        <v>2500</v>
      </c>
      <c r="K94" s="4">
        <v>1250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3" t="s">
        <v>62</v>
      </c>
      <c r="R94" s="3">
        <v>29137</v>
      </c>
      <c r="S94" s="3" t="s">
        <v>172</v>
      </c>
      <c r="U94" s="3">
        <v>16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35</v>
      </c>
      <c r="C95" s="3" t="s">
        <v>60</v>
      </c>
      <c r="D95" s="3" t="s">
        <v>25</v>
      </c>
      <c r="E95" s="3" t="s">
        <v>25</v>
      </c>
      <c r="F95" s="3" t="s">
        <v>25</v>
      </c>
      <c r="G95" s="3" t="s">
        <v>63</v>
      </c>
      <c r="H95" s="3" t="s">
        <v>25</v>
      </c>
      <c r="I95" s="6">
        <v>44682</v>
      </c>
      <c r="J95" s="4">
        <v>335</v>
      </c>
      <c r="K95" s="4">
        <v>167.5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3" t="s">
        <v>62</v>
      </c>
      <c r="S95" s="3" t="s">
        <v>172</v>
      </c>
      <c r="U95" s="3">
        <v>16</v>
      </c>
      <c r="V95" s="3">
        <v>0</v>
      </c>
      <c r="W95" s="3">
        <v>0</v>
      </c>
    </row>
    <row r="96" spans="1:23" ht="11.25" customHeight="1" x14ac:dyDescent="0.25">
      <c r="A96" s="3" t="s">
        <v>21</v>
      </c>
      <c r="B96" s="3" t="s">
        <v>35</v>
      </c>
      <c r="C96" s="3" t="s">
        <v>60</v>
      </c>
      <c r="D96" s="3" t="s">
        <v>25</v>
      </c>
      <c r="E96" s="3" t="s">
        <v>25</v>
      </c>
      <c r="F96" s="3" t="s">
        <v>25</v>
      </c>
      <c r="G96" s="3" t="s">
        <v>64</v>
      </c>
      <c r="H96" s="3" t="s">
        <v>25</v>
      </c>
      <c r="I96" s="6">
        <v>44682</v>
      </c>
      <c r="J96" s="4">
        <v>1000</v>
      </c>
      <c r="K96" s="4">
        <v>500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3" t="s">
        <v>62</v>
      </c>
      <c r="R96" s="3">
        <v>29425</v>
      </c>
      <c r="S96" s="3" t="s">
        <v>172</v>
      </c>
      <c r="U96" s="3">
        <v>16</v>
      </c>
      <c r="V96" s="3">
        <v>0</v>
      </c>
      <c r="W96" s="3">
        <v>0</v>
      </c>
    </row>
    <row r="97" spans="1:23" ht="11.25" customHeight="1" x14ac:dyDescent="0.25">
      <c r="A97" s="3" t="s">
        <v>21</v>
      </c>
      <c r="B97" s="3" t="s">
        <v>35</v>
      </c>
      <c r="C97" s="3" t="s">
        <v>60</v>
      </c>
      <c r="D97" s="3" t="s">
        <v>25</v>
      </c>
      <c r="E97" s="3" t="s">
        <v>25</v>
      </c>
      <c r="F97" s="3" t="s">
        <v>25</v>
      </c>
      <c r="G97" s="3" t="s">
        <v>65</v>
      </c>
      <c r="H97" s="3" t="s">
        <v>25</v>
      </c>
      <c r="I97" s="6">
        <v>44682</v>
      </c>
      <c r="J97" s="4">
        <v>480</v>
      </c>
      <c r="K97" s="4">
        <v>240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3" t="s">
        <v>62</v>
      </c>
      <c r="R97" s="3">
        <v>30591</v>
      </c>
      <c r="S97" s="3" t="s">
        <v>172</v>
      </c>
      <c r="U97" s="3">
        <v>16</v>
      </c>
      <c r="V97" s="3">
        <v>0</v>
      </c>
      <c r="W97" s="3">
        <v>0</v>
      </c>
    </row>
    <row r="98" spans="1:23" ht="11.25" customHeight="1" x14ac:dyDescent="0.25">
      <c r="A98" s="3" t="s">
        <v>21</v>
      </c>
      <c r="B98" s="3" t="s">
        <v>35</v>
      </c>
      <c r="C98" s="3" t="s">
        <v>60</v>
      </c>
      <c r="D98" s="3" t="s">
        <v>25</v>
      </c>
      <c r="E98" s="3" t="s">
        <v>25</v>
      </c>
      <c r="F98" s="3" t="s">
        <v>25</v>
      </c>
      <c r="G98" s="3" t="s">
        <v>61</v>
      </c>
      <c r="H98" s="3" t="s">
        <v>25</v>
      </c>
      <c r="I98" s="6">
        <v>44713</v>
      </c>
      <c r="J98" s="4">
        <v>2500</v>
      </c>
      <c r="K98" s="4">
        <v>1250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3" t="s">
        <v>62</v>
      </c>
      <c r="R98" s="3">
        <v>29137</v>
      </c>
      <c r="S98" s="3" t="s">
        <v>173</v>
      </c>
      <c r="U98" s="3">
        <v>16</v>
      </c>
      <c r="V98" s="3">
        <v>0</v>
      </c>
      <c r="W98" s="3">
        <v>0</v>
      </c>
    </row>
    <row r="99" spans="1:23" ht="11.25" customHeight="1" x14ac:dyDescent="0.25">
      <c r="A99" s="3" t="s">
        <v>21</v>
      </c>
      <c r="B99" s="3" t="s">
        <v>35</v>
      </c>
      <c r="C99" s="3" t="s">
        <v>60</v>
      </c>
      <c r="D99" s="3" t="s">
        <v>25</v>
      </c>
      <c r="E99" s="3" t="s">
        <v>25</v>
      </c>
      <c r="F99" s="3" t="s">
        <v>25</v>
      </c>
      <c r="G99" s="3" t="s">
        <v>63</v>
      </c>
      <c r="H99" s="3" t="s">
        <v>25</v>
      </c>
      <c r="I99" s="6">
        <v>44713</v>
      </c>
      <c r="J99" s="4">
        <v>335</v>
      </c>
      <c r="K99" s="4">
        <v>167.5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3" t="s">
        <v>62</v>
      </c>
      <c r="S99" s="3" t="s">
        <v>173</v>
      </c>
      <c r="U99" s="3">
        <v>16</v>
      </c>
      <c r="V99" s="3">
        <v>0</v>
      </c>
      <c r="W99" s="3">
        <v>0</v>
      </c>
    </row>
    <row r="100" spans="1:23" ht="11.25" customHeight="1" x14ac:dyDescent="0.25">
      <c r="A100" s="3" t="s">
        <v>21</v>
      </c>
      <c r="B100" s="3" t="s">
        <v>35</v>
      </c>
      <c r="C100" s="3" t="s">
        <v>60</v>
      </c>
      <c r="D100" s="3" t="s">
        <v>25</v>
      </c>
      <c r="E100" s="3" t="s">
        <v>25</v>
      </c>
      <c r="F100" s="3" t="s">
        <v>25</v>
      </c>
      <c r="G100" s="3" t="s">
        <v>64</v>
      </c>
      <c r="H100" s="3" t="s">
        <v>25</v>
      </c>
      <c r="I100" s="6">
        <v>44713</v>
      </c>
      <c r="J100" s="4">
        <v>1000</v>
      </c>
      <c r="K100" s="4">
        <v>500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 t="s">
        <v>62</v>
      </c>
      <c r="R100" s="3">
        <v>29425</v>
      </c>
      <c r="S100" s="3" t="s">
        <v>173</v>
      </c>
      <c r="U100" s="3">
        <v>16</v>
      </c>
      <c r="V100" s="3">
        <v>0</v>
      </c>
      <c r="W100" s="3">
        <v>0</v>
      </c>
    </row>
    <row r="101" spans="1:23" ht="11.25" customHeight="1" x14ac:dyDescent="0.25">
      <c r="A101" s="3" t="s">
        <v>21</v>
      </c>
      <c r="B101" s="3" t="s">
        <v>35</v>
      </c>
      <c r="C101" s="3" t="s">
        <v>60</v>
      </c>
      <c r="D101" s="3" t="s">
        <v>25</v>
      </c>
      <c r="E101" s="3" t="s">
        <v>25</v>
      </c>
      <c r="F101" s="3" t="s">
        <v>25</v>
      </c>
      <c r="G101" s="3" t="s">
        <v>65</v>
      </c>
      <c r="H101" s="3" t="s">
        <v>25</v>
      </c>
      <c r="I101" s="6">
        <v>44713</v>
      </c>
      <c r="J101" s="4">
        <v>509</v>
      </c>
      <c r="K101" s="4">
        <v>254.5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3" t="s">
        <v>62</v>
      </c>
      <c r="R101" s="3">
        <v>30591</v>
      </c>
      <c r="S101" s="3" t="s">
        <v>173</v>
      </c>
      <c r="U101" s="3">
        <v>16</v>
      </c>
      <c r="V101" s="3">
        <v>0</v>
      </c>
      <c r="W101" s="3">
        <v>0</v>
      </c>
    </row>
    <row r="102" spans="1:23" ht="11.25" customHeight="1" x14ac:dyDescent="0.25">
      <c r="A102" s="3" t="s">
        <v>21</v>
      </c>
      <c r="B102" s="3" t="s">
        <v>35</v>
      </c>
      <c r="C102" s="3" t="s">
        <v>60</v>
      </c>
      <c r="D102" s="3" t="s">
        <v>25</v>
      </c>
      <c r="E102" s="3" t="s">
        <v>25</v>
      </c>
      <c r="F102" s="3" t="s">
        <v>25</v>
      </c>
      <c r="G102" s="3" t="s">
        <v>61</v>
      </c>
      <c r="H102" s="3" t="s">
        <v>25</v>
      </c>
      <c r="I102" s="6">
        <v>44743</v>
      </c>
      <c r="J102" s="4">
        <v>2500</v>
      </c>
      <c r="K102" s="4">
        <v>1250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3" t="s">
        <v>62</v>
      </c>
      <c r="R102" s="3">
        <v>29137</v>
      </c>
      <c r="S102" s="3" t="s">
        <v>174</v>
      </c>
      <c r="U102" s="3">
        <v>16</v>
      </c>
      <c r="V102" s="3">
        <v>0</v>
      </c>
      <c r="W102" s="3">
        <v>0</v>
      </c>
    </row>
    <row r="103" spans="1:23" ht="11.25" customHeight="1" x14ac:dyDescent="0.25">
      <c r="A103" s="3" t="s">
        <v>21</v>
      </c>
      <c r="B103" s="3" t="s">
        <v>35</v>
      </c>
      <c r="C103" s="3" t="s">
        <v>60</v>
      </c>
      <c r="D103" s="3" t="s">
        <v>25</v>
      </c>
      <c r="E103" s="3" t="s">
        <v>25</v>
      </c>
      <c r="F103" s="3" t="s">
        <v>25</v>
      </c>
      <c r="G103" s="3" t="s">
        <v>63</v>
      </c>
      <c r="H103" s="3" t="s">
        <v>25</v>
      </c>
      <c r="I103" s="6">
        <v>44743</v>
      </c>
      <c r="J103" s="4">
        <v>335</v>
      </c>
      <c r="K103" s="4">
        <v>167.5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 t="s">
        <v>62</v>
      </c>
      <c r="S103" s="3" t="s">
        <v>174</v>
      </c>
      <c r="U103" s="3">
        <v>16</v>
      </c>
      <c r="V103" s="3">
        <v>0</v>
      </c>
      <c r="W103" s="3">
        <v>0</v>
      </c>
    </row>
    <row r="104" spans="1:23" ht="11.25" customHeight="1" x14ac:dyDescent="0.25">
      <c r="A104" s="3" t="s">
        <v>21</v>
      </c>
      <c r="B104" s="3" t="s">
        <v>35</v>
      </c>
      <c r="C104" s="3" t="s">
        <v>60</v>
      </c>
      <c r="D104" s="3" t="s">
        <v>25</v>
      </c>
      <c r="E104" s="3" t="s">
        <v>25</v>
      </c>
      <c r="F104" s="3" t="s">
        <v>25</v>
      </c>
      <c r="G104" s="3" t="s">
        <v>64</v>
      </c>
      <c r="H104" s="3" t="s">
        <v>25</v>
      </c>
      <c r="I104" s="6">
        <v>44743</v>
      </c>
      <c r="J104" s="4">
        <v>1000</v>
      </c>
      <c r="K104" s="4">
        <v>500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3" t="s">
        <v>62</v>
      </c>
      <c r="R104" s="3">
        <v>29425</v>
      </c>
      <c r="S104" s="3" t="s">
        <v>174</v>
      </c>
      <c r="U104" s="3">
        <v>16</v>
      </c>
      <c r="V104" s="3">
        <v>0</v>
      </c>
      <c r="W104" s="3">
        <v>0</v>
      </c>
    </row>
    <row r="105" spans="1:23" ht="11.25" customHeight="1" x14ac:dyDescent="0.25">
      <c r="A105" s="3" t="s">
        <v>21</v>
      </c>
      <c r="B105" s="3" t="s">
        <v>35</v>
      </c>
      <c r="C105" s="3" t="s">
        <v>60</v>
      </c>
      <c r="D105" s="3" t="s">
        <v>25</v>
      </c>
      <c r="E105" s="3" t="s">
        <v>25</v>
      </c>
      <c r="F105" s="3" t="s">
        <v>25</v>
      </c>
      <c r="G105" s="3" t="s">
        <v>65</v>
      </c>
      <c r="H105" s="3" t="s">
        <v>25</v>
      </c>
      <c r="I105" s="6">
        <v>44743</v>
      </c>
      <c r="J105" s="4">
        <v>643</v>
      </c>
      <c r="K105" s="4">
        <v>321.5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3" t="s">
        <v>62</v>
      </c>
      <c r="R105" s="3">
        <v>30591</v>
      </c>
      <c r="S105" s="3" t="s">
        <v>174</v>
      </c>
      <c r="U105" s="3">
        <v>16</v>
      </c>
      <c r="V105" s="3">
        <v>0</v>
      </c>
      <c r="W105" s="3">
        <v>0</v>
      </c>
    </row>
    <row r="106" spans="1:23" ht="11.25" customHeight="1" x14ac:dyDescent="0.25">
      <c r="A106" s="3" t="s">
        <v>21</v>
      </c>
      <c r="B106" s="3" t="s">
        <v>35</v>
      </c>
      <c r="C106" s="3" t="s">
        <v>60</v>
      </c>
      <c r="D106" s="3" t="s">
        <v>25</v>
      </c>
      <c r="E106" s="3" t="s">
        <v>25</v>
      </c>
      <c r="F106" s="3" t="s">
        <v>25</v>
      </c>
      <c r="G106" s="3" t="s">
        <v>61</v>
      </c>
      <c r="H106" s="3" t="s">
        <v>25</v>
      </c>
      <c r="I106" s="6">
        <v>44774</v>
      </c>
      <c r="J106" s="4">
        <v>2500</v>
      </c>
      <c r="K106" s="4">
        <v>1250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 t="s">
        <v>62</v>
      </c>
      <c r="R106" s="3">
        <v>29137</v>
      </c>
      <c r="S106" s="3" t="s">
        <v>175</v>
      </c>
      <c r="U106" s="3">
        <v>16</v>
      </c>
      <c r="V106" s="3">
        <v>0</v>
      </c>
      <c r="W106" s="3">
        <v>0</v>
      </c>
    </row>
    <row r="107" spans="1:23" ht="11.25" customHeight="1" x14ac:dyDescent="0.25">
      <c r="A107" s="3" t="s">
        <v>21</v>
      </c>
      <c r="B107" s="3" t="s">
        <v>35</v>
      </c>
      <c r="C107" s="3" t="s">
        <v>60</v>
      </c>
      <c r="D107" s="3" t="s">
        <v>25</v>
      </c>
      <c r="E107" s="3" t="s">
        <v>25</v>
      </c>
      <c r="F107" s="3" t="s">
        <v>25</v>
      </c>
      <c r="G107" s="3" t="s">
        <v>63</v>
      </c>
      <c r="H107" s="3" t="s">
        <v>25</v>
      </c>
      <c r="I107" s="6">
        <v>44774</v>
      </c>
      <c r="J107" s="4">
        <v>335</v>
      </c>
      <c r="K107" s="4">
        <v>167.5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3" t="s">
        <v>62</v>
      </c>
      <c r="S107" s="3" t="s">
        <v>175</v>
      </c>
      <c r="U107" s="3">
        <v>16</v>
      </c>
      <c r="V107" s="3">
        <v>0</v>
      </c>
      <c r="W107" s="3">
        <v>0</v>
      </c>
    </row>
    <row r="108" spans="1:23" ht="11.25" customHeight="1" x14ac:dyDescent="0.25">
      <c r="A108" s="3" t="s">
        <v>21</v>
      </c>
      <c r="B108" s="3" t="s">
        <v>35</v>
      </c>
      <c r="C108" s="3" t="s">
        <v>60</v>
      </c>
      <c r="D108" s="3" t="s">
        <v>25</v>
      </c>
      <c r="E108" s="3" t="s">
        <v>25</v>
      </c>
      <c r="F108" s="3" t="s">
        <v>25</v>
      </c>
      <c r="G108" s="3" t="s">
        <v>64</v>
      </c>
      <c r="H108" s="3" t="s">
        <v>25</v>
      </c>
      <c r="I108" s="6">
        <v>44774</v>
      </c>
      <c r="J108" s="4">
        <v>1000</v>
      </c>
      <c r="K108" s="4">
        <v>500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3" t="s">
        <v>62</v>
      </c>
      <c r="R108" s="3">
        <v>29425</v>
      </c>
      <c r="S108" s="3" t="s">
        <v>175</v>
      </c>
      <c r="U108" s="3">
        <v>16</v>
      </c>
      <c r="V108" s="3">
        <v>0</v>
      </c>
      <c r="W108" s="3">
        <v>0</v>
      </c>
    </row>
    <row r="109" spans="1:23" ht="11.25" customHeight="1" x14ac:dyDescent="0.25">
      <c r="A109" s="3" t="s">
        <v>21</v>
      </c>
      <c r="B109" s="3" t="s">
        <v>35</v>
      </c>
      <c r="C109" s="3" t="s">
        <v>60</v>
      </c>
      <c r="D109" s="3" t="s">
        <v>25</v>
      </c>
      <c r="E109" s="3" t="s">
        <v>25</v>
      </c>
      <c r="F109" s="3" t="s">
        <v>25</v>
      </c>
      <c r="G109" s="3" t="s">
        <v>65</v>
      </c>
      <c r="H109" s="3" t="s">
        <v>25</v>
      </c>
      <c r="I109" s="6">
        <v>44774</v>
      </c>
      <c r="J109" s="4">
        <v>605</v>
      </c>
      <c r="K109" s="4">
        <v>302.5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3" t="s">
        <v>62</v>
      </c>
      <c r="R109" s="3">
        <v>30591</v>
      </c>
      <c r="S109" s="3" t="s">
        <v>175</v>
      </c>
      <c r="U109" s="3">
        <v>16</v>
      </c>
      <c r="V109" s="3">
        <v>0</v>
      </c>
      <c r="W109" s="3">
        <v>0</v>
      </c>
    </row>
    <row r="110" spans="1:23" ht="11.25" customHeight="1" x14ac:dyDescent="0.25">
      <c r="A110" s="3" t="s">
        <v>21</v>
      </c>
      <c r="B110" s="3" t="s">
        <v>35</v>
      </c>
      <c r="C110" s="3" t="s">
        <v>36</v>
      </c>
      <c r="D110" s="3" t="s">
        <v>39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44440</v>
      </c>
      <c r="J110" s="4">
        <v>0</v>
      </c>
      <c r="K110" s="4">
        <v>0</v>
      </c>
      <c r="L110" s="4">
        <v>305.90199999999999</v>
      </c>
      <c r="M110" s="4">
        <v>305.90199999999999</v>
      </c>
      <c r="N110" s="4">
        <v>305.90199999999999</v>
      </c>
      <c r="O110" s="4">
        <v>305.90199999999999</v>
      </c>
      <c r="P110" s="4">
        <v>0</v>
      </c>
      <c r="Q110" s="3" t="s">
        <v>26</v>
      </c>
      <c r="R110" s="3">
        <v>0</v>
      </c>
      <c r="S110" s="3" t="s">
        <v>176</v>
      </c>
      <c r="T110" s="3" t="s">
        <v>327</v>
      </c>
      <c r="U110" s="3">
        <v>0</v>
      </c>
      <c r="V110" s="3">
        <v>13</v>
      </c>
      <c r="W110" s="3">
        <v>69</v>
      </c>
    </row>
    <row r="111" spans="1:23" ht="11.25" customHeight="1" x14ac:dyDescent="0.25">
      <c r="A111" s="3" t="s">
        <v>28</v>
      </c>
      <c r="B111" s="3" t="s">
        <v>35</v>
      </c>
      <c r="C111" s="3" t="s">
        <v>36</v>
      </c>
      <c r="D111" s="3" t="s">
        <v>39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44440</v>
      </c>
      <c r="J111" s="4">
        <v>0</v>
      </c>
      <c r="K111" s="4">
        <v>0</v>
      </c>
      <c r="L111" s="4">
        <v>12.711</v>
      </c>
      <c r="M111" s="4">
        <v>12.711</v>
      </c>
      <c r="N111" s="4">
        <v>12.711</v>
      </c>
      <c r="O111" s="4">
        <v>12.711</v>
      </c>
      <c r="P111" s="4">
        <v>0</v>
      </c>
      <c r="Q111" s="3" t="s">
        <v>26</v>
      </c>
      <c r="R111" s="3">
        <v>0</v>
      </c>
      <c r="S111" s="3" t="s">
        <v>176</v>
      </c>
      <c r="T111" s="3" t="s">
        <v>327</v>
      </c>
      <c r="U111" s="3">
        <v>0</v>
      </c>
      <c r="V111" s="3">
        <v>13</v>
      </c>
      <c r="W111" s="3">
        <v>69</v>
      </c>
    </row>
    <row r="112" spans="1:23" ht="11.25" customHeight="1" x14ac:dyDescent="0.25">
      <c r="A112" s="3" t="s">
        <v>21</v>
      </c>
      <c r="B112" s="3" t="s">
        <v>35</v>
      </c>
      <c r="C112" s="3" t="s">
        <v>36</v>
      </c>
      <c r="D112" s="3" t="s">
        <v>39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44470</v>
      </c>
      <c r="J112" s="4">
        <v>0</v>
      </c>
      <c r="K112" s="4">
        <v>0</v>
      </c>
      <c r="L112" s="4">
        <v>323.27699999999999</v>
      </c>
      <c r="M112" s="4">
        <v>323.27699999999999</v>
      </c>
      <c r="N112" s="4">
        <v>323.27699999999999</v>
      </c>
      <c r="O112" s="4">
        <v>323.27699999999999</v>
      </c>
      <c r="P112" s="4">
        <v>0</v>
      </c>
      <c r="Q112" s="3" t="s">
        <v>26</v>
      </c>
      <c r="R112" s="3">
        <v>0</v>
      </c>
      <c r="S112" s="3" t="s">
        <v>177</v>
      </c>
      <c r="T112" s="3" t="s">
        <v>328</v>
      </c>
      <c r="U112" s="3">
        <v>0</v>
      </c>
      <c r="V112" s="3">
        <v>13</v>
      </c>
      <c r="W112" s="3">
        <v>69</v>
      </c>
    </row>
    <row r="113" spans="1:23" ht="11.25" customHeight="1" x14ac:dyDescent="0.25">
      <c r="A113" s="3" t="s">
        <v>28</v>
      </c>
      <c r="B113" s="3" t="s">
        <v>35</v>
      </c>
      <c r="C113" s="3" t="s">
        <v>36</v>
      </c>
      <c r="D113" s="3" t="s">
        <v>39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44470</v>
      </c>
      <c r="J113" s="4">
        <v>0</v>
      </c>
      <c r="K113" s="4">
        <v>0</v>
      </c>
      <c r="L113" s="4">
        <v>13.173</v>
      </c>
      <c r="M113" s="4">
        <v>13.173</v>
      </c>
      <c r="N113" s="4">
        <v>13.173</v>
      </c>
      <c r="O113" s="4">
        <v>13.173</v>
      </c>
      <c r="P113" s="4">
        <v>0</v>
      </c>
      <c r="Q113" s="3" t="s">
        <v>26</v>
      </c>
      <c r="R113" s="3">
        <v>0</v>
      </c>
      <c r="S113" s="3" t="s">
        <v>177</v>
      </c>
      <c r="T113" s="3" t="s">
        <v>328</v>
      </c>
      <c r="U113" s="3">
        <v>0</v>
      </c>
      <c r="V113" s="3">
        <v>13</v>
      </c>
      <c r="W113" s="3">
        <v>69</v>
      </c>
    </row>
    <row r="114" spans="1:23" ht="11.25" customHeight="1" x14ac:dyDescent="0.25">
      <c r="A114" s="3" t="s">
        <v>21</v>
      </c>
      <c r="B114" s="3" t="s">
        <v>35</v>
      </c>
      <c r="C114" s="3" t="s">
        <v>36</v>
      </c>
      <c r="D114" s="3" t="s">
        <v>39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44501</v>
      </c>
      <c r="J114" s="4">
        <v>0</v>
      </c>
      <c r="K114" s="4">
        <v>0</v>
      </c>
      <c r="L114" s="4">
        <v>343.80900000000003</v>
      </c>
      <c r="M114" s="4">
        <v>343.80900000000003</v>
      </c>
      <c r="N114" s="4">
        <v>343.80900000000003</v>
      </c>
      <c r="O114" s="4">
        <v>343.80900000000003</v>
      </c>
      <c r="P114" s="4">
        <v>0</v>
      </c>
      <c r="Q114" s="3" t="s">
        <v>26</v>
      </c>
      <c r="R114" s="3">
        <v>0</v>
      </c>
      <c r="S114" s="3" t="s">
        <v>178</v>
      </c>
      <c r="T114" s="3" t="s">
        <v>329</v>
      </c>
      <c r="U114" s="3">
        <v>0</v>
      </c>
      <c r="V114" s="3">
        <v>13</v>
      </c>
      <c r="W114" s="3">
        <v>69</v>
      </c>
    </row>
    <row r="115" spans="1:23" ht="11.25" customHeight="1" x14ac:dyDescent="0.25">
      <c r="A115" s="3" t="s">
        <v>28</v>
      </c>
      <c r="B115" s="3" t="s">
        <v>35</v>
      </c>
      <c r="C115" s="3" t="s">
        <v>36</v>
      </c>
      <c r="D115" s="3" t="s">
        <v>39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44501</v>
      </c>
      <c r="J115" s="4">
        <v>0</v>
      </c>
      <c r="K115" s="4">
        <v>0</v>
      </c>
      <c r="L115" s="4">
        <v>16.893000000000001</v>
      </c>
      <c r="M115" s="4">
        <v>16.893000000000001</v>
      </c>
      <c r="N115" s="4">
        <v>16.893000000000001</v>
      </c>
      <c r="O115" s="4">
        <v>16.893000000000001</v>
      </c>
      <c r="P115" s="4">
        <v>0</v>
      </c>
      <c r="Q115" s="3" t="s">
        <v>26</v>
      </c>
      <c r="R115" s="3">
        <v>0</v>
      </c>
      <c r="S115" s="3" t="s">
        <v>178</v>
      </c>
      <c r="T115" s="3" t="s">
        <v>329</v>
      </c>
      <c r="U115" s="3">
        <v>0</v>
      </c>
      <c r="V115" s="3">
        <v>13</v>
      </c>
      <c r="W115" s="3">
        <v>69</v>
      </c>
    </row>
    <row r="116" spans="1:23" ht="11.25" customHeight="1" x14ac:dyDescent="0.25">
      <c r="A116" s="3" t="s">
        <v>21</v>
      </c>
      <c r="B116" s="3" t="s">
        <v>35</v>
      </c>
      <c r="C116" s="3" t="s">
        <v>36</v>
      </c>
      <c r="D116" s="3" t="s">
        <v>39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44531</v>
      </c>
      <c r="J116" s="4">
        <v>0</v>
      </c>
      <c r="K116" s="4">
        <v>0</v>
      </c>
      <c r="L116" s="4">
        <v>375.84699999999998</v>
      </c>
      <c r="M116" s="4">
        <v>375.84699999999998</v>
      </c>
      <c r="N116" s="4">
        <v>375.84699999999998</v>
      </c>
      <c r="O116" s="4">
        <v>375.84699999999998</v>
      </c>
      <c r="P116" s="4">
        <v>0</v>
      </c>
      <c r="Q116" s="3" t="s">
        <v>26</v>
      </c>
      <c r="R116" s="3">
        <v>0</v>
      </c>
      <c r="S116" s="3" t="s">
        <v>179</v>
      </c>
      <c r="T116" s="3" t="s">
        <v>330</v>
      </c>
      <c r="U116" s="3">
        <v>0</v>
      </c>
      <c r="V116" s="3">
        <v>13</v>
      </c>
      <c r="W116" s="3">
        <v>69</v>
      </c>
    </row>
    <row r="117" spans="1:23" ht="11.25" customHeight="1" x14ac:dyDescent="0.25">
      <c r="A117" s="3" t="s">
        <v>28</v>
      </c>
      <c r="B117" s="3" t="s">
        <v>35</v>
      </c>
      <c r="C117" s="3" t="s">
        <v>36</v>
      </c>
      <c r="D117" s="3" t="s">
        <v>39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44531</v>
      </c>
      <c r="J117" s="4">
        <v>0</v>
      </c>
      <c r="K117" s="4">
        <v>0</v>
      </c>
      <c r="L117" s="4">
        <v>18.68</v>
      </c>
      <c r="M117" s="4">
        <v>18.68</v>
      </c>
      <c r="N117" s="4">
        <v>18.68</v>
      </c>
      <c r="O117" s="4">
        <v>18.68</v>
      </c>
      <c r="P117" s="4">
        <v>0</v>
      </c>
      <c r="Q117" s="3" t="s">
        <v>26</v>
      </c>
      <c r="R117" s="3">
        <v>0</v>
      </c>
      <c r="S117" s="3" t="s">
        <v>179</v>
      </c>
      <c r="T117" s="3" t="s">
        <v>330</v>
      </c>
      <c r="U117" s="3">
        <v>0</v>
      </c>
      <c r="V117" s="3">
        <v>13</v>
      </c>
      <c r="W117" s="3">
        <v>69</v>
      </c>
    </row>
    <row r="118" spans="1:23" ht="11.25" customHeight="1" x14ac:dyDescent="0.25">
      <c r="A118" s="3" t="s">
        <v>21</v>
      </c>
      <c r="B118" s="3" t="s">
        <v>35</v>
      </c>
      <c r="C118" s="3" t="s">
        <v>36</v>
      </c>
      <c r="D118" s="3" t="s">
        <v>39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44562</v>
      </c>
      <c r="J118" s="4">
        <v>0</v>
      </c>
      <c r="K118" s="4">
        <v>0</v>
      </c>
      <c r="L118" s="4">
        <v>414.77</v>
      </c>
      <c r="M118" s="4">
        <v>414.77</v>
      </c>
      <c r="N118" s="4">
        <v>414.77</v>
      </c>
      <c r="O118" s="4">
        <v>414.77</v>
      </c>
      <c r="P118" s="4">
        <v>0</v>
      </c>
      <c r="Q118" s="3" t="s">
        <v>26</v>
      </c>
      <c r="R118" s="3">
        <v>0</v>
      </c>
      <c r="S118" s="3" t="s">
        <v>180</v>
      </c>
      <c r="T118" s="3" t="s">
        <v>331</v>
      </c>
      <c r="U118" s="3">
        <v>0</v>
      </c>
      <c r="V118" s="3">
        <v>13</v>
      </c>
      <c r="W118" s="3">
        <v>69</v>
      </c>
    </row>
    <row r="119" spans="1:23" ht="11.25" customHeight="1" x14ac:dyDescent="0.25">
      <c r="A119" s="3" t="s">
        <v>28</v>
      </c>
      <c r="B119" s="3" t="s">
        <v>35</v>
      </c>
      <c r="C119" s="3" t="s">
        <v>36</v>
      </c>
      <c r="D119" s="3" t="s">
        <v>39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44562</v>
      </c>
      <c r="J119" s="4">
        <v>0</v>
      </c>
      <c r="K119" s="4">
        <v>0</v>
      </c>
      <c r="L119" s="4">
        <v>28.218</v>
      </c>
      <c r="M119" s="4">
        <v>28.218</v>
      </c>
      <c r="N119" s="4">
        <v>28.218</v>
      </c>
      <c r="O119" s="4">
        <v>28.218</v>
      </c>
      <c r="P119" s="4">
        <v>0</v>
      </c>
      <c r="Q119" s="3" t="s">
        <v>26</v>
      </c>
      <c r="R119" s="3">
        <v>0</v>
      </c>
      <c r="S119" s="3" t="s">
        <v>180</v>
      </c>
      <c r="T119" s="3" t="s">
        <v>331</v>
      </c>
      <c r="U119" s="3">
        <v>0</v>
      </c>
      <c r="V119" s="3">
        <v>13</v>
      </c>
      <c r="W119" s="3">
        <v>69</v>
      </c>
    </row>
    <row r="120" spans="1:23" ht="11.25" customHeight="1" x14ac:dyDescent="0.25">
      <c r="A120" s="3" t="s">
        <v>21</v>
      </c>
      <c r="B120" s="3" t="s">
        <v>35</v>
      </c>
      <c r="C120" s="3" t="s">
        <v>36</v>
      </c>
      <c r="D120" s="3" t="s">
        <v>39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44593</v>
      </c>
      <c r="J120" s="4">
        <v>0</v>
      </c>
      <c r="K120" s="4">
        <v>0</v>
      </c>
      <c r="L120" s="4">
        <v>368.68900000000002</v>
      </c>
      <c r="M120" s="4">
        <v>368.68900000000002</v>
      </c>
      <c r="N120" s="4">
        <v>368.68900000000002</v>
      </c>
      <c r="O120" s="4">
        <v>368.68900000000002</v>
      </c>
      <c r="P120" s="4">
        <v>0</v>
      </c>
      <c r="Q120" s="3" t="s">
        <v>26</v>
      </c>
      <c r="R120" s="3">
        <v>0</v>
      </c>
      <c r="S120" s="3" t="s">
        <v>181</v>
      </c>
      <c r="T120" s="3" t="s">
        <v>332</v>
      </c>
      <c r="U120" s="3">
        <v>0</v>
      </c>
      <c r="V120" s="3">
        <v>13</v>
      </c>
      <c r="W120" s="3">
        <v>69</v>
      </c>
    </row>
    <row r="121" spans="1:23" ht="11.25" customHeight="1" x14ac:dyDescent="0.25">
      <c r="A121" s="3" t="s">
        <v>28</v>
      </c>
      <c r="B121" s="3" t="s">
        <v>35</v>
      </c>
      <c r="C121" s="3" t="s">
        <v>36</v>
      </c>
      <c r="D121" s="3" t="s">
        <v>39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44593</v>
      </c>
      <c r="J121" s="4">
        <v>0</v>
      </c>
      <c r="K121" s="4">
        <v>0</v>
      </c>
      <c r="L121" s="4">
        <v>24.192</v>
      </c>
      <c r="M121" s="4">
        <v>24.192</v>
      </c>
      <c r="N121" s="4">
        <v>24.192</v>
      </c>
      <c r="O121" s="4">
        <v>24.192</v>
      </c>
      <c r="P121" s="4">
        <v>0</v>
      </c>
      <c r="Q121" s="3" t="s">
        <v>26</v>
      </c>
      <c r="R121" s="3">
        <v>0</v>
      </c>
      <c r="S121" s="3" t="s">
        <v>181</v>
      </c>
      <c r="T121" s="3" t="s">
        <v>332</v>
      </c>
      <c r="U121" s="3">
        <v>0</v>
      </c>
      <c r="V121" s="3">
        <v>13</v>
      </c>
      <c r="W121" s="3">
        <v>69</v>
      </c>
    </row>
    <row r="122" spans="1:23" ht="11.25" customHeight="1" x14ac:dyDescent="0.25">
      <c r="A122" s="3" t="s">
        <v>21</v>
      </c>
      <c r="B122" s="3" t="s">
        <v>35</v>
      </c>
      <c r="C122" s="3" t="s">
        <v>36</v>
      </c>
      <c r="D122" s="3" t="s">
        <v>39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44621</v>
      </c>
      <c r="J122" s="4">
        <v>0</v>
      </c>
      <c r="K122" s="4">
        <v>0</v>
      </c>
      <c r="L122" s="4">
        <v>381.88099999999997</v>
      </c>
      <c r="M122" s="4">
        <v>381.88099999999997</v>
      </c>
      <c r="N122" s="4">
        <v>381.88099999999997</v>
      </c>
      <c r="O122" s="4">
        <v>381.88099999999997</v>
      </c>
      <c r="P122" s="4">
        <v>0</v>
      </c>
      <c r="Q122" s="3" t="s">
        <v>26</v>
      </c>
      <c r="R122" s="3">
        <v>0</v>
      </c>
      <c r="S122" s="3" t="s">
        <v>182</v>
      </c>
      <c r="T122" s="3" t="s">
        <v>333</v>
      </c>
      <c r="U122" s="3">
        <v>0</v>
      </c>
      <c r="V122" s="3">
        <v>13</v>
      </c>
      <c r="W122" s="3">
        <v>69</v>
      </c>
    </row>
    <row r="123" spans="1:23" ht="11.25" customHeight="1" x14ac:dyDescent="0.25">
      <c r="A123" s="3" t="s">
        <v>28</v>
      </c>
      <c r="B123" s="3" t="s">
        <v>35</v>
      </c>
      <c r="C123" s="3" t="s">
        <v>36</v>
      </c>
      <c r="D123" s="3" t="s">
        <v>39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44621</v>
      </c>
      <c r="J123" s="4">
        <v>0</v>
      </c>
      <c r="K123" s="4">
        <v>0</v>
      </c>
      <c r="L123" s="4">
        <v>21.207000000000001</v>
      </c>
      <c r="M123" s="4">
        <v>21.207000000000001</v>
      </c>
      <c r="N123" s="4">
        <v>21.207000000000001</v>
      </c>
      <c r="O123" s="4">
        <v>21.207000000000001</v>
      </c>
      <c r="P123" s="4">
        <v>0</v>
      </c>
      <c r="Q123" s="3" t="s">
        <v>26</v>
      </c>
      <c r="R123" s="3">
        <v>0</v>
      </c>
      <c r="S123" s="3" t="s">
        <v>182</v>
      </c>
      <c r="T123" s="3" t="s">
        <v>333</v>
      </c>
      <c r="U123" s="3">
        <v>0</v>
      </c>
      <c r="V123" s="3">
        <v>13</v>
      </c>
      <c r="W123" s="3">
        <v>69</v>
      </c>
    </row>
    <row r="124" spans="1:23" ht="11.25" customHeight="1" x14ac:dyDescent="0.25">
      <c r="A124" s="3" t="s">
        <v>21</v>
      </c>
      <c r="B124" s="3" t="s">
        <v>35</v>
      </c>
      <c r="C124" s="3" t="s">
        <v>36</v>
      </c>
      <c r="D124" s="3" t="s">
        <v>39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44652</v>
      </c>
      <c r="J124" s="4">
        <v>0</v>
      </c>
      <c r="K124" s="4">
        <v>0</v>
      </c>
      <c r="L124" s="4">
        <v>325.738</v>
      </c>
      <c r="M124" s="4">
        <v>325.738</v>
      </c>
      <c r="N124" s="4">
        <v>325.738</v>
      </c>
      <c r="O124" s="4">
        <v>325.738</v>
      </c>
      <c r="P124" s="4">
        <v>0</v>
      </c>
      <c r="Q124" s="3" t="s">
        <v>26</v>
      </c>
      <c r="R124" s="3">
        <v>0</v>
      </c>
      <c r="S124" s="3" t="s">
        <v>183</v>
      </c>
      <c r="T124" s="3" t="s">
        <v>334</v>
      </c>
      <c r="U124" s="3">
        <v>0</v>
      </c>
      <c r="V124" s="3">
        <v>13</v>
      </c>
      <c r="W124" s="3">
        <v>69</v>
      </c>
    </row>
    <row r="125" spans="1:23" ht="11.25" customHeight="1" x14ac:dyDescent="0.25">
      <c r="A125" s="3" t="s">
        <v>28</v>
      </c>
      <c r="B125" s="3" t="s">
        <v>35</v>
      </c>
      <c r="C125" s="3" t="s">
        <v>36</v>
      </c>
      <c r="D125" s="3" t="s">
        <v>39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12.904</v>
      </c>
      <c r="M125" s="4">
        <v>12.904</v>
      </c>
      <c r="N125" s="4">
        <v>12.904</v>
      </c>
      <c r="O125" s="4">
        <v>12.904</v>
      </c>
      <c r="P125" s="4">
        <v>0</v>
      </c>
      <c r="Q125" s="3" t="s">
        <v>26</v>
      </c>
      <c r="R125" s="3">
        <v>0</v>
      </c>
      <c r="S125" s="3" t="s">
        <v>183</v>
      </c>
      <c r="T125" s="3" t="s">
        <v>334</v>
      </c>
      <c r="U125" s="3">
        <v>0</v>
      </c>
      <c r="V125" s="3">
        <v>13</v>
      </c>
      <c r="W125" s="3">
        <v>69</v>
      </c>
    </row>
    <row r="126" spans="1:23" ht="11.25" customHeight="1" x14ac:dyDescent="0.25">
      <c r="A126" s="3" t="s">
        <v>21</v>
      </c>
      <c r="B126" s="3" t="s">
        <v>35</v>
      </c>
      <c r="C126" s="3" t="s">
        <v>36</v>
      </c>
      <c r="D126" s="3" t="s">
        <v>39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304.75299999999999</v>
      </c>
      <c r="M126" s="4">
        <v>304.75299999999999</v>
      </c>
      <c r="N126" s="4">
        <v>304.75299999999999</v>
      </c>
      <c r="O126" s="4">
        <v>304.75299999999999</v>
      </c>
      <c r="P126" s="4">
        <v>0</v>
      </c>
      <c r="Q126" s="3" t="s">
        <v>26</v>
      </c>
      <c r="R126" s="3">
        <v>0</v>
      </c>
      <c r="S126" s="3" t="s">
        <v>184</v>
      </c>
      <c r="T126" s="3" t="s">
        <v>335</v>
      </c>
      <c r="U126" s="3">
        <v>0</v>
      </c>
      <c r="V126" s="3">
        <v>13</v>
      </c>
      <c r="W126" s="3">
        <v>69</v>
      </c>
    </row>
    <row r="127" spans="1:23" ht="11.25" customHeight="1" x14ac:dyDescent="0.25">
      <c r="A127" s="3" t="s">
        <v>28</v>
      </c>
      <c r="B127" s="3" t="s">
        <v>35</v>
      </c>
      <c r="C127" s="3" t="s">
        <v>36</v>
      </c>
      <c r="D127" s="3" t="s">
        <v>39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44682</v>
      </c>
      <c r="J127" s="4">
        <v>0</v>
      </c>
      <c r="K127" s="4">
        <v>0</v>
      </c>
      <c r="L127" s="4">
        <v>8.58</v>
      </c>
      <c r="M127" s="4">
        <v>8.58</v>
      </c>
      <c r="N127" s="4">
        <v>8.58</v>
      </c>
      <c r="O127" s="4">
        <v>8.58</v>
      </c>
      <c r="P127" s="4">
        <v>0</v>
      </c>
      <c r="Q127" s="3" t="s">
        <v>26</v>
      </c>
      <c r="R127" s="3">
        <v>0</v>
      </c>
      <c r="S127" s="3" t="s">
        <v>184</v>
      </c>
      <c r="T127" s="3" t="s">
        <v>335</v>
      </c>
      <c r="U127" s="3">
        <v>0</v>
      </c>
      <c r="V127" s="3">
        <v>13</v>
      </c>
      <c r="W127" s="3">
        <v>69</v>
      </c>
    </row>
    <row r="128" spans="1:23" ht="11.25" customHeight="1" x14ac:dyDescent="0.25">
      <c r="A128" s="3" t="s">
        <v>21</v>
      </c>
      <c r="B128" s="3" t="s">
        <v>35</v>
      </c>
      <c r="C128" s="3" t="s">
        <v>36</v>
      </c>
      <c r="D128" s="3" t="s">
        <v>39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44713</v>
      </c>
      <c r="J128" s="4">
        <v>0</v>
      </c>
      <c r="K128" s="4">
        <v>0</v>
      </c>
      <c r="L128" s="4">
        <v>282.12700000000001</v>
      </c>
      <c r="M128" s="4">
        <v>282.12700000000001</v>
      </c>
      <c r="N128" s="4">
        <v>282.12700000000001</v>
      </c>
      <c r="O128" s="4">
        <v>282.12700000000001</v>
      </c>
      <c r="P128" s="4">
        <v>0</v>
      </c>
      <c r="Q128" s="3" t="s">
        <v>26</v>
      </c>
      <c r="R128" s="3">
        <v>0</v>
      </c>
      <c r="S128" s="3" t="s">
        <v>185</v>
      </c>
      <c r="T128" s="3" t="s">
        <v>336</v>
      </c>
      <c r="U128" s="3">
        <v>0</v>
      </c>
      <c r="V128" s="3">
        <v>13</v>
      </c>
      <c r="W128" s="3">
        <v>69</v>
      </c>
    </row>
    <row r="129" spans="1:23" ht="11.25" customHeight="1" x14ac:dyDescent="0.25">
      <c r="A129" s="3" t="s">
        <v>28</v>
      </c>
      <c r="B129" s="3" t="s">
        <v>35</v>
      </c>
      <c r="C129" s="3" t="s">
        <v>36</v>
      </c>
      <c r="D129" s="3" t="s">
        <v>39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44713</v>
      </c>
      <c r="J129" s="4">
        <v>0</v>
      </c>
      <c r="K129" s="4">
        <v>0</v>
      </c>
      <c r="L129" s="4">
        <v>13.981999999999999</v>
      </c>
      <c r="M129" s="4">
        <v>13.981999999999999</v>
      </c>
      <c r="N129" s="4">
        <v>13.981999999999999</v>
      </c>
      <c r="O129" s="4">
        <v>13.981999999999999</v>
      </c>
      <c r="P129" s="4">
        <v>0</v>
      </c>
      <c r="Q129" s="3" t="s">
        <v>26</v>
      </c>
      <c r="R129" s="3">
        <v>0</v>
      </c>
      <c r="S129" s="3" t="s">
        <v>185</v>
      </c>
      <c r="T129" s="3" t="s">
        <v>336</v>
      </c>
      <c r="U129" s="3">
        <v>0</v>
      </c>
      <c r="V129" s="3">
        <v>13</v>
      </c>
      <c r="W129" s="3">
        <v>69</v>
      </c>
    </row>
    <row r="130" spans="1:23" ht="11.25" customHeight="1" x14ac:dyDescent="0.25">
      <c r="A130" s="3" t="s">
        <v>21</v>
      </c>
      <c r="B130" s="3" t="s">
        <v>35</v>
      </c>
      <c r="C130" s="3" t="s">
        <v>36</v>
      </c>
      <c r="D130" s="3" t="s">
        <v>39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44743</v>
      </c>
      <c r="J130" s="4">
        <v>0</v>
      </c>
      <c r="K130" s="4">
        <v>0</v>
      </c>
      <c r="L130" s="4">
        <v>282.83699999999999</v>
      </c>
      <c r="M130" s="4">
        <v>282.83699999999999</v>
      </c>
      <c r="N130" s="4">
        <v>282.83699999999999</v>
      </c>
      <c r="O130" s="4">
        <v>282.83699999999999</v>
      </c>
      <c r="P130" s="4">
        <v>0</v>
      </c>
      <c r="Q130" s="3" t="s">
        <v>26</v>
      </c>
      <c r="R130" s="3">
        <v>0</v>
      </c>
      <c r="S130" s="3" t="s">
        <v>186</v>
      </c>
      <c r="T130" s="3" t="s">
        <v>337</v>
      </c>
      <c r="U130" s="3">
        <v>0</v>
      </c>
      <c r="V130" s="3">
        <v>13</v>
      </c>
      <c r="W130" s="3">
        <v>69</v>
      </c>
    </row>
    <row r="131" spans="1:23" ht="11.25" customHeight="1" x14ac:dyDescent="0.25">
      <c r="A131" s="3" t="s">
        <v>21</v>
      </c>
      <c r="B131" s="3" t="s">
        <v>35</v>
      </c>
      <c r="C131" s="3" t="s">
        <v>36</v>
      </c>
      <c r="D131" s="3" t="s">
        <v>39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44774</v>
      </c>
      <c r="J131" s="4">
        <v>0</v>
      </c>
      <c r="K131" s="4">
        <v>0</v>
      </c>
      <c r="L131" s="4">
        <v>289.649</v>
      </c>
      <c r="M131" s="4">
        <v>289.649</v>
      </c>
      <c r="N131" s="4">
        <v>289.649</v>
      </c>
      <c r="O131" s="4">
        <v>289.649</v>
      </c>
      <c r="P131" s="4">
        <v>0</v>
      </c>
      <c r="Q131" s="3" t="s">
        <v>26</v>
      </c>
      <c r="R131" s="3">
        <v>0</v>
      </c>
      <c r="S131" s="3" t="s">
        <v>187</v>
      </c>
      <c r="T131" s="3" t="s">
        <v>338</v>
      </c>
      <c r="U131" s="3">
        <v>0</v>
      </c>
      <c r="V131" s="3">
        <v>13</v>
      </c>
      <c r="W131" s="3">
        <v>69</v>
      </c>
    </row>
    <row r="132" spans="1:23" ht="11.25" customHeight="1" x14ac:dyDescent="0.25">
      <c r="A132" s="3" t="s">
        <v>28</v>
      </c>
      <c r="B132" s="3" t="s">
        <v>35</v>
      </c>
      <c r="C132" s="3" t="s">
        <v>36</v>
      </c>
      <c r="D132" s="3" t="s">
        <v>39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44774</v>
      </c>
      <c r="J132" s="4">
        <v>0</v>
      </c>
      <c r="K132" s="4">
        <v>0</v>
      </c>
      <c r="L132" s="4">
        <v>7.3029999999999999</v>
      </c>
      <c r="M132" s="4">
        <v>7.3029999999999999</v>
      </c>
      <c r="N132" s="4">
        <v>7.3029999999999999</v>
      </c>
      <c r="O132" s="4">
        <v>7.3029999999999999</v>
      </c>
      <c r="P132" s="4">
        <v>0</v>
      </c>
      <c r="Q132" s="3" t="s">
        <v>26</v>
      </c>
      <c r="R132" s="3">
        <v>0</v>
      </c>
      <c r="S132" s="3" t="s">
        <v>187</v>
      </c>
      <c r="T132" s="3" t="s">
        <v>338</v>
      </c>
      <c r="U132" s="3">
        <v>0</v>
      </c>
      <c r="V132" s="3">
        <v>13</v>
      </c>
      <c r="W132" s="3">
        <v>69</v>
      </c>
    </row>
    <row r="133" spans="1:23" ht="11.25" customHeight="1" x14ac:dyDescent="0.25">
      <c r="A133" s="3" t="s">
        <v>21</v>
      </c>
      <c r="B133" s="3" t="s">
        <v>35</v>
      </c>
      <c r="C133" s="3" t="s">
        <v>36</v>
      </c>
      <c r="D133" s="3" t="s">
        <v>39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44440</v>
      </c>
      <c r="J133" s="4">
        <v>1307</v>
      </c>
      <c r="K133" s="4">
        <v>1307</v>
      </c>
      <c r="L133" s="4">
        <v>0</v>
      </c>
      <c r="M133" s="4">
        <v>0</v>
      </c>
      <c r="N133" s="4">
        <v>0</v>
      </c>
      <c r="O133" s="4">
        <v>0</v>
      </c>
      <c r="P133" s="4">
        <v>12</v>
      </c>
      <c r="Q133" s="3" t="s">
        <v>26</v>
      </c>
      <c r="R133" s="3">
        <v>0</v>
      </c>
      <c r="S133" s="3" t="s">
        <v>188</v>
      </c>
      <c r="U133" s="3">
        <v>9</v>
      </c>
      <c r="V133" s="3">
        <v>0</v>
      </c>
      <c r="W133" s="3">
        <v>0</v>
      </c>
    </row>
    <row r="134" spans="1:23" ht="11.25" customHeight="1" x14ac:dyDescent="0.25">
      <c r="A134" s="3" t="s">
        <v>28</v>
      </c>
      <c r="B134" s="3" t="s">
        <v>35</v>
      </c>
      <c r="C134" s="3" t="s">
        <v>36</v>
      </c>
      <c r="D134" s="3" t="s">
        <v>39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120</v>
      </c>
      <c r="K134" s="4">
        <v>120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3" t="s">
        <v>26</v>
      </c>
      <c r="R134" s="3">
        <v>0</v>
      </c>
      <c r="S134" s="3" t="s">
        <v>188</v>
      </c>
      <c r="U134" s="3">
        <v>9</v>
      </c>
      <c r="V134" s="3">
        <v>0</v>
      </c>
      <c r="W134" s="3">
        <v>0</v>
      </c>
    </row>
    <row r="135" spans="1:23" ht="11.25" customHeight="1" x14ac:dyDescent="0.25">
      <c r="A135" s="3" t="s">
        <v>21</v>
      </c>
      <c r="B135" s="3" t="s">
        <v>35</v>
      </c>
      <c r="C135" s="3" t="s">
        <v>36</v>
      </c>
      <c r="D135" s="3" t="s">
        <v>39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44470</v>
      </c>
      <c r="J135" s="4">
        <v>1332</v>
      </c>
      <c r="K135" s="4">
        <v>1332</v>
      </c>
      <c r="L135" s="4">
        <v>0</v>
      </c>
      <c r="M135" s="4">
        <v>0</v>
      </c>
      <c r="N135" s="4">
        <v>0</v>
      </c>
      <c r="O135" s="4">
        <v>0</v>
      </c>
      <c r="P135" s="4">
        <v>12</v>
      </c>
      <c r="Q135" s="3" t="s">
        <v>26</v>
      </c>
      <c r="R135" s="3">
        <v>0</v>
      </c>
      <c r="S135" s="3" t="s">
        <v>189</v>
      </c>
      <c r="U135" s="3">
        <v>9</v>
      </c>
      <c r="V135" s="3">
        <v>0</v>
      </c>
      <c r="W135" s="3">
        <v>0</v>
      </c>
    </row>
    <row r="136" spans="1:23" ht="11.25" customHeight="1" x14ac:dyDescent="0.25">
      <c r="A136" s="3" t="s">
        <v>28</v>
      </c>
      <c r="B136" s="3" t="s">
        <v>35</v>
      </c>
      <c r="C136" s="3" t="s">
        <v>36</v>
      </c>
      <c r="D136" s="3" t="s">
        <v>39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44470</v>
      </c>
      <c r="J136" s="4">
        <v>120</v>
      </c>
      <c r="K136" s="4">
        <v>120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3" t="s">
        <v>26</v>
      </c>
      <c r="R136" s="3">
        <v>0</v>
      </c>
      <c r="S136" s="3" t="s">
        <v>189</v>
      </c>
      <c r="U136" s="3">
        <v>9</v>
      </c>
      <c r="V136" s="3">
        <v>0</v>
      </c>
      <c r="W136" s="3">
        <v>0</v>
      </c>
    </row>
    <row r="137" spans="1:23" ht="11.25" customHeight="1" x14ac:dyDescent="0.25">
      <c r="A137" s="3" t="s">
        <v>21</v>
      </c>
      <c r="B137" s="3" t="s">
        <v>35</v>
      </c>
      <c r="C137" s="3" t="s">
        <v>36</v>
      </c>
      <c r="D137" s="3" t="s">
        <v>39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44501</v>
      </c>
      <c r="J137" s="4">
        <v>1388</v>
      </c>
      <c r="K137" s="4">
        <v>1388</v>
      </c>
      <c r="L137" s="4">
        <v>0</v>
      </c>
      <c r="M137" s="4">
        <v>0</v>
      </c>
      <c r="N137" s="4">
        <v>0</v>
      </c>
      <c r="O137" s="4">
        <v>0</v>
      </c>
      <c r="P137" s="4">
        <v>12</v>
      </c>
      <c r="Q137" s="3" t="s">
        <v>26</v>
      </c>
      <c r="R137" s="3">
        <v>0</v>
      </c>
      <c r="S137" s="3" t="s">
        <v>190</v>
      </c>
      <c r="U137" s="3">
        <v>9</v>
      </c>
      <c r="V137" s="3">
        <v>0</v>
      </c>
      <c r="W137" s="3">
        <v>0</v>
      </c>
    </row>
    <row r="138" spans="1:23" ht="11.25" customHeight="1" x14ac:dyDescent="0.25">
      <c r="A138" s="3" t="s">
        <v>28</v>
      </c>
      <c r="B138" s="3" t="s">
        <v>35</v>
      </c>
      <c r="C138" s="3" t="s">
        <v>36</v>
      </c>
      <c r="D138" s="3" t="s">
        <v>39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120</v>
      </c>
      <c r="K138" s="4">
        <v>120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3" t="s">
        <v>26</v>
      </c>
      <c r="R138" s="3">
        <v>0</v>
      </c>
      <c r="S138" s="3" t="s">
        <v>190</v>
      </c>
      <c r="U138" s="3">
        <v>9</v>
      </c>
      <c r="V138" s="3">
        <v>0</v>
      </c>
      <c r="W138" s="3">
        <v>0</v>
      </c>
    </row>
    <row r="139" spans="1:23" ht="11.25" customHeight="1" x14ac:dyDescent="0.25">
      <c r="A139" s="3" t="s">
        <v>21</v>
      </c>
      <c r="B139" s="3" t="s">
        <v>35</v>
      </c>
      <c r="C139" s="3" t="s">
        <v>36</v>
      </c>
      <c r="D139" s="3" t="s">
        <v>39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1386</v>
      </c>
      <c r="K139" s="4">
        <v>1386</v>
      </c>
      <c r="L139" s="4">
        <v>0</v>
      </c>
      <c r="M139" s="4">
        <v>0</v>
      </c>
      <c r="N139" s="4">
        <v>0</v>
      </c>
      <c r="O139" s="4">
        <v>0</v>
      </c>
      <c r="P139" s="4">
        <v>12</v>
      </c>
      <c r="Q139" s="3" t="s">
        <v>26</v>
      </c>
      <c r="R139" s="3">
        <v>0</v>
      </c>
      <c r="S139" s="3" t="s">
        <v>191</v>
      </c>
      <c r="U139" s="3">
        <v>9</v>
      </c>
      <c r="V139" s="3">
        <v>0</v>
      </c>
      <c r="W139" s="3">
        <v>0</v>
      </c>
    </row>
    <row r="140" spans="1:23" ht="11.25" customHeight="1" x14ac:dyDescent="0.25">
      <c r="A140" s="3" t="s">
        <v>28</v>
      </c>
      <c r="B140" s="3" t="s">
        <v>35</v>
      </c>
      <c r="C140" s="3" t="s">
        <v>36</v>
      </c>
      <c r="D140" s="3" t="s">
        <v>39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120</v>
      </c>
      <c r="K140" s="4">
        <v>120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3" t="s">
        <v>26</v>
      </c>
      <c r="R140" s="3">
        <v>0</v>
      </c>
      <c r="S140" s="3" t="s">
        <v>191</v>
      </c>
      <c r="U140" s="3">
        <v>9</v>
      </c>
      <c r="V140" s="3">
        <v>0</v>
      </c>
      <c r="W140" s="3">
        <v>0</v>
      </c>
    </row>
    <row r="141" spans="1:23" ht="11.25" customHeight="1" x14ac:dyDescent="0.25">
      <c r="A141" s="3" t="s">
        <v>21</v>
      </c>
      <c r="B141" s="3" t="s">
        <v>35</v>
      </c>
      <c r="C141" s="3" t="s">
        <v>36</v>
      </c>
      <c r="D141" s="3" t="s">
        <v>39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1425</v>
      </c>
      <c r="K141" s="4">
        <v>1425</v>
      </c>
      <c r="L141" s="4">
        <v>0</v>
      </c>
      <c r="M141" s="4">
        <v>0</v>
      </c>
      <c r="N141" s="4">
        <v>0</v>
      </c>
      <c r="O141" s="4">
        <v>0</v>
      </c>
      <c r="P141" s="4">
        <v>12</v>
      </c>
      <c r="Q141" s="3" t="s">
        <v>26</v>
      </c>
      <c r="R141" s="3">
        <v>0</v>
      </c>
      <c r="S141" s="3" t="s">
        <v>192</v>
      </c>
      <c r="U141" s="3">
        <v>9</v>
      </c>
      <c r="V141" s="3">
        <v>0</v>
      </c>
      <c r="W141" s="3">
        <v>0</v>
      </c>
    </row>
    <row r="142" spans="1:23" ht="11.25" customHeight="1" x14ac:dyDescent="0.25">
      <c r="A142" s="3" t="s">
        <v>28</v>
      </c>
      <c r="B142" s="3" t="s">
        <v>35</v>
      </c>
      <c r="C142" s="3" t="s">
        <v>36</v>
      </c>
      <c r="D142" s="3" t="s">
        <v>39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135</v>
      </c>
      <c r="K142" s="4">
        <v>135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3" t="s">
        <v>192</v>
      </c>
      <c r="U142" s="3">
        <v>9</v>
      </c>
      <c r="V142" s="3">
        <v>0</v>
      </c>
      <c r="W142" s="3">
        <v>0</v>
      </c>
    </row>
    <row r="143" spans="1:23" ht="11.25" customHeight="1" x14ac:dyDescent="0.25">
      <c r="A143" s="3" t="s">
        <v>21</v>
      </c>
      <c r="B143" s="3" t="s">
        <v>35</v>
      </c>
      <c r="C143" s="3" t="s">
        <v>36</v>
      </c>
      <c r="D143" s="3" t="s">
        <v>39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1425</v>
      </c>
      <c r="K143" s="4">
        <v>1425</v>
      </c>
      <c r="L143" s="4">
        <v>0</v>
      </c>
      <c r="M143" s="4">
        <v>0</v>
      </c>
      <c r="N143" s="4">
        <v>0</v>
      </c>
      <c r="O143" s="4">
        <v>0</v>
      </c>
      <c r="P143" s="4">
        <v>12</v>
      </c>
      <c r="Q143" s="3" t="s">
        <v>26</v>
      </c>
      <c r="R143" s="3">
        <v>0</v>
      </c>
      <c r="S143" s="3" t="s">
        <v>193</v>
      </c>
      <c r="U143" s="3">
        <v>9</v>
      </c>
      <c r="V143" s="3">
        <v>0</v>
      </c>
      <c r="W143" s="3">
        <v>0</v>
      </c>
    </row>
    <row r="144" spans="1:23" ht="11.25" customHeight="1" x14ac:dyDescent="0.25">
      <c r="A144" s="3" t="s">
        <v>28</v>
      </c>
      <c r="B144" s="3" t="s">
        <v>35</v>
      </c>
      <c r="C144" s="3" t="s">
        <v>36</v>
      </c>
      <c r="D144" s="3" t="s">
        <v>39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120</v>
      </c>
      <c r="K144" s="4">
        <v>120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3" t="s">
        <v>193</v>
      </c>
      <c r="U144" s="3">
        <v>9</v>
      </c>
      <c r="V144" s="3">
        <v>0</v>
      </c>
      <c r="W144" s="3">
        <v>0</v>
      </c>
    </row>
    <row r="145" spans="1:23" ht="11.25" customHeight="1" x14ac:dyDescent="0.25">
      <c r="A145" s="3" t="s">
        <v>21</v>
      </c>
      <c r="B145" s="3" t="s">
        <v>35</v>
      </c>
      <c r="C145" s="3" t="s">
        <v>36</v>
      </c>
      <c r="D145" s="3" t="s">
        <v>39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44621</v>
      </c>
      <c r="J145" s="4">
        <v>1536</v>
      </c>
      <c r="K145" s="4">
        <v>1536</v>
      </c>
      <c r="L145" s="4">
        <v>0</v>
      </c>
      <c r="M145" s="4">
        <v>0</v>
      </c>
      <c r="N145" s="4">
        <v>0</v>
      </c>
      <c r="O145" s="4">
        <v>0</v>
      </c>
      <c r="P145" s="4">
        <v>13</v>
      </c>
      <c r="Q145" s="3" t="s">
        <v>26</v>
      </c>
      <c r="R145" s="3">
        <v>0</v>
      </c>
      <c r="S145" s="3" t="s">
        <v>194</v>
      </c>
      <c r="U145" s="3">
        <v>9</v>
      </c>
      <c r="V145" s="3">
        <v>0</v>
      </c>
      <c r="W145" s="3">
        <v>0</v>
      </c>
    </row>
    <row r="146" spans="1:23" ht="11.25" customHeight="1" x14ac:dyDescent="0.25">
      <c r="A146" s="3" t="s">
        <v>28</v>
      </c>
      <c r="B146" s="3" t="s">
        <v>35</v>
      </c>
      <c r="C146" s="3" t="s">
        <v>36</v>
      </c>
      <c r="D146" s="3" t="s">
        <v>39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133</v>
      </c>
      <c r="K146" s="4">
        <v>133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3" t="s">
        <v>194</v>
      </c>
      <c r="U146" s="3">
        <v>9</v>
      </c>
      <c r="V146" s="3">
        <v>0</v>
      </c>
      <c r="W146" s="3">
        <v>0</v>
      </c>
    </row>
    <row r="147" spans="1:23" ht="11.25" customHeight="1" x14ac:dyDescent="0.25">
      <c r="A147" s="3" t="s">
        <v>21</v>
      </c>
      <c r="B147" s="3" t="s">
        <v>35</v>
      </c>
      <c r="C147" s="3" t="s">
        <v>36</v>
      </c>
      <c r="D147" s="3" t="s">
        <v>39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44652</v>
      </c>
      <c r="J147" s="4">
        <v>1399</v>
      </c>
      <c r="K147" s="4">
        <v>1399</v>
      </c>
      <c r="L147" s="4">
        <v>0</v>
      </c>
      <c r="M147" s="4">
        <v>0</v>
      </c>
      <c r="N147" s="4">
        <v>0</v>
      </c>
      <c r="O147" s="4">
        <v>0</v>
      </c>
      <c r="P147" s="4">
        <v>13</v>
      </c>
      <c r="Q147" s="3" t="s">
        <v>26</v>
      </c>
      <c r="R147" s="3">
        <v>0</v>
      </c>
      <c r="S147" s="3" t="s">
        <v>195</v>
      </c>
      <c r="U147" s="3">
        <v>9</v>
      </c>
      <c r="V147" s="3">
        <v>0</v>
      </c>
      <c r="W147" s="3">
        <v>0</v>
      </c>
    </row>
    <row r="148" spans="1:23" ht="11.25" customHeight="1" x14ac:dyDescent="0.25">
      <c r="A148" s="3" t="s">
        <v>28</v>
      </c>
      <c r="B148" s="3" t="s">
        <v>35</v>
      </c>
      <c r="C148" s="3" t="s">
        <v>36</v>
      </c>
      <c r="D148" s="3" t="s">
        <v>39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120</v>
      </c>
      <c r="K148" s="4">
        <v>120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3" t="s">
        <v>195</v>
      </c>
      <c r="U148" s="3">
        <v>9</v>
      </c>
      <c r="V148" s="3">
        <v>0</v>
      </c>
      <c r="W148" s="3">
        <v>0</v>
      </c>
    </row>
    <row r="149" spans="1:23" ht="11.25" customHeight="1" x14ac:dyDescent="0.25">
      <c r="A149" s="3" t="s">
        <v>21</v>
      </c>
      <c r="B149" s="3" t="s">
        <v>35</v>
      </c>
      <c r="C149" s="3" t="s">
        <v>36</v>
      </c>
      <c r="D149" s="3" t="s">
        <v>39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1380</v>
      </c>
      <c r="K149" s="4">
        <v>1380</v>
      </c>
      <c r="L149" s="4">
        <v>0</v>
      </c>
      <c r="M149" s="4">
        <v>0</v>
      </c>
      <c r="N149" s="4">
        <v>0</v>
      </c>
      <c r="O149" s="4">
        <v>0</v>
      </c>
      <c r="P149" s="4">
        <v>13</v>
      </c>
      <c r="Q149" s="3" t="s">
        <v>26</v>
      </c>
      <c r="R149" s="3">
        <v>0</v>
      </c>
      <c r="S149" s="3" t="s">
        <v>196</v>
      </c>
      <c r="U149" s="3">
        <v>9</v>
      </c>
      <c r="V149" s="3">
        <v>0</v>
      </c>
      <c r="W149" s="3">
        <v>0</v>
      </c>
    </row>
    <row r="150" spans="1:23" ht="11.25" customHeight="1" x14ac:dyDescent="0.25">
      <c r="A150" s="3" t="s">
        <v>28</v>
      </c>
      <c r="B150" s="3" t="s">
        <v>35</v>
      </c>
      <c r="C150" s="3" t="s">
        <v>36</v>
      </c>
      <c r="D150" s="3" t="s">
        <v>39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120</v>
      </c>
      <c r="K150" s="4">
        <v>120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3" t="s">
        <v>196</v>
      </c>
      <c r="U150" s="3">
        <v>9</v>
      </c>
      <c r="V150" s="3">
        <v>0</v>
      </c>
      <c r="W150" s="3">
        <v>0</v>
      </c>
    </row>
    <row r="151" spans="1:23" ht="11.25" customHeight="1" x14ac:dyDescent="0.25">
      <c r="A151" s="3" t="s">
        <v>21</v>
      </c>
      <c r="B151" s="3" t="s">
        <v>35</v>
      </c>
      <c r="C151" s="3" t="s">
        <v>36</v>
      </c>
      <c r="D151" s="3" t="s">
        <v>39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44713</v>
      </c>
      <c r="J151" s="4">
        <v>1460</v>
      </c>
      <c r="K151" s="4">
        <v>1460</v>
      </c>
      <c r="L151" s="4">
        <v>0</v>
      </c>
      <c r="M151" s="4">
        <v>0</v>
      </c>
      <c r="N151" s="4">
        <v>0</v>
      </c>
      <c r="O151" s="4">
        <v>0</v>
      </c>
      <c r="P151" s="4">
        <v>13</v>
      </c>
      <c r="Q151" s="3" t="s">
        <v>26</v>
      </c>
      <c r="R151" s="3">
        <v>0</v>
      </c>
      <c r="S151" s="3" t="s">
        <v>197</v>
      </c>
      <c r="U151" s="3">
        <v>9</v>
      </c>
      <c r="V151" s="3">
        <v>0</v>
      </c>
      <c r="W151" s="3">
        <v>0</v>
      </c>
    </row>
    <row r="152" spans="1:23" ht="11.25" customHeight="1" x14ac:dyDescent="0.25">
      <c r="A152" s="3" t="s">
        <v>28</v>
      </c>
      <c r="B152" s="3" t="s">
        <v>35</v>
      </c>
      <c r="C152" s="3" t="s">
        <v>36</v>
      </c>
      <c r="D152" s="3" t="s">
        <v>39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44713</v>
      </c>
      <c r="J152" s="4">
        <v>175</v>
      </c>
      <c r="K152" s="4">
        <v>175</v>
      </c>
      <c r="L152" s="4">
        <v>0</v>
      </c>
      <c r="M152" s="4">
        <v>0</v>
      </c>
      <c r="N152" s="4">
        <v>0</v>
      </c>
      <c r="O152" s="4">
        <v>0</v>
      </c>
      <c r="P152" s="4">
        <v>2</v>
      </c>
      <c r="Q152" s="3" t="s">
        <v>26</v>
      </c>
      <c r="R152" s="3">
        <v>0</v>
      </c>
      <c r="S152" s="3" t="s">
        <v>197</v>
      </c>
      <c r="U152" s="3">
        <v>9</v>
      </c>
      <c r="V152" s="3">
        <v>0</v>
      </c>
      <c r="W152" s="3">
        <v>0</v>
      </c>
    </row>
    <row r="153" spans="1:23" ht="11.25" customHeight="1" x14ac:dyDescent="0.25">
      <c r="A153" s="3" t="s">
        <v>21</v>
      </c>
      <c r="B153" s="3" t="s">
        <v>35</v>
      </c>
      <c r="C153" s="3" t="s">
        <v>36</v>
      </c>
      <c r="D153" s="3" t="s">
        <v>39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44743</v>
      </c>
      <c r="J153" s="4">
        <v>1445</v>
      </c>
      <c r="K153" s="4">
        <v>1445</v>
      </c>
      <c r="L153" s="4">
        <v>0</v>
      </c>
      <c r="M153" s="4">
        <v>0</v>
      </c>
      <c r="N153" s="4">
        <v>0</v>
      </c>
      <c r="O153" s="4">
        <v>0</v>
      </c>
      <c r="P153" s="4">
        <v>13</v>
      </c>
      <c r="Q153" s="3" t="s">
        <v>26</v>
      </c>
      <c r="R153" s="3">
        <v>0</v>
      </c>
      <c r="S153" s="3" t="s">
        <v>198</v>
      </c>
      <c r="U153" s="3">
        <v>9</v>
      </c>
      <c r="V153" s="3">
        <v>0</v>
      </c>
      <c r="W153" s="3">
        <v>0</v>
      </c>
    </row>
    <row r="154" spans="1:23" ht="11.25" customHeight="1" x14ac:dyDescent="0.25">
      <c r="A154" s="3" t="s">
        <v>21</v>
      </c>
      <c r="B154" s="3" t="s">
        <v>35</v>
      </c>
      <c r="C154" s="3" t="s">
        <v>36</v>
      </c>
      <c r="D154" s="3" t="s">
        <v>39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44774</v>
      </c>
      <c r="J154" s="4">
        <v>1421</v>
      </c>
      <c r="K154" s="4">
        <v>1421</v>
      </c>
      <c r="L154" s="4">
        <v>0</v>
      </c>
      <c r="M154" s="4">
        <v>0</v>
      </c>
      <c r="N154" s="4">
        <v>0</v>
      </c>
      <c r="O154" s="4">
        <v>0</v>
      </c>
      <c r="P154" s="4">
        <v>13</v>
      </c>
      <c r="Q154" s="3" t="s">
        <v>26</v>
      </c>
      <c r="R154" s="3">
        <v>0</v>
      </c>
      <c r="S154" s="3" t="s">
        <v>199</v>
      </c>
      <c r="U154" s="3">
        <v>9</v>
      </c>
      <c r="V154" s="3">
        <v>0</v>
      </c>
      <c r="W154" s="3">
        <v>0</v>
      </c>
    </row>
    <row r="155" spans="1:23" ht="11.25" customHeight="1" x14ac:dyDescent="0.25">
      <c r="A155" s="3" t="s">
        <v>28</v>
      </c>
      <c r="B155" s="3" t="s">
        <v>35</v>
      </c>
      <c r="C155" s="3" t="s">
        <v>36</v>
      </c>
      <c r="D155" s="3" t="s">
        <v>39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44774</v>
      </c>
      <c r="J155" s="4">
        <v>178</v>
      </c>
      <c r="K155" s="4">
        <v>178</v>
      </c>
      <c r="L155" s="4">
        <v>0</v>
      </c>
      <c r="M155" s="4">
        <v>0</v>
      </c>
      <c r="N155" s="4">
        <v>0</v>
      </c>
      <c r="O155" s="4">
        <v>0</v>
      </c>
      <c r="P155" s="4">
        <v>2</v>
      </c>
      <c r="Q155" s="3" t="s">
        <v>26</v>
      </c>
      <c r="R155" s="3">
        <v>0</v>
      </c>
      <c r="S155" s="3" t="s">
        <v>199</v>
      </c>
      <c r="U155" s="3">
        <v>9</v>
      </c>
      <c r="V155" s="3">
        <v>0</v>
      </c>
      <c r="W155" s="3">
        <v>0</v>
      </c>
    </row>
    <row r="156" spans="1:23" ht="11.25" customHeight="1" x14ac:dyDescent="0.25">
      <c r="A156" s="3" t="s">
        <v>21</v>
      </c>
      <c r="B156" s="3" t="s">
        <v>35</v>
      </c>
      <c r="C156" s="3" t="s">
        <v>36</v>
      </c>
      <c r="D156" s="3" t="s">
        <v>39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44440</v>
      </c>
      <c r="J156" s="4">
        <v>0</v>
      </c>
      <c r="K156" s="4">
        <v>0</v>
      </c>
      <c r="L156" s="4">
        <v>29.524000000000001</v>
      </c>
      <c r="M156" s="4">
        <v>29.524000000000001</v>
      </c>
      <c r="N156" s="4">
        <v>29.524000000000001</v>
      </c>
      <c r="O156" s="4">
        <v>29.524000000000001</v>
      </c>
      <c r="P156" s="4">
        <v>0</v>
      </c>
      <c r="Q156" s="3" t="s">
        <v>26</v>
      </c>
      <c r="R156" s="3">
        <v>0</v>
      </c>
      <c r="S156" s="3" t="s">
        <v>200</v>
      </c>
      <c r="T156" s="3" t="s">
        <v>339</v>
      </c>
      <c r="U156" s="3">
        <v>0</v>
      </c>
      <c r="V156" s="3">
        <v>10</v>
      </c>
      <c r="W156" s="3">
        <v>77</v>
      </c>
    </row>
    <row r="157" spans="1:23" ht="11.25" customHeight="1" x14ac:dyDescent="0.25">
      <c r="A157" s="3" t="s">
        <v>28</v>
      </c>
      <c r="B157" s="3" t="s">
        <v>35</v>
      </c>
      <c r="C157" s="3" t="s">
        <v>36</v>
      </c>
      <c r="D157" s="3" t="s">
        <v>39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44440</v>
      </c>
      <c r="J157" s="4">
        <v>0</v>
      </c>
      <c r="K157" s="4">
        <v>0</v>
      </c>
      <c r="L157" s="4">
        <v>3.823</v>
      </c>
      <c r="M157" s="4">
        <v>3.823</v>
      </c>
      <c r="N157" s="4">
        <v>3.823</v>
      </c>
      <c r="O157" s="4">
        <v>3.823</v>
      </c>
      <c r="P157" s="4">
        <v>0</v>
      </c>
      <c r="Q157" s="3" t="s">
        <v>26</v>
      </c>
      <c r="R157" s="3">
        <v>0</v>
      </c>
      <c r="S157" s="3" t="s">
        <v>200</v>
      </c>
      <c r="T157" s="3" t="s">
        <v>339</v>
      </c>
      <c r="U157" s="3">
        <v>0</v>
      </c>
      <c r="V157" s="3">
        <v>10</v>
      </c>
      <c r="W157" s="3">
        <v>77</v>
      </c>
    </row>
    <row r="158" spans="1:23" ht="11.25" customHeight="1" x14ac:dyDescent="0.25">
      <c r="A158" s="3" t="s">
        <v>21</v>
      </c>
      <c r="B158" s="3" t="s">
        <v>35</v>
      </c>
      <c r="C158" s="3" t="s">
        <v>36</v>
      </c>
      <c r="D158" s="3" t="s">
        <v>39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44470</v>
      </c>
      <c r="J158" s="4">
        <v>0</v>
      </c>
      <c r="K158" s="4">
        <v>0</v>
      </c>
      <c r="L158" s="4">
        <v>30.707000000000001</v>
      </c>
      <c r="M158" s="4">
        <v>30.707000000000001</v>
      </c>
      <c r="N158" s="4">
        <v>30.707000000000001</v>
      </c>
      <c r="O158" s="4">
        <v>30.707000000000001</v>
      </c>
      <c r="P158" s="4">
        <v>0</v>
      </c>
      <c r="Q158" s="3" t="s">
        <v>26</v>
      </c>
      <c r="R158" s="3">
        <v>0</v>
      </c>
      <c r="S158" s="3" t="s">
        <v>201</v>
      </c>
      <c r="T158" s="3" t="s">
        <v>340</v>
      </c>
      <c r="U158" s="3">
        <v>0</v>
      </c>
      <c r="V158" s="3">
        <v>10</v>
      </c>
      <c r="W158" s="3">
        <v>77</v>
      </c>
    </row>
    <row r="159" spans="1:23" ht="11.25" customHeight="1" x14ac:dyDescent="0.25">
      <c r="A159" s="3" t="s">
        <v>28</v>
      </c>
      <c r="B159" s="3" t="s">
        <v>35</v>
      </c>
      <c r="C159" s="3" t="s">
        <v>36</v>
      </c>
      <c r="D159" s="3" t="s">
        <v>39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44470</v>
      </c>
      <c r="J159" s="4">
        <v>0</v>
      </c>
      <c r="K159" s="4">
        <v>0</v>
      </c>
      <c r="L159" s="4">
        <v>3.6850000000000001</v>
      </c>
      <c r="M159" s="4">
        <v>3.6850000000000001</v>
      </c>
      <c r="N159" s="4">
        <v>3.6850000000000001</v>
      </c>
      <c r="O159" s="4">
        <v>3.6850000000000001</v>
      </c>
      <c r="P159" s="4">
        <v>0</v>
      </c>
      <c r="Q159" s="3" t="s">
        <v>26</v>
      </c>
      <c r="R159" s="3">
        <v>0</v>
      </c>
      <c r="S159" s="3" t="s">
        <v>201</v>
      </c>
      <c r="T159" s="3" t="s">
        <v>340</v>
      </c>
      <c r="U159" s="3">
        <v>0</v>
      </c>
      <c r="V159" s="3">
        <v>10</v>
      </c>
      <c r="W159" s="3">
        <v>77</v>
      </c>
    </row>
    <row r="160" spans="1:23" ht="11.25" customHeight="1" x14ac:dyDescent="0.25">
      <c r="A160" s="3" t="s">
        <v>21</v>
      </c>
      <c r="B160" s="3" t="s">
        <v>35</v>
      </c>
      <c r="C160" s="3" t="s">
        <v>36</v>
      </c>
      <c r="D160" s="3" t="s">
        <v>39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44501</v>
      </c>
      <c r="J160" s="4">
        <v>0</v>
      </c>
      <c r="K160" s="4">
        <v>0</v>
      </c>
      <c r="L160" s="4">
        <v>33.686</v>
      </c>
      <c r="M160" s="4">
        <v>33.686</v>
      </c>
      <c r="N160" s="4">
        <v>33.686</v>
      </c>
      <c r="O160" s="4">
        <v>33.686</v>
      </c>
      <c r="P160" s="4">
        <v>0</v>
      </c>
      <c r="Q160" s="3" t="s">
        <v>26</v>
      </c>
      <c r="R160" s="3">
        <v>0</v>
      </c>
      <c r="S160" s="3" t="s">
        <v>202</v>
      </c>
      <c r="T160" s="3" t="s">
        <v>341</v>
      </c>
      <c r="U160" s="3">
        <v>0</v>
      </c>
      <c r="V160" s="3">
        <v>10</v>
      </c>
      <c r="W160" s="3">
        <v>77</v>
      </c>
    </row>
    <row r="161" spans="1:23" ht="11.25" customHeight="1" x14ac:dyDescent="0.25">
      <c r="A161" s="3" t="s">
        <v>28</v>
      </c>
      <c r="B161" s="3" t="s">
        <v>35</v>
      </c>
      <c r="C161" s="3" t="s">
        <v>36</v>
      </c>
      <c r="D161" s="3" t="s">
        <v>39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44501</v>
      </c>
      <c r="J161" s="4">
        <v>0</v>
      </c>
      <c r="K161" s="4">
        <v>0</v>
      </c>
      <c r="L161" s="4">
        <v>4.4489999999999998</v>
      </c>
      <c r="M161" s="4">
        <v>4.4489999999999998</v>
      </c>
      <c r="N161" s="4">
        <v>4.4489999999999998</v>
      </c>
      <c r="O161" s="4">
        <v>4.4489999999999998</v>
      </c>
      <c r="P161" s="4">
        <v>0</v>
      </c>
      <c r="Q161" s="3" t="s">
        <v>26</v>
      </c>
      <c r="R161" s="3">
        <v>0</v>
      </c>
      <c r="S161" s="3" t="s">
        <v>202</v>
      </c>
      <c r="T161" s="3" t="s">
        <v>341</v>
      </c>
      <c r="U161" s="3">
        <v>0</v>
      </c>
      <c r="V161" s="3">
        <v>10</v>
      </c>
      <c r="W161" s="3">
        <v>77</v>
      </c>
    </row>
    <row r="162" spans="1:23" ht="11.25" customHeight="1" x14ac:dyDescent="0.25">
      <c r="A162" s="3" t="s">
        <v>21</v>
      </c>
      <c r="B162" s="3" t="s">
        <v>35</v>
      </c>
      <c r="C162" s="3" t="s">
        <v>36</v>
      </c>
      <c r="D162" s="3" t="s">
        <v>39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44531</v>
      </c>
      <c r="J162" s="4">
        <v>0</v>
      </c>
      <c r="K162" s="4">
        <v>0</v>
      </c>
      <c r="L162" s="4">
        <v>36.746000000000002</v>
      </c>
      <c r="M162" s="4">
        <v>36.746000000000002</v>
      </c>
      <c r="N162" s="4">
        <v>36.746000000000002</v>
      </c>
      <c r="O162" s="4">
        <v>36.746000000000002</v>
      </c>
      <c r="P162" s="4">
        <v>0</v>
      </c>
      <c r="Q162" s="3" t="s">
        <v>26</v>
      </c>
      <c r="R162" s="3">
        <v>0</v>
      </c>
      <c r="S162" s="3" t="s">
        <v>203</v>
      </c>
      <c r="T162" s="3" t="s">
        <v>342</v>
      </c>
      <c r="U162" s="3">
        <v>0</v>
      </c>
      <c r="V162" s="3">
        <v>10</v>
      </c>
      <c r="W162" s="3">
        <v>77</v>
      </c>
    </row>
    <row r="163" spans="1:23" ht="11.25" customHeight="1" x14ac:dyDescent="0.25">
      <c r="A163" s="3" t="s">
        <v>28</v>
      </c>
      <c r="B163" s="3" t="s">
        <v>35</v>
      </c>
      <c r="C163" s="3" t="s">
        <v>36</v>
      </c>
      <c r="D163" s="3" t="s">
        <v>39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44531</v>
      </c>
      <c r="J163" s="4">
        <v>0</v>
      </c>
      <c r="K163" s="4">
        <v>0</v>
      </c>
      <c r="L163" s="4">
        <v>4.6210000000000004</v>
      </c>
      <c r="M163" s="4">
        <v>4.6210000000000004</v>
      </c>
      <c r="N163" s="4">
        <v>4.6210000000000004</v>
      </c>
      <c r="O163" s="4">
        <v>4.6210000000000004</v>
      </c>
      <c r="P163" s="4">
        <v>0</v>
      </c>
      <c r="Q163" s="3" t="s">
        <v>26</v>
      </c>
      <c r="R163" s="3">
        <v>0</v>
      </c>
      <c r="S163" s="3" t="s">
        <v>203</v>
      </c>
      <c r="T163" s="3" t="s">
        <v>342</v>
      </c>
      <c r="U163" s="3">
        <v>0</v>
      </c>
      <c r="V163" s="3">
        <v>10</v>
      </c>
      <c r="W163" s="3">
        <v>77</v>
      </c>
    </row>
    <row r="164" spans="1:23" ht="11.25" customHeight="1" x14ac:dyDescent="0.25">
      <c r="A164" s="3" t="s">
        <v>21</v>
      </c>
      <c r="B164" s="3" t="s">
        <v>35</v>
      </c>
      <c r="C164" s="3" t="s">
        <v>36</v>
      </c>
      <c r="D164" s="3" t="s">
        <v>39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44562</v>
      </c>
      <c r="J164" s="4">
        <v>0</v>
      </c>
      <c r="K164" s="4">
        <v>0</v>
      </c>
      <c r="L164" s="4">
        <v>38.350999999999999</v>
      </c>
      <c r="M164" s="4">
        <v>38.350999999999999</v>
      </c>
      <c r="N164" s="4">
        <v>38.350999999999999</v>
      </c>
      <c r="O164" s="4">
        <v>38.350999999999999</v>
      </c>
      <c r="P164" s="4">
        <v>0</v>
      </c>
      <c r="Q164" s="3" t="s">
        <v>26</v>
      </c>
      <c r="R164" s="3">
        <v>0</v>
      </c>
      <c r="S164" s="3" t="s">
        <v>204</v>
      </c>
      <c r="T164" s="3" t="s">
        <v>343</v>
      </c>
      <c r="U164" s="3">
        <v>0</v>
      </c>
      <c r="V164" s="3">
        <v>10</v>
      </c>
      <c r="W164" s="3">
        <v>77</v>
      </c>
    </row>
    <row r="165" spans="1:23" ht="11.25" customHeight="1" x14ac:dyDescent="0.25">
      <c r="A165" s="3" t="s">
        <v>28</v>
      </c>
      <c r="B165" s="3" t="s">
        <v>35</v>
      </c>
      <c r="C165" s="3" t="s">
        <v>36</v>
      </c>
      <c r="D165" s="3" t="s">
        <v>39</v>
      </c>
      <c r="E165" s="3" t="s">
        <v>25</v>
      </c>
      <c r="F165" s="3" t="s">
        <v>25</v>
      </c>
      <c r="G165" s="3" t="s">
        <v>25</v>
      </c>
      <c r="H165" s="3" t="s">
        <v>37</v>
      </c>
      <c r="I165" s="6">
        <v>44562</v>
      </c>
      <c r="J165" s="4">
        <v>0</v>
      </c>
      <c r="K165" s="4">
        <v>0</v>
      </c>
      <c r="L165" s="4">
        <v>6.48</v>
      </c>
      <c r="M165" s="4">
        <v>6.48</v>
      </c>
      <c r="N165" s="4">
        <v>6.48</v>
      </c>
      <c r="O165" s="4">
        <v>6.48</v>
      </c>
      <c r="P165" s="4">
        <v>0</v>
      </c>
      <c r="Q165" s="3" t="s">
        <v>26</v>
      </c>
      <c r="R165" s="3">
        <v>0</v>
      </c>
      <c r="S165" s="3" t="s">
        <v>204</v>
      </c>
      <c r="T165" s="3" t="s">
        <v>343</v>
      </c>
      <c r="U165" s="3">
        <v>0</v>
      </c>
      <c r="V165" s="3">
        <v>10</v>
      </c>
      <c r="W165" s="3">
        <v>77</v>
      </c>
    </row>
    <row r="166" spans="1:23" ht="11.25" customHeight="1" x14ac:dyDescent="0.25">
      <c r="A166" s="3" t="s">
        <v>21</v>
      </c>
      <c r="B166" s="3" t="s">
        <v>35</v>
      </c>
      <c r="C166" s="3" t="s">
        <v>36</v>
      </c>
      <c r="D166" s="3" t="s">
        <v>39</v>
      </c>
      <c r="E166" s="3" t="s">
        <v>25</v>
      </c>
      <c r="F166" s="3" t="s">
        <v>25</v>
      </c>
      <c r="G166" s="3" t="s">
        <v>25</v>
      </c>
      <c r="H166" s="3" t="s">
        <v>37</v>
      </c>
      <c r="I166" s="6">
        <v>44593</v>
      </c>
      <c r="J166" s="4">
        <v>0</v>
      </c>
      <c r="K166" s="4">
        <v>0</v>
      </c>
      <c r="L166" s="4">
        <v>33.164999999999999</v>
      </c>
      <c r="M166" s="4">
        <v>33.164999999999999</v>
      </c>
      <c r="N166" s="4">
        <v>33.164999999999999</v>
      </c>
      <c r="O166" s="4">
        <v>33.164999999999999</v>
      </c>
      <c r="P166" s="4">
        <v>0</v>
      </c>
      <c r="Q166" s="3" t="s">
        <v>26</v>
      </c>
      <c r="R166" s="3">
        <v>0</v>
      </c>
      <c r="S166" s="3" t="s">
        <v>205</v>
      </c>
      <c r="T166" s="3" t="s">
        <v>344</v>
      </c>
      <c r="U166" s="3">
        <v>0</v>
      </c>
      <c r="V166" s="3">
        <v>10</v>
      </c>
      <c r="W166" s="3">
        <v>77</v>
      </c>
    </row>
    <row r="167" spans="1:23" ht="11.25" customHeight="1" x14ac:dyDescent="0.25">
      <c r="A167" s="3" t="s">
        <v>28</v>
      </c>
      <c r="B167" s="3" t="s">
        <v>35</v>
      </c>
      <c r="C167" s="3" t="s">
        <v>36</v>
      </c>
      <c r="D167" s="3" t="s">
        <v>39</v>
      </c>
      <c r="E167" s="3" t="s">
        <v>25</v>
      </c>
      <c r="F167" s="3" t="s">
        <v>25</v>
      </c>
      <c r="G167" s="3" t="s">
        <v>25</v>
      </c>
      <c r="H167" s="3" t="s">
        <v>37</v>
      </c>
      <c r="I167" s="6">
        <v>44593</v>
      </c>
      <c r="J167" s="4">
        <v>0</v>
      </c>
      <c r="K167" s="4">
        <v>0</v>
      </c>
      <c r="L167" s="4">
        <v>5.5640000000000001</v>
      </c>
      <c r="M167" s="4">
        <v>5.5640000000000001</v>
      </c>
      <c r="N167" s="4">
        <v>5.5640000000000001</v>
      </c>
      <c r="O167" s="4">
        <v>5.5640000000000001</v>
      </c>
      <c r="P167" s="4">
        <v>0</v>
      </c>
      <c r="Q167" s="3" t="s">
        <v>26</v>
      </c>
      <c r="R167" s="3">
        <v>0</v>
      </c>
      <c r="S167" s="3" t="s">
        <v>205</v>
      </c>
      <c r="T167" s="3" t="s">
        <v>344</v>
      </c>
      <c r="U167" s="3">
        <v>0</v>
      </c>
      <c r="V167" s="3">
        <v>10</v>
      </c>
      <c r="W167" s="3">
        <v>77</v>
      </c>
    </row>
    <row r="168" spans="1:23" ht="11.25" customHeight="1" x14ac:dyDescent="0.25">
      <c r="A168" s="3" t="s">
        <v>21</v>
      </c>
      <c r="B168" s="3" t="s">
        <v>35</v>
      </c>
      <c r="C168" s="3" t="s">
        <v>36</v>
      </c>
      <c r="D168" s="3" t="s">
        <v>39</v>
      </c>
      <c r="E168" s="3" t="s">
        <v>25</v>
      </c>
      <c r="F168" s="3" t="s">
        <v>25</v>
      </c>
      <c r="G168" s="3" t="s">
        <v>25</v>
      </c>
      <c r="H168" s="3" t="s">
        <v>37</v>
      </c>
      <c r="I168" s="6">
        <v>44621</v>
      </c>
      <c r="J168" s="4">
        <v>0</v>
      </c>
      <c r="K168" s="4">
        <v>0</v>
      </c>
      <c r="L168" s="4">
        <v>35.601999999999997</v>
      </c>
      <c r="M168" s="4">
        <v>35.601999999999997</v>
      </c>
      <c r="N168" s="4">
        <v>35.601999999999997</v>
      </c>
      <c r="O168" s="4">
        <v>35.601999999999997</v>
      </c>
      <c r="P168" s="4">
        <v>0</v>
      </c>
      <c r="Q168" s="3" t="s">
        <v>26</v>
      </c>
      <c r="R168" s="3">
        <v>0</v>
      </c>
      <c r="S168" s="3" t="s">
        <v>206</v>
      </c>
      <c r="T168" s="3" t="s">
        <v>345</v>
      </c>
      <c r="U168" s="3">
        <v>0</v>
      </c>
      <c r="V168" s="3">
        <v>10</v>
      </c>
      <c r="W168" s="3">
        <v>77</v>
      </c>
    </row>
    <row r="169" spans="1:23" ht="11.25" customHeight="1" x14ac:dyDescent="0.25">
      <c r="A169" s="3" t="s">
        <v>28</v>
      </c>
      <c r="B169" s="3" t="s">
        <v>35</v>
      </c>
      <c r="C169" s="3" t="s">
        <v>36</v>
      </c>
      <c r="D169" s="3" t="s">
        <v>39</v>
      </c>
      <c r="E169" s="3" t="s">
        <v>25</v>
      </c>
      <c r="F169" s="3" t="s">
        <v>25</v>
      </c>
      <c r="G169" s="3" t="s">
        <v>25</v>
      </c>
      <c r="H169" s="3" t="s">
        <v>37</v>
      </c>
      <c r="I169" s="6">
        <v>44621</v>
      </c>
      <c r="J169" s="4">
        <v>0</v>
      </c>
      <c r="K169" s="4">
        <v>0</v>
      </c>
      <c r="L169" s="4">
        <v>4.49</v>
      </c>
      <c r="M169" s="4">
        <v>4.49</v>
      </c>
      <c r="N169" s="4">
        <v>4.49</v>
      </c>
      <c r="O169" s="4">
        <v>4.49</v>
      </c>
      <c r="P169" s="4">
        <v>0</v>
      </c>
      <c r="Q169" s="3" t="s">
        <v>26</v>
      </c>
      <c r="R169" s="3">
        <v>0</v>
      </c>
      <c r="S169" s="3" t="s">
        <v>206</v>
      </c>
      <c r="T169" s="3" t="s">
        <v>345</v>
      </c>
      <c r="U169" s="3">
        <v>0</v>
      </c>
      <c r="V169" s="3">
        <v>10</v>
      </c>
      <c r="W169" s="3">
        <v>77</v>
      </c>
    </row>
    <row r="170" spans="1:23" ht="11.25" customHeight="1" x14ac:dyDescent="0.25">
      <c r="A170" s="3" t="s">
        <v>21</v>
      </c>
      <c r="B170" s="3" t="s">
        <v>35</v>
      </c>
      <c r="C170" s="3" t="s">
        <v>36</v>
      </c>
      <c r="D170" s="3" t="s">
        <v>39</v>
      </c>
      <c r="E170" s="3" t="s">
        <v>25</v>
      </c>
      <c r="F170" s="3" t="s">
        <v>25</v>
      </c>
      <c r="G170" s="3" t="s">
        <v>25</v>
      </c>
      <c r="H170" s="3" t="s">
        <v>37</v>
      </c>
      <c r="I170" s="6">
        <v>44652</v>
      </c>
      <c r="J170" s="4">
        <v>0</v>
      </c>
      <c r="K170" s="4">
        <v>0</v>
      </c>
      <c r="L170" s="4">
        <v>27.852</v>
      </c>
      <c r="M170" s="4">
        <v>27.852</v>
      </c>
      <c r="N170" s="4">
        <v>27.852</v>
      </c>
      <c r="O170" s="4">
        <v>27.852</v>
      </c>
      <c r="P170" s="4">
        <v>0</v>
      </c>
      <c r="Q170" s="3" t="s">
        <v>26</v>
      </c>
      <c r="R170" s="3">
        <v>0</v>
      </c>
      <c r="S170" s="3" t="s">
        <v>207</v>
      </c>
      <c r="T170" s="3" t="s">
        <v>346</v>
      </c>
      <c r="U170" s="3">
        <v>0</v>
      </c>
      <c r="V170" s="3">
        <v>10</v>
      </c>
      <c r="W170" s="3">
        <v>77</v>
      </c>
    </row>
    <row r="171" spans="1:23" ht="11.25" customHeight="1" x14ac:dyDescent="0.25">
      <c r="A171" s="3" t="s">
        <v>28</v>
      </c>
      <c r="B171" s="3" t="s">
        <v>35</v>
      </c>
      <c r="C171" s="3" t="s">
        <v>36</v>
      </c>
      <c r="D171" s="3" t="s">
        <v>39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44652</v>
      </c>
      <c r="J171" s="4">
        <v>0</v>
      </c>
      <c r="K171" s="4">
        <v>0</v>
      </c>
      <c r="L171" s="4">
        <v>3.7040000000000002</v>
      </c>
      <c r="M171" s="4">
        <v>3.7040000000000002</v>
      </c>
      <c r="N171" s="4">
        <v>3.7040000000000002</v>
      </c>
      <c r="O171" s="4">
        <v>3.7040000000000002</v>
      </c>
      <c r="P171" s="4">
        <v>0</v>
      </c>
      <c r="Q171" s="3" t="s">
        <v>26</v>
      </c>
      <c r="R171" s="3">
        <v>0</v>
      </c>
      <c r="S171" s="3" t="s">
        <v>207</v>
      </c>
      <c r="T171" s="3" t="s">
        <v>346</v>
      </c>
      <c r="U171" s="3">
        <v>0</v>
      </c>
      <c r="V171" s="3">
        <v>10</v>
      </c>
      <c r="W171" s="3">
        <v>77</v>
      </c>
    </row>
    <row r="172" spans="1:23" ht="11.25" customHeight="1" x14ac:dyDescent="0.25">
      <c r="A172" s="3" t="s">
        <v>21</v>
      </c>
      <c r="B172" s="3" t="s">
        <v>35</v>
      </c>
      <c r="C172" s="3" t="s">
        <v>36</v>
      </c>
      <c r="D172" s="3" t="s">
        <v>39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44682</v>
      </c>
      <c r="J172" s="4">
        <v>0</v>
      </c>
      <c r="K172" s="4">
        <v>0</v>
      </c>
      <c r="L172" s="4">
        <v>24.446000000000002</v>
      </c>
      <c r="M172" s="4">
        <v>24.446000000000002</v>
      </c>
      <c r="N172" s="4">
        <v>24.446000000000002</v>
      </c>
      <c r="O172" s="4">
        <v>24.446000000000002</v>
      </c>
      <c r="P172" s="4">
        <v>0</v>
      </c>
      <c r="Q172" s="3" t="s">
        <v>26</v>
      </c>
      <c r="R172" s="3">
        <v>0</v>
      </c>
      <c r="S172" s="3" t="s">
        <v>208</v>
      </c>
      <c r="T172" s="3" t="s">
        <v>347</v>
      </c>
      <c r="U172" s="3">
        <v>0</v>
      </c>
      <c r="V172" s="3">
        <v>10</v>
      </c>
      <c r="W172" s="3">
        <v>77</v>
      </c>
    </row>
    <row r="173" spans="1:23" ht="11.25" customHeight="1" x14ac:dyDescent="0.25">
      <c r="A173" s="3" t="s">
        <v>28</v>
      </c>
      <c r="B173" s="3" t="s">
        <v>35</v>
      </c>
      <c r="C173" s="3" t="s">
        <v>36</v>
      </c>
      <c r="D173" s="3" t="s">
        <v>39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44682</v>
      </c>
      <c r="J173" s="4">
        <v>0</v>
      </c>
      <c r="K173" s="4">
        <v>0</v>
      </c>
      <c r="L173" s="4">
        <v>3.0270000000000001</v>
      </c>
      <c r="M173" s="4">
        <v>3.0270000000000001</v>
      </c>
      <c r="N173" s="4">
        <v>3.0270000000000001</v>
      </c>
      <c r="O173" s="4">
        <v>3.0270000000000001</v>
      </c>
      <c r="P173" s="4">
        <v>0</v>
      </c>
      <c r="Q173" s="3" t="s">
        <v>26</v>
      </c>
      <c r="R173" s="3">
        <v>0</v>
      </c>
      <c r="S173" s="3" t="s">
        <v>208</v>
      </c>
      <c r="T173" s="3" t="s">
        <v>347</v>
      </c>
      <c r="U173" s="3">
        <v>0</v>
      </c>
      <c r="V173" s="3">
        <v>10</v>
      </c>
      <c r="W173" s="3">
        <v>77</v>
      </c>
    </row>
    <row r="174" spans="1:23" ht="11.25" customHeight="1" x14ac:dyDescent="0.25">
      <c r="A174" s="3" t="s">
        <v>21</v>
      </c>
      <c r="B174" s="3" t="s">
        <v>35</v>
      </c>
      <c r="C174" s="3" t="s">
        <v>36</v>
      </c>
      <c r="D174" s="3" t="s">
        <v>39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44713</v>
      </c>
      <c r="J174" s="4">
        <v>0</v>
      </c>
      <c r="K174" s="4">
        <v>0</v>
      </c>
      <c r="L174" s="4">
        <v>20.832999999999998</v>
      </c>
      <c r="M174" s="4">
        <v>20.832999999999998</v>
      </c>
      <c r="N174" s="4">
        <v>20.832999999999998</v>
      </c>
      <c r="O174" s="4">
        <v>20.832999999999998</v>
      </c>
      <c r="P174" s="4">
        <v>0</v>
      </c>
      <c r="Q174" s="3" t="s">
        <v>26</v>
      </c>
      <c r="R174" s="3">
        <v>0</v>
      </c>
      <c r="S174" s="3" t="s">
        <v>209</v>
      </c>
      <c r="T174" s="3" t="s">
        <v>348</v>
      </c>
      <c r="U174" s="3">
        <v>0</v>
      </c>
      <c r="V174" s="3">
        <v>10</v>
      </c>
      <c r="W174" s="3">
        <v>77</v>
      </c>
    </row>
    <row r="175" spans="1:23" ht="11.25" customHeight="1" x14ac:dyDescent="0.25">
      <c r="A175" s="3" t="s">
        <v>28</v>
      </c>
      <c r="B175" s="3" t="s">
        <v>35</v>
      </c>
      <c r="C175" s="3" t="s">
        <v>36</v>
      </c>
      <c r="D175" s="3" t="s">
        <v>39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44713</v>
      </c>
      <c r="J175" s="4">
        <v>0</v>
      </c>
      <c r="K175" s="4">
        <v>0</v>
      </c>
      <c r="L175" s="4">
        <v>3.5369999999999999</v>
      </c>
      <c r="M175" s="4">
        <v>3.5369999999999999</v>
      </c>
      <c r="N175" s="4">
        <v>3.5369999999999999</v>
      </c>
      <c r="O175" s="4">
        <v>3.5369999999999999</v>
      </c>
      <c r="P175" s="4">
        <v>0</v>
      </c>
      <c r="Q175" s="3" t="s">
        <v>26</v>
      </c>
      <c r="R175" s="3">
        <v>0</v>
      </c>
      <c r="S175" s="3" t="s">
        <v>209</v>
      </c>
      <c r="T175" s="3" t="s">
        <v>348</v>
      </c>
      <c r="U175" s="3">
        <v>0</v>
      </c>
      <c r="V175" s="3">
        <v>10</v>
      </c>
      <c r="W175" s="3">
        <v>77</v>
      </c>
    </row>
    <row r="176" spans="1:23" ht="11.25" customHeight="1" x14ac:dyDescent="0.25">
      <c r="A176" s="3" t="s">
        <v>21</v>
      </c>
      <c r="B176" s="3" t="s">
        <v>35</v>
      </c>
      <c r="C176" s="3" t="s">
        <v>36</v>
      </c>
      <c r="D176" s="3" t="s">
        <v>39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44743</v>
      </c>
      <c r="J176" s="4">
        <v>0</v>
      </c>
      <c r="K176" s="4">
        <v>0</v>
      </c>
      <c r="L176" s="4">
        <v>20.38</v>
      </c>
      <c r="M176" s="4">
        <v>20.38</v>
      </c>
      <c r="N176" s="4">
        <v>20.38</v>
      </c>
      <c r="O176" s="4">
        <v>20.38</v>
      </c>
      <c r="P176" s="4">
        <v>0</v>
      </c>
      <c r="Q176" s="3" t="s">
        <v>26</v>
      </c>
      <c r="R176" s="3">
        <v>0</v>
      </c>
      <c r="S176" s="3" t="s">
        <v>210</v>
      </c>
      <c r="T176" s="3" t="s">
        <v>349</v>
      </c>
      <c r="U176" s="3">
        <v>0</v>
      </c>
      <c r="V176" s="3">
        <v>10</v>
      </c>
      <c r="W176" s="3">
        <v>77</v>
      </c>
    </row>
    <row r="177" spans="1:23" ht="11.25" customHeight="1" x14ac:dyDescent="0.25">
      <c r="A177" s="3" t="s">
        <v>21</v>
      </c>
      <c r="B177" s="3" t="s">
        <v>35</v>
      </c>
      <c r="C177" s="3" t="s">
        <v>36</v>
      </c>
      <c r="D177" s="3" t="s">
        <v>39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44774</v>
      </c>
      <c r="J177" s="4">
        <v>0</v>
      </c>
      <c r="K177" s="4">
        <v>0</v>
      </c>
      <c r="L177" s="4">
        <v>22.19</v>
      </c>
      <c r="M177" s="4">
        <v>22.19</v>
      </c>
      <c r="N177" s="4">
        <v>22.19</v>
      </c>
      <c r="O177" s="4">
        <v>22.19</v>
      </c>
      <c r="P177" s="4">
        <v>0</v>
      </c>
      <c r="Q177" s="3" t="s">
        <v>26</v>
      </c>
      <c r="R177" s="3">
        <v>0</v>
      </c>
      <c r="S177" s="3" t="s">
        <v>211</v>
      </c>
      <c r="T177" s="3" t="s">
        <v>350</v>
      </c>
      <c r="U177" s="3">
        <v>0</v>
      </c>
      <c r="V177" s="3">
        <v>10</v>
      </c>
      <c r="W177" s="3">
        <v>77</v>
      </c>
    </row>
    <row r="178" spans="1:23" ht="11.25" customHeight="1" x14ac:dyDescent="0.25">
      <c r="A178" s="3" t="s">
        <v>28</v>
      </c>
      <c r="B178" s="3" t="s">
        <v>35</v>
      </c>
      <c r="C178" s="3" t="s">
        <v>36</v>
      </c>
      <c r="D178" s="3" t="s">
        <v>39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44774</v>
      </c>
      <c r="J178" s="4">
        <v>0</v>
      </c>
      <c r="K178" s="4">
        <v>0</v>
      </c>
      <c r="L178" s="4">
        <v>4.1639999999999997</v>
      </c>
      <c r="M178" s="4">
        <v>4.1639999999999997</v>
      </c>
      <c r="N178" s="4">
        <v>4.1639999999999997</v>
      </c>
      <c r="O178" s="4">
        <v>4.1639999999999997</v>
      </c>
      <c r="P178" s="4">
        <v>0</v>
      </c>
      <c r="Q178" s="3" t="s">
        <v>26</v>
      </c>
      <c r="R178" s="3">
        <v>0</v>
      </c>
      <c r="S178" s="3" t="s">
        <v>211</v>
      </c>
      <c r="T178" s="3" t="s">
        <v>350</v>
      </c>
      <c r="U178" s="3">
        <v>0</v>
      </c>
      <c r="V178" s="3">
        <v>10</v>
      </c>
      <c r="W178" s="3">
        <v>77</v>
      </c>
    </row>
    <row r="179" spans="1:23" ht="11.25" customHeight="1" x14ac:dyDescent="0.25">
      <c r="A179" s="3" t="s">
        <v>21</v>
      </c>
      <c r="B179" s="3" t="s">
        <v>35</v>
      </c>
      <c r="C179" s="3" t="s">
        <v>36</v>
      </c>
      <c r="D179" s="3" t="s">
        <v>34</v>
      </c>
      <c r="E179" s="3" t="s">
        <v>25</v>
      </c>
      <c r="F179" s="3" t="s">
        <v>54</v>
      </c>
      <c r="G179" s="3" t="s">
        <v>25</v>
      </c>
      <c r="H179" s="3" t="s">
        <v>38</v>
      </c>
      <c r="I179" s="6">
        <v>44440</v>
      </c>
      <c r="J179" s="4">
        <v>0</v>
      </c>
      <c r="K179" s="4">
        <v>0</v>
      </c>
      <c r="L179" s="4">
        <v>6.2770000000000001</v>
      </c>
      <c r="M179" s="4">
        <v>6.2770000000000001</v>
      </c>
      <c r="N179" s="4">
        <v>0</v>
      </c>
      <c r="O179" s="4">
        <v>0</v>
      </c>
      <c r="P179" s="4">
        <v>0</v>
      </c>
      <c r="Q179" s="3" t="s">
        <v>55</v>
      </c>
      <c r="R179" s="3">
        <v>0</v>
      </c>
      <c r="S179" s="3" t="s">
        <v>212</v>
      </c>
      <c r="U179" s="3">
        <v>0</v>
      </c>
      <c r="V179" s="3">
        <v>5</v>
      </c>
      <c r="W179" s="3">
        <v>0</v>
      </c>
    </row>
    <row r="180" spans="1:23" ht="11.25" customHeight="1" x14ac:dyDescent="0.25">
      <c r="A180" s="3" t="s">
        <v>21</v>
      </c>
      <c r="B180" s="3" t="s">
        <v>35</v>
      </c>
      <c r="C180" s="3" t="s">
        <v>36</v>
      </c>
      <c r="D180" s="3" t="s">
        <v>34</v>
      </c>
      <c r="E180" s="3" t="s">
        <v>25</v>
      </c>
      <c r="F180" s="3" t="s">
        <v>54</v>
      </c>
      <c r="G180" s="3" t="s">
        <v>25</v>
      </c>
      <c r="H180" s="3" t="s">
        <v>38</v>
      </c>
      <c r="I180" s="6">
        <v>44470</v>
      </c>
      <c r="J180" s="4">
        <v>0</v>
      </c>
      <c r="K180" s="4">
        <v>0</v>
      </c>
      <c r="L180" s="4">
        <v>0.56899999999999995</v>
      </c>
      <c r="M180" s="4">
        <v>0.56899999999999995</v>
      </c>
      <c r="N180" s="4">
        <v>0</v>
      </c>
      <c r="O180" s="4">
        <v>0</v>
      </c>
      <c r="P180" s="4">
        <v>0</v>
      </c>
      <c r="Q180" s="3" t="s">
        <v>55</v>
      </c>
      <c r="R180" s="3">
        <v>0</v>
      </c>
      <c r="S180" s="3" t="s">
        <v>213</v>
      </c>
      <c r="U180" s="3">
        <v>0</v>
      </c>
      <c r="V180" s="3">
        <v>5</v>
      </c>
      <c r="W180" s="3">
        <v>0</v>
      </c>
    </row>
    <row r="181" spans="1:23" ht="11.25" customHeight="1" x14ac:dyDescent="0.25">
      <c r="A181" s="3" t="s">
        <v>21</v>
      </c>
      <c r="B181" s="3" t="s">
        <v>35</v>
      </c>
      <c r="C181" s="3" t="s">
        <v>36</v>
      </c>
      <c r="D181" s="3" t="s">
        <v>34</v>
      </c>
      <c r="E181" s="3" t="s">
        <v>25</v>
      </c>
      <c r="F181" s="3" t="s">
        <v>54</v>
      </c>
      <c r="G181" s="3" t="s">
        <v>25</v>
      </c>
      <c r="H181" s="3" t="s">
        <v>38</v>
      </c>
      <c r="I181" s="6">
        <v>44501</v>
      </c>
      <c r="J181" s="4">
        <v>0</v>
      </c>
      <c r="K181" s="4">
        <v>0</v>
      </c>
      <c r="L181" s="4">
        <v>2.83</v>
      </c>
      <c r="M181" s="4">
        <v>2.83</v>
      </c>
      <c r="N181" s="4">
        <v>0</v>
      </c>
      <c r="O181" s="4">
        <v>0</v>
      </c>
      <c r="P181" s="4">
        <v>0</v>
      </c>
      <c r="Q181" s="3" t="s">
        <v>55</v>
      </c>
      <c r="R181" s="3">
        <v>0</v>
      </c>
      <c r="S181" s="3" t="s">
        <v>214</v>
      </c>
      <c r="U181" s="3">
        <v>0</v>
      </c>
      <c r="V181" s="3">
        <v>5</v>
      </c>
      <c r="W181" s="3">
        <v>0</v>
      </c>
    </row>
    <row r="182" spans="1:23" ht="11.25" customHeight="1" x14ac:dyDescent="0.25">
      <c r="A182" s="3" t="s">
        <v>21</v>
      </c>
      <c r="B182" s="3" t="s">
        <v>35</v>
      </c>
      <c r="C182" s="3" t="s">
        <v>36</v>
      </c>
      <c r="D182" s="3" t="s">
        <v>34</v>
      </c>
      <c r="E182" s="3" t="s">
        <v>25</v>
      </c>
      <c r="F182" s="3" t="s">
        <v>54</v>
      </c>
      <c r="G182" s="3" t="s">
        <v>25</v>
      </c>
      <c r="H182" s="3" t="s">
        <v>38</v>
      </c>
      <c r="I182" s="6">
        <v>44531</v>
      </c>
      <c r="J182" s="4">
        <v>0</v>
      </c>
      <c r="K182" s="4">
        <v>0</v>
      </c>
      <c r="L182" s="4">
        <v>1.4339999999999999</v>
      </c>
      <c r="M182" s="4">
        <v>1.4339999999999999</v>
      </c>
      <c r="N182" s="4">
        <v>0</v>
      </c>
      <c r="O182" s="4">
        <v>0</v>
      </c>
      <c r="P182" s="4">
        <v>0</v>
      </c>
      <c r="Q182" s="3" t="s">
        <v>55</v>
      </c>
      <c r="R182" s="3">
        <v>0</v>
      </c>
      <c r="S182" s="3" t="s">
        <v>215</v>
      </c>
      <c r="U182" s="3">
        <v>0</v>
      </c>
      <c r="V182" s="3">
        <v>5</v>
      </c>
      <c r="W182" s="3">
        <v>0</v>
      </c>
    </row>
    <row r="183" spans="1:23" ht="11.25" customHeight="1" x14ac:dyDescent="0.25">
      <c r="A183" s="3" t="s">
        <v>21</v>
      </c>
      <c r="B183" s="3" t="s">
        <v>35</v>
      </c>
      <c r="C183" s="3" t="s">
        <v>36</v>
      </c>
      <c r="D183" s="3" t="s">
        <v>34</v>
      </c>
      <c r="E183" s="3" t="s">
        <v>25</v>
      </c>
      <c r="F183" s="3" t="s">
        <v>54</v>
      </c>
      <c r="G183" s="3" t="s">
        <v>25</v>
      </c>
      <c r="H183" s="3" t="s">
        <v>38</v>
      </c>
      <c r="I183" s="6">
        <v>44562</v>
      </c>
      <c r="J183" s="4">
        <v>0</v>
      </c>
      <c r="K183" s="4">
        <v>0</v>
      </c>
      <c r="L183" s="4">
        <v>4.8289999999999997</v>
      </c>
      <c r="M183" s="4">
        <v>4.8289999999999997</v>
      </c>
      <c r="N183" s="4">
        <v>0</v>
      </c>
      <c r="O183" s="4">
        <v>0</v>
      </c>
      <c r="P183" s="4">
        <v>0</v>
      </c>
      <c r="Q183" s="3" t="s">
        <v>55</v>
      </c>
      <c r="R183" s="3">
        <v>0</v>
      </c>
      <c r="S183" s="3" t="s">
        <v>216</v>
      </c>
      <c r="U183" s="3">
        <v>0</v>
      </c>
      <c r="V183" s="3">
        <v>5</v>
      </c>
      <c r="W183" s="3">
        <v>0</v>
      </c>
    </row>
    <row r="184" spans="1:23" ht="11.25" customHeight="1" x14ac:dyDescent="0.25">
      <c r="A184" s="3" t="s">
        <v>21</v>
      </c>
      <c r="B184" s="3" t="s">
        <v>35</v>
      </c>
      <c r="C184" s="3" t="s">
        <v>36</v>
      </c>
      <c r="D184" s="3" t="s">
        <v>34</v>
      </c>
      <c r="E184" s="3" t="s">
        <v>25</v>
      </c>
      <c r="F184" s="3" t="s">
        <v>54</v>
      </c>
      <c r="G184" s="3" t="s">
        <v>25</v>
      </c>
      <c r="H184" s="3" t="s">
        <v>38</v>
      </c>
      <c r="I184" s="6">
        <v>44593</v>
      </c>
      <c r="J184" s="4">
        <v>0</v>
      </c>
      <c r="K184" s="4">
        <v>0</v>
      </c>
      <c r="L184" s="4">
        <v>3.5619999999999998</v>
      </c>
      <c r="M184" s="4">
        <v>3.5619999999999998</v>
      </c>
      <c r="N184" s="4">
        <v>0</v>
      </c>
      <c r="O184" s="4">
        <v>0</v>
      </c>
      <c r="P184" s="4">
        <v>0</v>
      </c>
      <c r="Q184" s="3" t="s">
        <v>55</v>
      </c>
      <c r="R184" s="3">
        <v>0</v>
      </c>
      <c r="S184" s="3" t="s">
        <v>217</v>
      </c>
      <c r="U184" s="3">
        <v>0</v>
      </c>
      <c r="V184" s="3">
        <v>5</v>
      </c>
      <c r="W184" s="3">
        <v>0</v>
      </c>
    </row>
    <row r="185" spans="1:23" ht="11.25" customHeight="1" x14ac:dyDescent="0.25">
      <c r="A185" s="3" t="s">
        <v>21</v>
      </c>
      <c r="B185" s="3" t="s">
        <v>35</v>
      </c>
      <c r="C185" s="3" t="s">
        <v>36</v>
      </c>
      <c r="D185" s="3" t="s">
        <v>34</v>
      </c>
      <c r="E185" s="3" t="s">
        <v>25</v>
      </c>
      <c r="F185" s="3" t="s">
        <v>54</v>
      </c>
      <c r="G185" s="3" t="s">
        <v>25</v>
      </c>
      <c r="H185" s="3" t="s">
        <v>38</v>
      </c>
      <c r="I185" s="6">
        <v>44621</v>
      </c>
      <c r="J185" s="4">
        <v>0</v>
      </c>
      <c r="K185" s="4">
        <v>0</v>
      </c>
      <c r="L185" s="4">
        <v>0.72499999999999998</v>
      </c>
      <c r="M185" s="4">
        <v>0.72499999999999998</v>
      </c>
      <c r="N185" s="4">
        <v>0</v>
      </c>
      <c r="O185" s="4">
        <v>0</v>
      </c>
      <c r="P185" s="4">
        <v>0</v>
      </c>
      <c r="Q185" s="3" t="s">
        <v>55</v>
      </c>
      <c r="R185" s="3">
        <v>0</v>
      </c>
      <c r="S185" s="3" t="s">
        <v>218</v>
      </c>
      <c r="U185" s="3">
        <v>0</v>
      </c>
      <c r="V185" s="3">
        <v>5</v>
      </c>
      <c r="W185" s="3">
        <v>0</v>
      </c>
    </row>
    <row r="186" spans="1:23" ht="11.25" customHeight="1" x14ac:dyDescent="0.25">
      <c r="A186" s="3" t="s">
        <v>21</v>
      </c>
      <c r="B186" s="3" t="s">
        <v>35</v>
      </c>
      <c r="C186" s="3" t="s">
        <v>36</v>
      </c>
      <c r="D186" s="3" t="s">
        <v>34</v>
      </c>
      <c r="E186" s="3" t="s">
        <v>25</v>
      </c>
      <c r="F186" s="3" t="s">
        <v>54</v>
      </c>
      <c r="G186" s="3" t="s">
        <v>25</v>
      </c>
      <c r="H186" s="3" t="s">
        <v>38</v>
      </c>
      <c r="I186" s="6">
        <v>44652</v>
      </c>
      <c r="J186" s="4">
        <v>0</v>
      </c>
      <c r="K186" s="4">
        <v>0</v>
      </c>
      <c r="L186" s="4">
        <v>2.2400000000000002</v>
      </c>
      <c r="M186" s="4">
        <v>2.2400000000000002</v>
      </c>
      <c r="N186" s="4">
        <v>0</v>
      </c>
      <c r="O186" s="4">
        <v>0</v>
      </c>
      <c r="P186" s="4">
        <v>0</v>
      </c>
      <c r="Q186" s="3" t="s">
        <v>55</v>
      </c>
      <c r="R186" s="3">
        <v>0</v>
      </c>
      <c r="S186" s="3" t="s">
        <v>219</v>
      </c>
      <c r="U186" s="3">
        <v>0</v>
      </c>
      <c r="V186" s="3">
        <v>5</v>
      </c>
      <c r="W186" s="3">
        <v>0</v>
      </c>
    </row>
    <row r="187" spans="1:23" ht="11.25" customHeight="1" x14ac:dyDescent="0.25">
      <c r="A187" s="3" t="s">
        <v>21</v>
      </c>
      <c r="B187" s="3" t="s">
        <v>35</v>
      </c>
      <c r="C187" s="3" t="s">
        <v>36</v>
      </c>
      <c r="D187" s="3" t="s">
        <v>34</v>
      </c>
      <c r="E187" s="3" t="s">
        <v>25</v>
      </c>
      <c r="F187" s="3" t="s">
        <v>54</v>
      </c>
      <c r="G187" s="3" t="s">
        <v>25</v>
      </c>
      <c r="H187" s="3" t="s">
        <v>38</v>
      </c>
      <c r="I187" s="6">
        <v>44682</v>
      </c>
      <c r="J187" s="4">
        <v>0</v>
      </c>
      <c r="K187" s="4">
        <v>0</v>
      </c>
      <c r="L187" s="4">
        <v>14.170999999999999</v>
      </c>
      <c r="M187" s="4">
        <v>14.170999999999999</v>
      </c>
      <c r="N187" s="4">
        <v>0</v>
      </c>
      <c r="O187" s="4">
        <v>0</v>
      </c>
      <c r="P187" s="4">
        <v>0</v>
      </c>
      <c r="Q187" s="3" t="s">
        <v>55</v>
      </c>
      <c r="R187" s="3">
        <v>0</v>
      </c>
      <c r="S187" s="3" t="s">
        <v>220</v>
      </c>
      <c r="U187" s="3">
        <v>0</v>
      </c>
      <c r="V187" s="3">
        <v>5</v>
      </c>
      <c r="W187" s="3">
        <v>0</v>
      </c>
    </row>
    <row r="188" spans="1:23" ht="11.25" customHeight="1" x14ac:dyDescent="0.25">
      <c r="A188" s="3" t="s">
        <v>21</v>
      </c>
      <c r="B188" s="3" t="s">
        <v>35</v>
      </c>
      <c r="C188" s="3" t="s">
        <v>36</v>
      </c>
      <c r="D188" s="3" t="s">
        <v>34</v>
      </c>
      <c r="E188" s="3" t="s">
        <v>25</v>
      </c>
      <c r="F188" s="3" t="s">
        <v>54</v>
      </c>
      <c r="G188" s="3" t="s">
        <v>25</v>
      </c>
      <c r="H188" s="3" t="s">
        <v>38</v>
      </c>
      <c r="I188" s="6">
        <v>44713</v>
      </c>
      <c r="J188" s="4">
        <v>0</v>
      </c>
      <c r="K188" s="4">
        <v>0</v>
      </c>
      <c r="L188" s="4">
        <v>9.1029999999999998</v>
      </c>
      <c r="M188" s="4">
        <v>9.1029999999999998</v>
      </c>
      <c r="N188" s="4">
        <v>0</v>
      </c>
      <c r="O188" s="4">
        <v>0</v>
      </c>
      <c r="P188" s="4">
        <v>0</v>
      </c>
      <c r="Q188" s="3" t="s">
        <v>55</v>
      </c>
      <c r="R188" s="3">
        <v>0</v>
      </c>
      <c r="S188" s="3" t="s">
        <v>221</v>
      </c>
      <c r="U188" s="3">
        <v>0</v>
      </c>
      <c r="V188" s="3">
        <v>5</v>
      </c>
      <c r="W188" s="3">
        <v>0</v>
      </c>
    </row>
    <row r="189" spans="1:23" ht="11.25" customHeight="1" x14ac:dyDescent="0.25">
      <c r="A189" s="3" t="s">
        <v>21</v>
      </c>
      <c r="B189" s="3" t="s">
        <v>35</v>
      </c>
      <c r="C189" s="3" t="s">
        <v>36</v>
      </c>
      <c r="D189" s="3" t="s">
        <v>34</v>
      </c>
      <c r="E189" s="3" t="s">
        <v>25</v>
      </c>
      <c r="F189" s="3" t="s">
        <v>54</v>
      </c>
      <c r="G189" s="3" t="s">
        <v>25</v>
      </c>
      <c r="H189" s="3" t="s">
        <v>38</v>
      </c>
      <c r="I189" s="6">
        <v>44743</v>
      </c>
      <c r="J189" s="4">
        <v>0</v>
      </c>
      <c r="K189" s="4">
        <v>0</v>
      </c>
      <c r="L189" s="4">
        <v>9.84</v>
      </c>
      <c r="M189" s="4">
        <v>9.84</v>
      </c>
      <c r="N189" s="4">
        <v>0</v>
      </c>
      <c r="O189" s="4">
        <v>0</v>
      </c>
      <c r="P189" s="4">
        <v>0</v>
      </c>
      <c r="Q189" s="3" t="s">
        <v>55</v>
      </c>
      <c r="R189" s="3">
        <v>0</v>
      </c>
      <c r="S189" s="3" t="s">
        <v>222</v>
      </c>
      <c r="U189" s="3">
        <v>0</v>
      </c>
      <c r="V189" s="3">
        <v>5</v>
      </c>
      <c r="W189" s="3">
        <v>0</v>
      </c>
    </row>
    <row r="190" spans="1:23" ht="11.25" customHeight="1" x14ac:dyDescent="0.25">
      <c r="A190" s="3" t="s">
        <v>21</v>
      </c>
      <c r="B190" s="3" t="s">
        <v>35</v>
      </c>
      <c r="C190" s="3" t="s">
        <v>36</v>
      </c>
      <c r="D190" s="3" t="s">
        <v>34</v>
      </c>
      <c r="E190" s="3" t="s">
        <v>25</v>
      </c>
      <c r="F190" s="3" t="s">
        <v>54</v>
      </c>
      <c r="G190" s="3" t="s">
        <v>25</v>
      </c>
      <c r="H190" s="3" t="s">
        <v>38</v>
      </c>
      <c r="I190" s="6">
        <v>44774</v>
      </c>
      <c r="J190" s="4">
        <v>0</v>
      </c>
      <c r="K190" s="4">
        <v>0</v>
      </c>
      <c r="L190" s="4">
        <v>9.7360000000000007</v>
      </c>
      <c r="M190" s="4">
        <v>9.7360000000000007</v>
      </c>
      <c r="N190" s="4">
        <v>0</v>
      </c>
      <c r="O190" s="4">
        <v>0</v>
      </c>
      <c r="P190" s="4">
        <v>0</v>
      </c>
      <c r="Q190" s="3" t="s">
        <v>55</v>
      </c>
      <c r="R190" s="3">
        <v>0</v>
      </c>
      <c r="S190" s="3" t="s">
        <v>223</v>
      </c>
      <c r="U190" s="3">
        <v>0</v>
      </c>
      <c r="V190" s="3">
        <v>5</v>
      </c>
      <c r="W190" s="3">
        <v>0</v>
      </c>
    </row>
    <row r="191" spans="1:23" ht="11.25" customHeight="1" x14ac:dyDescent="0.25">
      <c r="A191" s="3" t="s">
        <v>21</v>
      </c>
      <c r="B191" s="3" t="s">
        <v>35</v>
      </c>
      <c r="C191" s="3" t="s">
        <v>36</v>
      </c>
      <c r="D191" s="3" t="s">
        <v>34</v>
      </c>
      <c r="E191" s="3" t="s">
        <v>25</v>
      </c>
      <c r="F191" s="3" t="s">
        <v>54</v>
      </c>
      <c r="G191" s="3" t="s">
        <v>25</v>
      </c>
      <c r="H191" s="3" t="s">
        <v>25</v>
      </c>
      <c r="I191" s="6">
        <v>44440</v>
      </c>
      <c r="J191" s="4">
        <v>234</v>
      </c>
      <c r="K191" s="4">
        <v>234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3" t="s">
        <v>55</v>
      </c>
      <c r="R191" s="3">
        <v>0</v>
      </c>
      <c r="S191" s="3" t="s">
        <v>188</v>
      </c>
      <c r="U191" s="3">
        <v>9</v>
      </c>
      <c r="V191" s="3">
        <v>0</v>
      </c>
      <c r="W191" s="3">
        <v>0</v>
      </c>
    </row>
    <row r="192" spans="1:23" ht="11.25" customHeight="1" x14ac:dyDescent="0.25">
      <c r="A192" s="3" t="s">
        <v>21</v>
      </c>
      <c r="B192" s="3" t="s">
        <v>35</v>
      </c>
      <c r="C192" s="3" t="s">
        <v>36</v>
      </c>
      <c r="D192" s="3" t="s">
        <v>34</v>
      </c>
      <c r="E192" s="3" t="s">
        <v>25</v>
      </c>
      <c r="F192" s="3" t="s">
        <v>54</v>
      </c>
      <c r="G192" s="3" t="s">
        <v>25</v>
      </c>
      <c r="H192" s="3" t="s">
        <v>25</v>
      </c>
      <c r="I192" s="6">
        <v>44470</v>
      </c>
      <c r="J192" s="4">
        <v>132</v>
      </c>
      <c r="K192" s="4">
        <v>132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3" t="s">
        <v>55</v>
      </c>
      <c r="R192" s="3">
        <v>0</v>
      </c>
      <c r="S192" s="3" t="s">
        <v>189</v>
      </c>
      <c r="U192" s="3">
        <v>9</v>
      </c>
      <c r="V192" s="3">
        <v>0</v>
      </c>
      <c r="W192" s="3">
        <v>0</v>
      </c>
    </row>
    <row r="193" spans="1:23" ht="11.25" customHeight="1" x14ac:dyDescent="0.25">
      <c r="A193" s="3" t="s">
        <v>21</v>
      </c>
      <c r="B193" s="3" t="s">
        <v>35</v>
      </c>
      <c r="C193" s="3" t="s">
        <v>36</v>
      </c>
      <c r="D193" s="3" t="s">
        <v>34</v>
      </c>
      <c r="E193" s="3" t="s">
        <v>25</v>
      </c>
      <c r="F193" s="3" t="s">
        <v>54</v>
      </c>
      <c r="G193" s="3" t="s">
        <v>25</v>
      </c>
      <c r="H193" s="3" t="s">
        <v>25</v>
      </c>
      <c r="I193" s="6">
        <v>44501</v>
      </c>
      <c r="J193" s="4">
        <v>368</v>
      </c>
      <c r="K193" s="4">
        <v>368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3" t="s">
        <v>55</v>
      </c>
      <c r="R193" s="3">
        <v>0</v>
      </c>
      <c r="S193" s="3" t="s">
        <v>190</v>
      </c>
      <c r="U193" s="3">
        <v>9</v>
      </c>
      <c r="V193" s="3">
        <v>0</v>
      </c>
      <c r="W193" s="3">
        <v>0</v>
      </c>
    </row>
    <row r="194" spans="1:23" ht="11.25" customHeight="1" x14ac:dyDescent="0.25">
      <c r="A194" s="3" t="s">
        <v>21</v>
      </c>
      <c r="B194" s="3" t="s">
        <v>35</v>
      </c>
      <c r="C194" s="3" t="s">
        <v>36</v>
      </c>
      <c r="D194" s="3" t="s">
        <v>34</v>
      </c>
      <c r="E194" s="3" t="s">
        <v>25</v>
      </c>
      <c r="F194" s="3" t="s">
        <v>54</v>
      </c>
      <c r="G194" s="3" t="s">
        <v>25</v>
      </c>
      <c r="H194" s="3" t="s">
        <v>25</v>
      </c>
      <c r="I194" s="6">
        <v>44531</v>
      </c>
      <c r="J194" s="4">
        <v>261</v>
      </c>
      <c r="K194" s="4">
        <v>261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3" t="s">
        <v>55</v>
      </c>
      <c r="R194" s="3">
        <v>0</v>
      </c>
      <c r="S194" s="3" t="s">
        <v>191</v>
      </c>
      <c r="U194" s="3">
        <v>9</v>
      </c>
      <c r="V194" s="3">
        <v>0</v>
      </c>
      <c r="W194" s="3">
        <v>0</v>
      </c>
    </row>
    <row r="195" spans="1:23" ht="11.25" customHeight="1" x14ac:dyDescent="0.25">
      <c r="A195" s="3" t="s">
        <v>21</v>
      </c>
      <c r="B195" s="3" t="s">
        <v>35</v>
      </c>
      <c r="C195" s="3" t="s">
        <v>36</v>
      </c>
      <c r="D195" s="3" t="s">
        <v>34</v>
      </c>
      <c r="E195" s="3" t="s">
        <v>25</v>
      </c>
      <c r="F195" s="3" t="s">
        <v>54</v>
      </c>
      <c r="G195" s="3" t="s">
        <v>25</v>
      </c>
      <c r="H195" s="3" t="s">
        <v>25</v>
      </c>
      <c r="I195" s="6">
        <v>44562</v>
      </c>
      <c r="J195" s="4">
        <v>396</v>
      </c>
      <c r="K195" s="4">
        <v>396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3" t="s">
        <v>55</v>
      </c>
      <c r="R195" s="3">
        <v>0</v>
      </c>
      <c r="S195" s="3" t="s">
        <v>192</v>
      </c>
      <c r="U195" s="3">
        <v>9</v>
      </c>
      <c r="V195" s="3">
        <v>0</v>
      </c>
      <c r="W195" s="3">
        <v>0</v>
      </c>
    </row>
    <row r="196" spans="1:23" ht="11.25" customHeight="1" x14ac:dyDescent="0.25">
      <c r="A196" s="3" t="s">
        <v>21</v>
      </c>
      <c r="B196" s="3" t="s">
        <v>35</v>
      </c>
      <c r="C196" s="3" t="s">
        <v>36</v>
      </c>
      <c r="D196" s="3" t="s">
        <v>34</v>
      </c>
      <c r="E196" s="3" t="s">
        <v>25</v>
      </c>
      <c r="F196" s="3" t="s">
        <v>54</v>
      </c>
      <c r="G196" s="3" t="s">
        <v>25</v>
      </c>
      <c r="H196" s="3" t="s">
        <v>25</v>
      </c>
      <c r="I196" s="6">
        <v>44593</v>
      </c>
      <c r="J196" s="4">
        <v>380</v>
      </c>
      <c r="K196" s="4">
        <v>380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3" t="s">
        <v>55</v>
      </c>
      <c r="R196" s="3">
        <v>0</v>
      </c>
      <c r="S196" s="3" t="s">
        <v>193</v>
      </c>
      <c r="U196" s="3">
        <v>9</v>
      </c>
      <c r="V196" s="3">
        <v>0</v>
      </c>
      <c r="W196" s="3">
        <v>0</v>
      </c>
    </row>
    <row r="197" spans="1:23" ht="11.25" customHeight="1" x14ac:dyDescent="0.25">
      <c r="A197" s="3" t="s">
        <v>21</v>
      </c>
      <c r="B197" s="3" t="s">
        <v>35</v>
      </c>
      <c r="C197" s="3" t="s">
        <v>36</v>
      </c>
      <c r="D197" s="3" t="s">
        <v>34</v>
      </c>
      <c r="E197" s="3" t="s">
        <v>25</v>
      </c>
      <c r="F197" s="3" t="s">
        <v>54</v>
      </c>
      <c r="G197" s="3" t="s">
        <v>25</v>
      </c>
      <c r="H197" s="3" t="s">
        <v>25</v>
      </c>
      <c r="I197" s="6">
        <v>44621</v>
      </c>
      <c r="J197" s="4">
        <v>174</v>
      </c>
      <c r="K197" s="4">
        <v>174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3" t="s">
        <v>55</v>
      </c>
      <c r="R197" s="3">
        <v>0</v>
      </c>
      <c r="S197" s="3" t="s">
        <v>194</v>
      </c>
      <c r="U197" s="3">
        <v>9</v>
      </c>
      <c r="V197" s="3">
        <v>0</v>
      </c>
      <c r="W197" s="3">
        <v>0</v>
      </c>
    </row>
    <row r="198" spans="1:23" ht="11.25" customHeight="1" x14ac:dyDescent="0.25">
      <c r="A198" s="3" t="s">
        <v>21</v>
      </c>
      <c r="B198" s="3" t="s">
        <v>35</v>
      </c>
      <c r="C198" s="3" t="s">
        <v>36</v>
      </c>
      <c r="D198" s="3" t="s">
        <v>34</v>
      </c>
      <c r="E198" s="3" t="s">
        <v>25</v>
      </c>
      <c r="F198" s="3" t="s">
        <v>54</v>
      </c>
      <c r="G198" s="3" t="s">
        <v>25</v>
      </c>
      <c r="H198" s="3" t="s">
        <v>25</v>
      </c>
      <c r="I198" s="6">
        <v>44652</v>
      </c>
      <c r="J198" s="4">
        <v>237</v>
      </c>
      <c r="K198" s="4">
        <v>237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3" t="s">
        <v>55</v>
      </c>
      <c r="R198" s="3">
        <v>0</v>
      </c>
      <c r="S198" s="3" t="s">
        <v>195</v>
      </c>
      <c r="U198" s="3">
        <v>9</v>
      </c>
      <c r="V198" s="3">
        <v>0</v>
      </c>
      <c r="W198" s="3">
        <v>0</v>
      </c>
    </row>
    <row r="199" spans="1:23" ht="11.25" customHeight="1" x14ac:dyDescent="0.25">
      <c r="A199" s="3" t="s">
        <v>21</v>
      </c>
      <c r="B199" s="3" t="s">
        <v>35</v>
      </c>
      <c r="C199" s="3" t="s">
        <v>36</v>
      </c>
      <c r="D199" s="3" t="s">
        <v>34</v>
      </c>
      <c r="E199" s="3" t="s">
        <v>25</v>
      </c>
      <c r="F199" s="3" t="s">
        <v>54</v>
      </c>
      <c r="G199" s="3" t="s">
        <v>25</v>
      </c>
      <c r="H199" s="3" t="s">
        <v>25</v>
      </c>
      <c r="I199" s="6">
        <v>44682</v>
      </c>
      <c r="J199" s="4">
        <v>420</v>
      </c>
      <c r="K199" s="4">
        <v>420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3" t="s">
        <v>55</v>
      </c>
      <c r="R199" s="3">
        <v>0</v>
      </c>
      <c r="S199" s="3" t="s">
        <v>196</v>
      </c>
      <c r="U199" s="3">
        <v>9</v>
      </c>
      <c r="V199" s="3">
        <v>0</v>
      </c>
      <c r="W199" s="3">
        <v>0</v>
      </c>
    </row>
    <row r="200" spans="1:23" ht="11.25" customHeight="1" x14ac:dyDescent="0.25">
      <c r="A200" s="3" t="s">
        <v>21</v>
      </c>
      <c r="B200" s="3" t="s">
        <v>35</v>
      </c>
      <c r="C200" s="3" t="s">
        <v>36</v>
      </c>
      <c r="D200" s="3" t="s">
        <v>34</v>
      </c>
      <c r="E200" s="3" t="s">
        <v>25</v>
      </c>
      <c r="F200" s="3" t="s">
        <v>54</v>
      </c>
      <c r="G200" s="3" t="s">
        <v>25</v>
      </c>
      <c r="H200" s="3" t="s">
        <v>25</v>
      </c>
      <c r="I200" s="6">
        <v>44713</v>
      </c>
      <c r="J200" s="4">
        <v>391</v>
      </c>
      <c r="K200" s="4">
        <v>391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3" t="s">
        <v>55</v>
      </c>
      <c r="R200" s="3">
        <v>0</v>
      </c>
      <c r="S200" s="3" t="s">
        <v>197</v>
      </c>
      <c r="U200" s="3">
        <v>9</v>
      </c>
      <c r="V200" s="3">
        <v>0</v>
      </c>
      <c r="W200" s="3">
        <v>0</v>
      </c>
    </row>
    <row r="201" spans="1:23" ht="11.25" customHeight="1" x14ac:dyDescent="0.25">
      <c r="A201" s="3" t="s">
        <v>21</v>
      </c>
      <c r="B201" s="3" t="s">
        <v>35</v>
      </c>
      <c r="C201" s="3" t="s">
        <v>36</v>
      </c>
      <c r="D201" s="3" t="s">
        <v>34</v>
      </c>
      <c r="E201" s="3" t="s">
        <v>25</v>
      </c>
      <c r="F201" s="3" t="s">
        <v>54</v>
      </c>
      <c r="G201" s="3" t="s">
        <v>25</v>
      </c>
      <c r="H201" s="3" t="s">
        <v>25</v>
      </c>
      <c r="I201" s="6">
        <v>44743</v>
      </c>
      <c r="J201" s="4">
        <v>257</v>
      </c>
      <c r="K201" s="4">
        <v>257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3" t="s">
        <v>55</v>
      </c>
      <c r="R201" s="3">
        <v>0</v>
      </c>
      <c r="S201" s="3" t="s">
        <v>198</v>
      </c>
      <c r="U201" s="3">
        <v>9</v>
      </c>
      <c r="V201" s="3">
        <v>0</v>
      </c>
      <c r="W201" s="3">
        <v>0</v>
      </c>
    </row>
    <row r="202" spans="1:23" ht="11.25" customHeight="1" x14ac:dyDescent="0.25">
      <c r="A202" s="3" t="s">
        <v>21</v>
      </c>
      <c r="B202" s="3" t="s">
        <v>35</v>
      </c>
      <c r="C202" s="3" t="s">
        <v>36</v>
      </c>
      <c r="D202" s="3" t="s">
        <v>34</v>
      </c>
      <c r="E202" s="3" t="s">
        <v>25</v>
      </c>
      <c r="F202" s="3" t="s">
        <v>54</v>
      </c>
      <c r="G202" s="3" t="s">
        <v>25</v>
      </c>
      <c r="H202" s="3" t="s">
        <v>25</v>
      </c>
      <c r="I202" s="6">
        <v>44774</v>
      </c>
      <c r="J202" s="4">
        <v>590</v>
      </c>
      <c r="K202" s="4">
        <v>590</v>
      </c>
      <c r="L202" s="4">
        <v>0</v>
      </c>
      <c r="M202" s="4">
        <v>0</v>
      </c>
      <c r="N202" s="4">
        <v>0</v>
      </c>
      <c r="O202" s="4">
        <v>0</v>
      </c>
      <c r="P202" s="4">
        <v>2</v>
      </c>
      <c r="Q202" s="3" t="s">
        <v>55</v>
      </c>
      <c r="R202" s="3">
        <v>0</v>
      </c>
      <c r="S202" s="3" t="s">
        <v>199</v>
      </c>
      <c r="U202" s="3">
        <v>9</v>
      </c>
      <c r="V202" s="3">
        <v>0</v>
      </c>
      <c r="W202" s="3">
        <v>0</v>
      </c>
    </row>
    <row r="203" spans="1:23" ht="11.25" customHeight="1" x14ac:dyDescent="0.25">
      <c r="A203" s="3" t="s">
        <v>21</v>
      </c>
      <c r="B203" s="3" t="s">
        <v>35</v>
      </c>
      <c r="C203" s="3" t="s">
        <v>36</v>
      </c>
      <c r="D203" s="3" t="s">
        <v>34</v>
      </c>
      <c r="E203" s="3" t="s">
        <v>25</v>
      </c>
      <c r="F203" s="3" t="s">
        <v>54</v>
      </c>
      <c r="G203" s="3" t="s">
        <v>25</v>
      </c>
      <c r="H203" s="3" t="s">
        <v>37</v>
      </c>
      <c r="I203" s="6">
        <v>44531</v>
      </c>
      <c r="J203" s="4">
        <v>0</v>
      </c>
      <c r="K203" s="4">
        <v>0</v>
      </c>
      <c r="L203" s="4">
        <v>2.7E-2</v>
      </c>
      <c r="M203" s="4">
        <v>2.7E-2</v>
      </c>
      <c r="N203" s="4">
        <v>0</v>
      </c>
      <c r="O203" s="4">
        <v>0</v>
      </c>
      <c r="P203" s="4">
        <v>0</v>
      </c>
      <c r="Q203" s="3" t="s">
        <v>55</v>
      </c>
      <c r="R203" s="3">
        <v>0</v>
      </c>
      <c r="S203" s="3" t="s">
        <v>224</v>
      </c>
      <c r="U203" s="3">
        <v>0</v>
      </c>
      <c r="V203" s="3">
        <v>4</v>
      </c>
      <c r="W203" s="3">
        <v>0</v>
      </c>
    </row>
    <row r="204" spans="1:23" ht="11.25" customHeight="1" x14ac:dyDescent="0.25">
      <c r="A204" s="3" t="s">
        <v>21</v>
      </c>
      <c r="B204" s="3" t="s">
        <v>35</v>
      </c>
      <c r="C204" s="3" t="s">
        <v>36</v>
      </c>
      <c r="D204" s="3" t="s">
        <v>34</v>
      </c>
      <c r="E204" s="3" t="s">
        <v>25</v>
      </c>
      <c r="F204" s="3" t="s">
        <v>54</v>
      </c>
      <c r="G204" s="3" t="s">
        <v>25</v>
      </c>
      <c r="H204" s="3" t="s">
        <v>37</v>
      </c>
      <c r="I204" s="6">
        <v>44562</v>
      </c>
      <c r="J204" s="4">
        <v>0</v>
      </c>
      <c r="K204" s="4">
        <v>0</v>
      </c>
      <c r="L204" s="4">
        <v>0.25600000000000001</v>
      </c>
      <c r="M204" s="4">
        <v>0.25600000000000001</v>
      </c>
      <c r="N204" s="4">
        <v>0</v>
      </c>
      <c r="O204" s="4">
        <v>0</v>
      </c>
      <c r="P204" s="4">
        <v>0</v>
      </c>
      <c r="Q204" s="3" t="s">
        <v>55</v>
      </c>
      <c r="R204" s="3">
        <v>0</v>
      </c>
      <c r="S204" s="3" t="s">
        <v>225</v>
      </c>
      <c r="U204" s="3">
        <v>0</v>
      </c>
      <c r="V204" s="3">
        <v>4</v>
      </c>
      <c r="W204" s="3">
        <v>0</v>
      </c>
    </row>
    <row r="205" spans="1:23" ht="11.25" customHeight="1" x14ac:dyDescent="0.25">
      <c r="A205" s="3" t="s">
        <v>21</v>
      </c>
      <c r="B205" s="3" t="s">
        <v>35</v>
      </c>
      <c r="C205" s="3" t="s">
        <v>36</v>
      </c>
      <c r="D205" s="3" t="s">
        <v>34</v>
      </c>
      <c r="E205" s="3" t="s">
        <v>25</v>
      </c>
      <c r="F205" s="3" t="s">
        <v>54</v>
      </c>
      <c r="G205" s="3" t="s">
        <v>25</v>
      </c>
      <c r="H205" s="3" t="s">
        <v>37</v>
      </c>
      <c r="I205" s="6">
        <v>44621</v>
      </c>
      <c r="J205" s="4">
        <v>0</v>
      </c>
      <c r="K205" s="4">
        <v>0</v>
      </c>
      <c r="L205" s="4">
        <v>5.1999999999999998E-2</v>
      </c>
      <c r="M205" s="4">
        <v>5.1999999999999998E-2</v>
      </c>
      <c r="N205" s="4">
        <v>0</v>
      </c>
      <c r="O205" s="4">
        <v>0</v>
      </c>
      <c r="P205" s="4">
        <v>0</v>
      </c>
      <c r="Q205" s="3" t="s">
        <v>55</v>
      </c>
      <c r="R205" s="3">
        <v>0</v>
      </c>
      <c r="S205" s="3" t="s">
        <v>226</v>
      </c>
      <c r="U205" s="3">
        <v>0</v>
      </c>
      <c r="V205" s="3">
        <v>4</v>
      </c>
      <c r="W205" s="3">
        <v>0</v>
      </c>
    </row>
    <row r="206" spans="1:23" ht="11.25" customHeight="1" x14ac:dyDescent="0.25">
      <c r="A206" s="3" t="s">
        <v>21</v>
      </c>
      <c r="B206" s="3" t="s">
        <v>35</v>
      </c>
      <c r="C206" s="3" t="s">
        <v>36</v>
      </c>
      <c r="D206" s="3" t="s">
        <v>34</v>
      </c>
      <c r="E206" s="3" t="s">
        <v>25</v>
      </c>
      <c r="F206" s="3" t="s">
        <v>54</v>
      </c>
      <c r="G206" s="3" t="s">
        <v>25</v>
      </c>
      <c r="H206" s="3" t="s">
        <v>37</v>
      </c>
      <c r="I206" s="6">
        <v>44682</v>
      </c>
      <c r="J206" s="4">
        <v>0</v>
      </c>
      <c r="K206" s="4">
        <v>0</v>
      </c>
      <c r="L206" s="4">
        <v>0.52300000000000002</v>
      </c>
      <c r="M206" s="4">
        <v>0.52300000000000002</v>
      </c>
      <c r="N206" s="4">
        <v>0</v>
      </c>
      <c r="O206" s="4">
        <v>0</v>
      </c>
      <c r="P206" s="4">
        <v>0</v>
      </c>
      <c r="Q206" s="3" t="s">
        <v>55</v>
      </c>
      <c r="R206" s="3">
        <v>0</v>
      </c>
      <c r="S206" s="3" t="s">
        <v>227</v>
      </c>
      <c r="U206" s="3">
        <v>0</v>
      </c>
      <c r="V206" s="3">
        <v>4</v>
      </c>
      <c r="W206" s="3">
        <v>0</v>
      </c>
    </row>
    <row r="207" spans="1:23" ht="11.25" customHeight="1" x14ac:dyDescent="0.25">
      <c r="A207" s="3" t="s">
        <v>21</v>
      </c>
      <c r="B207" s="3" t="s">
        <v>35</v>
      </c>
      <c r="C207" s="3" t="s">
        <v>36</v>
      </c>
      <c r="D207" s="3" t="s">
        <v>34</v>
      </c>
      <c r="E207" s="3" t="s">
        <v>25</v>
      </c>
      <c r="F207" s="3" t="s">
        <v>54</v>
      </c>
      <c r="G207" s="3" t="s">
        <v>25</v>
      </c>
      <c r="H207" s="3" t="s">
        <v>37</v>
      </c>
      <c r="I207" s="6">
        <v>44743</v>
      </c>
      <c r="J207" s="4">
        <v>0</v>
      </c>
      <c r="K207" s="4">
        <v>0</v>
      </c>
      <c r="L207" s="4">
        <v>0.114</v>
      </c>
      <c r="M207" s="4">
        <v>0.114</v>
      </c>
      <c r="N207" s="4">
        <v>0</v>
      </c>
      <c r="O207" s="4">
        <v>0</v>
      </c>
      <c r="P207" s="4">
        <v>0</v>
      </c>
      <c r="Q207" s="3" t="s">
        <v>55</v>
      </c>
      <c r="R207" s="3">
        <v>0</v>
      </c>
      <c r="S207" s="3" t="s">
        <v>228</v>
      </c>
      <c r="U207" s="3">
        <v>0</v>
      </c>
      <c r="V207" s="3">
        <v>4</v>
      </c>
      <c r="W207" s="3">
        <v>0</v>
      </c>
    </row>
    <row r="208" spans="1:23" ht="11.25" customHeight="1" x14ac:dyDescent="0.25">
      <c r="A208" s="3" t="s">
        <v>21</v>
      </c>
      <c r="B208" s="3" t="s">
        <v>35</v>
      </c>
      <c r="C208" s="3" t="s">
        <v>36</v>
      </c>
      <c r="D208" s="3" t="s">
        <v>34</v>
      </c>
      <c r="E208" s="3" t="s">
        <v>25</v>
      </c>
      <c r="F208" s="3" t="s">
        <v>54</v>
      </c>
      <c r="G208" s="3" t="s">
        <v>25</v>
      </c>
      <c r="H208" s="3" t="s">
        <v>37</v>
      </c>
      <c r="I208" s="6">
        <v>44774</v>
      </c>
      <c r="J208" s="4">
        <v>0</v>
      </c>
      <c r="K208" s="4">
        <v>0</v>
      </c>
      <c r="L208" s="4">
        <v>0.06</v>
      </c>
      <c r="M208" s="4">
        <v>0.06</v>
      </c>
      <c r="N208" s="4">
        <v>0</v>
      </c>
      <c r="O208" s="4">
        <v>0</v>
      </c>
      <c r="P208" s="4">
        <v>0</v>
      </c>
      <c r="Q208" s="3" t="s">
        <v>55</v>
      </c>
      <c r="R208" s="3">
        <v>0</v>
      </c>
      <c r="S208" s="3" t="s">
        <v>229</v>
      </c>
      <c r="U208" s="3">
        <v>0</v>
      </c>
      <c r="V208" s="3">
        <v>4</v>
      </c>
      <c r="W208" s="3">
        <v>0</v>
      </c>
    </row>
    <row r="209" spans="1:23" ht="11.25" customHeight="1" x14ac:dyDescent="0.25">
      <c r="A209" s="3" t="s">
        <v>21</v>
      </c>
      <c r="B209" s="3" t="s">
        <v>35</v>
      </c>
      <c r="C209" s="3" t="s">
        <v>36</v>
      </c>
      <c r="D209" s="3" t="s">
        <v>34</v>
      </c>
      <c r="E209" s="3" t="s">
        <v>25</v>
      </c>
      <c r="F209" s="3" t="s">
        <v>25</v>
      </c>
      <c r="G209" s="3" t="s">
        <v>25</v>
      </c>
      <c r="H209" s="3" t="s">
        <v>38</v>
      </c>
      <c r="I209" s="6">
        <v>44440</v>
      </c>
      <c r="J209" s="4">
        <v>0</v>
      </c>
      <c r="K209" s="4">
        <v>0</v>
      </c>
      <c r="L209" s="4">
        <v>3253.942</v>
      </c>
      <c r="M209" s="4">
        <v>3253.942</v>
      </c>
      <c r="N209" s="4">
        <v>3253.942</v>
      </c>
      <c r="O209" s="4">
        <v>3253.942</v>
      </c>
      <c r="P209" s="4">
        <v>0</v>
      </c>
      <c r="Q209" s="3" t="s">
        <v>26</v>
      </c>
      <c r="R209" s="3">
        <v>0</v>
      </c>
      <c r="S209" s="3" t="s">
        <v>176</v>
      </c>
      <c r="T209" s="3" t="s">
        <v>327</v>
      </c>
      <c r="U209" s="3">
        <v>0</v>
      </c>
      <c r="V209" s="3">
        <v>13</v>
      </c>
      <c r="W209" s="3">
        <v>69</v>
      </c>
    </row>
    <row r="210" spans="1:23" ht="11.25" customHeight="1" x14ac:dyDescent="0.25">
      <c r="A210" s="3" t="s">
        <v>28</v>
      </c>
      <c r="B210" s="3" t="s">
        <v>35</v>
      </c>
      <c r="C210" s="3" t="s">
        <v>36</v>
      </c>
      <c r="D210" s="3" t="s">
        <v>34</v>
      </c>
      <c r="E210" s="3" t="s">
        <v>25</v>
      </c>
      <c r="F210" s="3" t="s">
        <v>25</v>
      </c>
      <c r="G210" s="3" t="s">
        <v>25</v>
      </c>
      <c r="H210" s="3" t="s">
        <v>38</v>
      </c>
      <c r="I210" s="6">
        <v>44440</v>
      </c>
      <c r="J210" s="4">
        <v>0</v>
      </c>
      <c r="K210" s="4">
        <v>0</v>
      </c>
      <c r="L210" s="4">
        <v>25.477</v>
      </c>
      <c r="M210" s="4">
        <v>25.477</v>
      </c>
      <c r="N210" s="4">
        <v>25.477</v>
      </c>
      <c r="O210" s="4">
        <v>25.477</v>
      </c>
      <c r="P210" s="4">
        <v>0</v>
      </c>
      <c r="Q210" s="3" t="s">
        <v>26</v>
      </c>
      <c r="R210" s="3">
        <v>0</v>
      </c>
      <c r="S210" s="3" t="s">
        <v>176</v>
      </c>
      <c r="T210" s="3" t="s">
        <v>327</v>
      </c>
      <c r="U210" s="3">
        <v>0</v>
      </c>
      <c r="V210" s="3">
        <v>13</v>
      </c>
      <c r="W210" s="3">
        <v>69</v>
      </c>
    </row>
    <row r="211" spans="1:23" ht="11.25" customHeight="1" x14ac:dyDescent="0.25">
      <c r="A211" s="3" t="s">
        <v>21</v>
      </c>
      <c r="B211" s="3" t="s">
        <v>35</v>
      </c>
      <c r="C211" s="3" t="s">
        <v>36</v>
      </c>
      <c r="D211" s="3" t="s">
        <v>34</v>
      </c>
      <c r="E211" s="3" t="s">
        <v>25</v>
      </c>
      <c r="F211" s="3" t="s">
        <v>25</v>
      </c>
      <c r="G211" s="3" t="s">
        <v>25</v>
      </c>
      <c r="H211" s="3" t="s">
        <v>38</v>
      </c>
      <c r="I211" s="6">
        <v>44470</v>
      </c>
      <c r="J211" s="4">
        <v>0</v>
      </c>
      <c r="K211" s="4">
        <v>0</v>
      </c>
      <c r="L211" s="4">
        <v>3176.6480000000001</v>
      </c>
      <c r="M211" s="4">
        <v>3176.6480000000001</v>
      </c>
      <c r="N211" s="4">
        <v>3176.6480000000001</v>
      </c>
      <c r="O211" s="4">
        <v>3176.6480000000001</v>
      </c>
      <c r="P211" s="4">
        <v>0</v>
      </c>
      <c r="Q211" s="3" t="s">
        <v>26</v>
      </c>
      <c r="R211" s="3">
        <v>0</v>
      </c>
      <c r="S211" s="3" t="s">
        <v>177</v>
      </c>
      <c r="T211" s="3" t="s">
        <v>328</v>
      </c>
      <c r="U211" s="3">
        <v>0</v>
      </c>
      <c r="V211" s="3">
        <v>13</v>
      </c>
      <c r="W211" s="3">
        <v>69</v>
      </c>
    </row>
    <row r="212" spans="1:23" ht="11.25" customHeight="1" x14ac:dyDescent="0.25">
      <c r="A212" s="3" t="s">
        <v>28</v>
      </c>
      <c r="B212" s="3" t="s">
        <v>35</v>
      </c>
      <c r="C212" s="3" t="s">
        <v>36</v>
      </c>
      <c r="D212" s="3" t="s">
        <v>34</v>
      </c>
      <c r="E212" s="3" t="s">
        <v>25</v>
      </c>
      <c r="F212" s="3" t="s">
        <v>25</v>
      </c>
      <c r="G212" s="3" t="s">
        <v>25</v>
      </c>
      <c r="H212" s="3" t="s">
        <v>38</v>
      </c>
      <c r="I212" s="6">
        <v>44470</v>
      </c>
      <c r="J212" s="4">
        <v>0</v>
      </c>
      <c r="K212" s="4">
        <v>0</v>
      </c>
      <c r="L212" s="4">
        <v>48.094000000000001</v>
      </c>
      <c r="M212" s="4">
        <v>48.094000000000001</v>
      </c>
      <c r="N212" s="4">
        <v>48.094000000000001</v>
      </c>
      <c r="O212" s="4">
        <v>48.094000000000001</v>
      </c>
      <c r="P212" s="4">
        <v>0</v>
      </c>
      <c r="Q212" s="3" t="s">
        <v>26</v>
      </c>
      <c r="R212" s="3">
        <v>0</v>
      </c>
      <c r="S212" s="3" t="s">
        <v>177</v>
      </c>
      <c r="T212" s="3" t="s">
        <v>328</v>
      </c>
      <c r="U212" s="3">
        <v>0</v>
      </c>
      <c r="V212" s="3">
        <v>13</v>
      </c>
      <c r="W212" s="3">
        <v>69</v>
      </c>
    </row>
    <row r="213" spans="1:23" ht="11.25" customHeight="1" x14ac:dyDescent="0.25">
      <c r="A213" s="3" t="s">
        <v>21</v>
      </c>
      <c r="B213" s="3" t="s">
        <v>35</v>
      </c>
      <c r="C213" s="3" t="s">
        <v>36</v>
      </c>
      <c r="D213" s="3" t="s">
        <v>34</v>
      </c>
      <c r="E213" s="3" t="s">
        <v>25</v>
      </c>
      <c r="F213" s="3" t="s">
        <v>25</v>
      </c>
      <c r="G213" s="3" t="s">
        <v>25</v>
      </c>
      <c r="H213" s="3" t="s">
        <v>38</v>
      </c>
      <c r="I213" s="6">
        <v>44501</v>
      </c>
      <c r="J213" s="4">
        <v>0</v>
      </c>
      <c r="K213" s="4">
        <v>0</v>
      </c>
      <c r="L213" s="4">
        <v>3155.5859999999998</v>
      </c>
      <c r="M213" s="4">
        <v>3155.5859999999998</v>
      </c>
      <c r="N213" s="4">
        <v>3155.5859999999998</v>
      </c>
      <c r="O213" s="4">
        <v>3155.5859999999998</v>
      </c>
      <c r="P213" s="4">
        <v>0</v>
      </c>
      <c r="Q213" s="3" t="s">
        <v>26</v>
      </c>
      <c r="R213" s="3">
        <v>0</v>
      </c>
      <c r="S213" s="3" t="s">
        <v>178</v>
      </c>
      <c r="T213" s="3" t="s">
        <v>329</v>
      </c>
      <c r="U213" s="3">
        <v>0</v>
      </c>
      <c r="V213" s="3">
        <v>13</v>
      </c>
      <c r="W213" s="3">
        <v>69</v>
      </c>
    </row>
    <row r="214" spans="1:23" ht="11.25" customHeight="1" x14ac:dyDescent="0.25">
      <c r="A214" s="3" t="s">
        <v>28</v>
      </c>
      <c r="B214" s="3" t="s">
        <v>35</v>
      </c>
      <c r="C214" s="3" t="s">
        <v>36</v>
      </c>
      <c r="D214" s="3" t="s">
        <v>34</v>
      </c>
      <c r="E214" s="3" t="s">
        <v>25</v>
      </c>
      <c r="F214" s="3" t="s">
        <v>25</v>
      </c>
      <c r="G214" s="3" t="s">
        <v>25</v>
      </c>
      <c r="H214" s="3" t="s">
        <v>38</v>
      </c>
      <c r="I214" s="6">
        <v>44501</v>
      </c>
      <c r="J214" s="4">
        <v>0</v>
      </c>
      <c r="K214" s="4">
        <v>0</v>
      </c>
      <c r="L214" s="4">
        <v>45.576000000000001</v>
      </c>
      <c r="M214" s="4">
        <v>45.576000000000001</v>
      </c>
      <c r="N214" s="4">
        <v>45.576000000000001</v>
      </c>
      <c r="O214" s="4">
        <v>45.576000000000001</v>
      </c>
      <c r="P214" s="4">
        <v>0</v>
      </c>
      <c r="Q214" s="3" t="s">
        <v>26</v>
      </c>
      <c r="R214" s="3">
        <v>0</v>
      </c>
      <c r="S214" s="3" t="s">
        <v>178</v>
      </c>
      <c r="T214" s="3" t="s">
        <v>329</v>
      </c>
      <c r="U214" s="3">
        <v>0</v>
      </c>
      <c r="V214" s="3">
        <v>13</v>
      </c>
      <c r="W214" s="3">
        <v>69</v>
      </c>
    </row>
    <row r="215" spans="1:23" ht="11.25" customHeight="1" x14ac:dyDescent="0.25">
      <c r="A215" s="3" t="s">
        <v>21</v>
      </c>
      <c r="B215" s="3" t="s">
        <v>35</v>
      </c>
      <c r="C215" s="3" t="s">
        <v>36</v>
      </c>
      <c r="D215" s="3" t="s">
        <v>34</v>
      </c>
      <c r="E215" s="3" t="s">
        <v>25</v>
      </c>
      <c r="F215" s="3" t="s">
        <v>25</v>
      </c>
      <c r="G215" s="3" t="s">
        <v>25</v>
      </c>
      <c r="H215" s="3" t="s">
        <v>38</v>
      </c>
      <c r="I215" s="6">
        <v>44531</v>
      </c>
      <c r="J215" s="4">
        <v>0</v>
      </c>
      <c r="K215" s="4">
        <v>0</v>
      </c>
      <c r="L215" s="4">
        <v>2791.8620000000001</v>
      </c>
      <c r="M215" s="4">
        <v>2791.8620000000001</v>
      </c>
      <c r="N215" s="4">
        <v>2791.8620000000001</v>
      </c>
      <c r="O215" s="4">
        <v>2791.8620000000001</v>
      </c>
      <c r="P215" s="4">
        <v>0</v>
      </c>
      <c r="Q215" s="3" t="s">
        <v>26</v>
      </c>
      <c r="R215" s="3">
        <v>0</v>
      </c>
      <c r="S215" s="3" t="s">
        <v>179</v>
      </c>
      <c r="T215" s="3" t="s">
        <v>330</v>
      </c>
      <c r="U215" s="3">
        <v>0</v>
      </c>
      <c r="V215" s="3">
        <v>13</v>
      </c>
      <c r="W215" s="3">
        <v>69</v>
      </c>
    </row>
    <row r="216" spans="1:23" ht="11.25" customHeight="1" x14ac:dyDescent="0.25">
      <c r="A216" s="3" t="s">
        <v>28</v>
      </c>
      <c r="B216" s="3" t="s">
        <v>35</v>
      </c>
      <c r="C216" s="3" t="s">
        <v>36</v>
      </c>
      <c r="D216" s="3" t="s">
        <v>34</v>
      </c>
      <c r="E216" s="3" t="s">
        <v>25</v>
      </c>
      <c r="F216" s="3" t="s">
        <v>25</v>
      </c>
      <c r="G216" s="3" t="s">
        <v>25</v>
      </c>
      <c r="H216" s="3" t="s">
        <v>38</v>
      </c>
      <c r="I216" s="6">
        <v>44531</v>
      </c>
      <c r="J216" s="4">
        <v>0</v>
      </c>
      <c r="K216" s="4">
        <v>0</v>
      </c>
      <c r="L216" s="4">
        <v>17.79</v>
      </c>
      <c r="M216" s="4">
        <v>17.79</v>
      </c>
      <c r="N216" s="4">
        <v>17.79</v>
      </c>
      <c r="O216" s="4">
        <v>17.79</v>
      </c>
      <c r="P216" s="4">
        <v>0</v>
      </c>
      <c r="Q216" s="3" t="s">
        <v>26</v>
      </c>
      <c r="R216" s="3">
        <v>0</v>
      </c>
      <c r="S216" s="3" t="s">
        <v>179</v>
      </c>
      <c r="T216" s="3" t="s">
        <v>330</v>
      </c>
      <c r="U216" s="3">
        <v>0</v>
      </c>
      <c r="V216" s="3">
        <v>13</v>
      </c>
      <c r="W216" s="3">
        <v>69</v>
      </c>
    </row>
    <row r="217" spans="1:23" ht="11.25" customHeight="1" x14ac:dyDescent="0.25">
      <c r="A217" s="3" t="s">
        <v>21</v>
      </c>
      <c r="B217" s="3" t="s">
        <v>35</v>
      </c>
      <c r="C217" s="3" t="s">
        <v>36</v>
      </c>
      <c r="D217" s="3" t="s">
        <v>34</v>
      </c>
      <c r="E217" s="3" t="s">
        <v>25</v>
      </c>
      <c r="F217" s="3" t="s">
        <v>25</v>
      </c>
      <c r="G217" s="3" t="s">
        <v>25</v>
      </c>
      <c r="H217" s="3" t="s">
        <v>38</v>
      </c>
      <c r="I217" s="6">
        <v>44562</v>
      </c>
      <c r="J217" s="4">
        <v>0</v>
      </c>
      <c r="K217" s="4">
        <v>0</v>
      </c>
      <c r="L217" s="4">
        <v>3006.0529999999999</v>
      </c>
      <c r="M217" s="4">
        <v>3006.0529999999999</v>
      </c>
      <c r="N217" s="4">
        <v>3006.0529999999999</v>
      </c>
      <c r="O217" s="4">
        <v>3006.0529999999999</v>
      </c>
      <c r="P217" s="4">
        <v>0</v>
      </c>
      <c r="Q217" s="3" t="s">
        <v>26</v>
      </c>
      <c r="R217" s="3">
        <v>0</v>
      </c>
      <c r="S217" s="3" t="s">
        <v>180</v>
      </c>
      <c r="T217" s="3" t="s">
        <v>331</v>
      </c>
      <c r="U217" s="3">
        <v>0</v>
      </c>
      <c r="V217" s="3">
        <v>13</v>
      </c>
      <c r="W217" s="3">
        <v>69</v>
      </c>
    </row>
    <row r="218" spans="1:23" ht="11.25" customHeight="1" x14ac:dyDescent="0.25">
      <c r="A218" s="3" t="s">
        <v>28</v>
      </c>
      <c r="B218" s="3" t="s">
        <v>35</v>
      </c>
      <c r="C218" s="3" t="s">
        <v>36</v>
      </c>
      <c r="D218" s="3" t="s">
        <v>34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44562</v>
      </c>
      <c r="J218" s="4">
        <v>0</v>
      </c>
      <c r="K218" s="4">
        <v>0</v>
      </c>
      <c r="L218" s="4">
        <v>23.614999999999998</v>
      </c>
      <c r="M218" s="4">
        <v>23.614999999999998</v>
      </c>
      <c r="N218" s="4">
        <v>23.614999999999998</v>
      </c>
      <c r="O218" s="4">
        <v>23.614999999999998</v>
      </c>
      <c r="P218" s="4">
        <v>0</v>
      </c>
      <c r="Q218" s="3" t="s">
        <v>26</v>
      </c>
      <c r="R218" s="3">
        <v>0</v>
      </c>
      <c r="S218" s="3" t="s">
        <v>180</v>
      </c>
      <c r="T218" s="3" t="s">
        <v>331</v>
      </c>
      <c r="U218" s="3">
        <v>0</v>
      </c>
      <c r="V218" s="3">
        <v>13</v>
      </c>
      <c r="W218" s="3">
        <v>69</v>
      </c>
    </row>
    <row r="219" spans="1:23" ht="11.25" customHeight="1" x14ac:dyDescent="0.25">
      <c r="A219" s="3" t="s">
        <v>21</v>
      </c>
      <c r="B219" s="3" t="s">
        <v>35</v>
      </c>
      <c r="C219" s="3" t="s">
        <v>36</v>
      </c>
      <c r="D219" s="3" t="s">
        <v>34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44593</v>
      </c>
      <c r="J219" s="4">
        <v>0</v>
      </c>
      <c r="K219" s="4">
        <v>0</v>
      </c>
      <c r="L219" s="4">
        <v>3134.6329999999998</v>
      </c>
      <c r="M219" s="4">
        <v>3134.6329999999998</v>
      </c>
      <c r="N219" s="4">
        <v>3134.6329999999998</v>
      </c>
      <c r="O219" s="4">
        <v>3134.6329999999998</v>
      </c>
      <c r="P219" s="4">
        <v>0</v>
      </c>
      <c r="Q219" s="3" t="s">
        <v>26</v>
      </c>
      <c r="R219" s="3">
        <v>0</v>
      </c>
      <c r="S219" s="3" t="s">
        <v>181</v>
      </c>
      <c r="T219" s="3" t="s">
        <v>332</v>
      </c>
      <c r="U219" s="3">
        <v>0</v>
      </c>
      <c r="V219" s="3">
        <v>13</v>
      </c>
      <c r="W219" s="3">
        <v>69</v>
      </c>
    </row>
    <row r="220" spans="1:23" ht="11.25" customHeight="1" x14ac:dyDescent="0.25">
      <c r="A220" s="3" t="s">
        <v>28</v>
      </c>
      <c r="B220" s="3" t="s">
        <v>35</v>
      </c>
      <c r="C220" s="3" t="s">
        <v>36</v>
      </c>
      <c r="D220" s="3" t="s">
        <v>34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44593</v>
      </c>
      <c r="J220" s="4">
        <v>0</v>
      </c>
      <c r="K220" s="4">
        <v>0</v>
      </c>
      <c r="L220" s="4">
        <v>32.112000000000002</v>
      </c>
      <c r="M220" s="4">
        <v>32.112000000000002</v>
      </c>
      <c r="N220" s="4">
        <v>32.112000000000002</v>
      </c>
      <c r="O220" s="4">
        <v>32.112000000000002</v>
      </c>
      <c r="P220" s="4">
        <v>0</v>
      </c>
      <c r="Q220" s="3" t="s">
        <v>26</v>
      </c>
      <c r="R220" s="3">
        <v>0</v>
      </c>
      <c r="S220" s="3" t="s">
        <v>181</v>
      </c>
      <c r="T220" s="3" t="s">
        <v>332</v>
      </c>
      <c r="U220" s="3">
        <v>0</v>
      </c>
      <c r="V220" s="3">
        <v>13</v>
      </c>
      <c r="W220" s="3">
        <v>69</v>
      </c>
    </row>
    <row r="221" spans="1:23" ht="11.25" customHeight="1" x14ac:dyDescent="0.25">
      <c r="A221" s="3" t="s">
        <v>21</v>
      </c>
      <c r="B221" s="3" t="s">
        <v>35</v>
      </c>
      <c r="C221" s="3" t="s">
        <v>36</v>
      </c>
      <c r="D221" s="3" t="s">
        <v>34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44621</v>
      </c>
      <c r="J221" s="4">
        <v>0</v>
      </c>
      <c r="K221" s="4">
        <v>0</v>
      </c>
      <c r="L221" s="4">
        <v>3319.9679999999998</v>
      </c>
      <c r="M221" s="4">
        <v>3319.9679999999998</v>
      </c>
      <c r="N221" s="4">
        <v>3319.9679999999998</v>
      </c>
      <c r="O221" s="4">
        <v>3319.9679999999998</v>
      </c>
      <c r="P221" s="4">
        <v>0</v>
      </c>
      <c r="Q221" s="3" t="s">
        <v>26</v>
      </c>
      <c r="R221" s="3">
        <v>0</v>
      </c>
      <c r="S221" s="3" t="s">
        <v>182</v>
      </c>
      <c r="T221" s="3" t="s">
        <v>333</v>
      </c>
      <c r="U221" s="3">
        <v>0</v>
      </c>
      <c r="V221" s="3">
        <v>13</v>
      </c>
      <c r="W221" s="3">
        <v>69</v>
      </c>
    </row>
    <row r="222" spans="1:23" ht="11.25" customHeight="1" x14ac:dyDescent="0.25">
      <c r="A222" s="3" t="s">
        <v>28</v>
      </c>
      <c r="B222" s="3" t="s">
        <v>35</v>
      </c>
      <c r="C222" s="3" t="s">
        <v>36</v>
      </c>
      <c r="D222" s="3" t="s">
        <v>34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44621</v>
      </c>
      <c r="J222" s="4">
        <v>0</v>
      </c>
      <c r="K222" s="4">
        <v>0</v>
      </c>
      <c r="L222" s="4">
        <v>54.151000000000003</v>
      </c>
      <c r="M222" s="4">
        <v>54.151000000000003</v>
      </c>
      <c r="N222" s="4">
        <v>54.151000000000003</v>
      </c>
      <c r="O222" s="4">
        <v>54.151000000000003</v>
      </c>
      <c r="P222" s="4">
        <v>0</v>
      </c>
      <c r="Q222" s="3" t="s">
        <v>26</v>
      </c>
      <c r="R222" s="3">
        <v>0</v>
      </c>
      <c r="S222" s="3" t="s">
        <v>182</v>
      </c>
      <c r="T222" s="3" t="s">
        <v>333</v>
      </c>
      <c r="U222" s="3">
        <v>0</v>
      </c>
      <c r="V222" s="3">
        <v>13</v>
      </c>
      <c r="W222" s="3">
        <v>69</v>
      </c>
    </row>
    <row r="223" spans="1:23" ht="11.25" customHeight="1" x14ac:dyDescent="0.25">
      <c r="A223" s="3" t="s">
        <v>21</v>
      </c>
      <c r="B223" s="3" t="s">
        <v>35</v>
      </c>
      <c r="C223" s="3" t="s">
        <v>36</v>
      </c>
      <c r="D223" s="3" t="s">
        <v>34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44652</v>
      </c>
      <c r="J223" s="4">
        <v>0</v>
      </c>
      <c r="K223" s="4">
        <v>0</v>
      </c>
      <c r="L223" s="4">
        <v>2904.549</v>
      </c>
      <c r="M223" s="4">
        <v>2904.549</v>
      </c>
      <c r="N223" s="4">
        <v>2904.549</v>
      </c>
      <c r="O223" s="4">
        <v>2904.549</v>
      </c>
      <c r="P223" s="4">
        <v>0</v>
      </c>
      <c r="Q223" s="3" t="s">
        <v>26</v>
      </c>
      <c r="R223" s="3">
        <v>0</v>
      </c>
      <c r="S223" s="3" t="s">
        <v>183</v>
      </c>
      <c r="T223" s="3" t="s">
        <v>334</v>
      </c>
      <c r="U223" s="3">
        <v>0</v>
      </c>
      <c r="V223" s="3">
        <v>13</v>
      </c>
      <c r="W223" s="3">
        <v>69</v>
      </c>
    </row>
    <row r="224" spans="1:23" ht="11.25" customHeight="1" x14ac:dyDescent="0.25">
      <c r="A224" s="3" t="s">
        <v>28</v>
      </c>
      <c r="B224" s="3" t="s">
        <v>35</v>
      </c>
      <c r="C224" s="3" t="s">
        <v>36</v>
      </c>
      <c r="D224" s="3" t="s">
        <v>34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44652</v>
      </c>
      <c r="J224" s="4">
        <v>0</v>
      </c>
      <c r="K224" s="4">
        <v>0</v>
      </c>
      <c r="L224" s="4">
        <v>51.328000000000003</v>
      </c>
      <c r="M224" s="4">
        <v>51.328000000000003</v>
      </c>
      <c r="N224" s="4">
        <v>51.328000000000003</v>
      </c>
      <c r="O224" s="4">
        <v>51.328000000000003</v>
      </c>
      <c r="P224" s="4">
        <v>0</v>
      </c>
      <c r="Q224" s="3" t="s">
        <v>26</v>
      </c>
      <c r="R224" s="3">
        <v>0</v>
      </c>
      <c r="S224" s="3" t="s">
        <v>183</v>
      </c>
      <c r="T224" s="3" t="s">
        <v>334</v>
      </c>
      <c r="U224" s="3">
        <v>0</v>
      </c>
      <c r="V224" s="3">
        <v>13</v>
      </c>
      <c r="W224" s="3">
        <v>69</v>
      </c>
    </row>
    <row r="225" spans="1:23" ht="11.25" customHeight="1" x14ac:dyDescent="0.25">
      <c r="A225" s="3" t="s">
        <v>21</v>
      </c>
      <c r="B225" s="3" t="s">
        <v>35</v>
      </c>
      <c r="C225" s="3" t="s">
        <v>36</v>
      </c>
      <c r="D225" s="3" t="s">
        <v>34</v>
      </c>
      <c r="E225" s="3" t="s">
        <v>25</v>
      </c>
      <c r="F225" s="3" t="s">
        <v>25</v>
      </c>
      <c r="G225" s="3" t="s">
        <v>25</v>
      </c>
      <c r="H225" s="3" t="s">
        <v>38</v>
      </c>
      <c r="I225" s="6">
        <v>44682</v>
      </c>
      <c r="J225" s="4">
        <v>0</v>
      </c>
      <c r="K225" s="4">
        <v>0</v>
      </c>
      <c r="L225" s="4">
        <v>3033.93</v>
      </c>
      <c r="M225" s="4">
        <v>3033.93</v>
      </c>
      <c r="N225" s="4">
        <v>3033.93</v>
      </c>
      <c r="O225" s="4">
        <v>3033.93</v>
      </c>
      <c r="P225" s="4">
        <v>0</v>
      </c>
      <c r="Q225" s="3" t="s">
        <v>26</v>
      </c>
      <c r="R225" s="3">
        <v>0</v>
      </c>
      <c r="S225" s="3" t="s">
        <v>184</v>
      </c>
      <c r="T225" s="3" t="s">
        <v>335</v>
      </c>
      <c r="U225" s="3">
        <v>0</v>
      </c>
      <c r="V225" s="3">
        <v>13</v>
      </c>
      <c r="W225" s="3">
        <v>69</v>
      </c>
    </row>
    <row r="226" spans="1:23" ht="11.25" customHeight="1" x14ac:dyDescent="0.25">
      <c r="A226" s="3" t="s">
        <v>28</v>
      </c>
      <c r="B226" s="3" t="s">
        <v>35</v>
      </c>
      <c r="C226" s="3" t="s">
        <v>36</v>
      </c>
      <c r="D226" s="3" t="s">
        <v>34</v>
      </c>
      <c r="E226" s="3" t="s">
        <v>25</v>
      </c>
      <c r="F226" s="3" t="s">
        <v>25</v>
      </c>
      <c r="G226" s="3" t="s">
        <v>25</v>
      </c>
      <c r="H226" s="3" t="s">
        <v>38</v>
      </c>
      <c r="I226" s="6">
        <v>44682</v>
      </c>
      <c r="J226" s="4">
        <v>0</v>
      </c>
      <c r="K226" s="4">
        <v>0</v>
      </c>
      <c r="L226" s="4">
        <v>42.043999999999997</v>
      </c>
      <c r="M226" s="4">
        <v>42.043999999999997</v>
      </c>
      <c r="N226" s="4">
        <v>42.043999999999997</v>
      </c>
      <c r="O226" s="4">
        <v>42.043999999999997</v>
      </c>
      <c r="P226" s="4">
        <v>0</v>
      </c>
      <c r="Q226" s="3" t="s">
        <v>26</v>
      </c>
      <c r="R226" s="3">
        <v>0</v>
      </c>
      <c r="S226" s="3" t="s">
        <v>184</v>
      </c>
      <c r="T226" s="3" t="s">
        <v>335</v>
      </c>
      <c r="U226" s="3">
        <v>0</v>
      </c>
      <c r="V226" s="3">
        <v>13</v>
      </c>
      <c r="W226" s="3">
        <v>69</v>
      </c>
    </row>
    <row r="227" spans="1:23" ht="11.25" customHeight="1" x14ac:dyDescent="0.25">
      <c r="A227" s="3" t="s">
        <v>21</v>
      </c>
      <c r="B227" s="3" t="s">
        <v>35</v>
      </c>
      <c r="C227" s="3" t="s">
        <v>36</v>
      </c>
      <c r="D227" s="3" t="s">
        <v>34</v>
      </c>
      <c r="E227" s="3" t="s">
        <v>25</v>
      </c>
      <c r="F227" s="3" t="s">
        <v>25</v>
      </c>
      <c r="G227" s="3" t="s">
        <v>25</v>
      </c>
      <c r="H227" s="3" t="s">
        <v>38</v>
      </c>
      <c r="I227" s="6">
        <v>44713</v>
      </c>
      <c r="J227" s="4">
        <v>0</v>
      </c>
      <c r="K227" s="4">
        <v>0</v>
      </c>
      <c r="L227" s="4">
        <v>3103.0410000000002</v>
      </c>
      <c r="M227" s="4">
        <v>3103.0410000000002</v>
      </c>
      <c r="N227" s="4">
        <v>3103.0410000000002</v>
      </c>
      <c r="O227" s="4">
        <v>3103.0410000000002</v>
      </c>
      <c r="P227" s="4">
        <v>0</v>
      </c>
      <c r="Q227" s="3" t="s">
        <v>26</v>
      </c>
      <c r="R227" s="3">
        <v>0</v>
      </c>
      <c r="S227" s="3" t="s">
        <v>185</v>
      </c>
      <c r="T227" s="3" t="s">
        <v>336</v>
      </c>
      <c r="U227" s="3">
        <v>0</v>
      </c>
      <c r="V227" s="3">
        <v>13</v>
      </c>
      <c r="W227" s="3">
        <v>69</v>
      </c>
    </row>
    <row r="228" spans="1:23" ht="11.25" customHeight="1" x14ac:dyDescent="0.25">
      <c r="A228" s="3" t="s">
        <v>28</v>
      </c>
      <c r="B228" s="3" t="s">
        <v>35</v>
      </c>
      <c r="C228" s="3" t="s">
        <v>36</v>
      </c>
      <c r="D228" s="3" t="s">
        <v>34</v>
      </c>
      <c r="E228" s="3" t="s">
        <v>25</v>
      </c>
      <c r="F228" s="3" t="s">
        <v>25</v>
      </c>
      <c r="G228" s="3" t="s">
        <v>25</v>
      </c>
      <c r="H228" s="3" t="s">
        <v>38</v>
      </c>
      <c r="I228" s="6">
        <v>44713</v>
      </c>
      <c r="J228" s="4">
        <v>0</v>
      </c>
      <c r="K228" s="4">
        <v>0</v>
      </c>
      <c r="L228" s="4">
        <v>47.524999999999999</v>
      </c>
      <c r="M228" s="4">
        <v>47.524999999999999</v>
      </c>
      <c r="N228" s="4">
        <v>47.524999999999999</v>
      </c>
      <c r="O228" s="4">
        <v>47.524999999999999</v>
      </c>
      <c r="P228" s="4">
        <v>0</v>
      </c>
      <c r="Q228" s="3" t="s">
        <v>26</v>
      </c>
      <c r="R228" s="3">
        <v>0</v>
      </c>
      <c r="S228" s="3" t="s">
        <v>185</v>
      </c>
      <c r="T228" s="3" t="s">
        <v>336</v>
      </c>
      <c r="U228" s="3">
        <v>0</v>
      </c>
      <c r="V228" s="3">
        <v>13</v>
      </c>
      <c r="W228" s="3">
        <v>69</v>
      </c>
    </row>
    <row r="229" spans="1:23" ht="11.25" customHeight="1" x14ac:dyDescent="0.25">
      <c r="A229" s="3" t="s">
        <v>21</v>
      </c>
      <c r="B229" s="3" t="s">
        <v>35</v>
      </c>
      <c r="C229" s="3" t="s">
        <v>36</v>
      </c>
      <c r="D229" s="3" t="s">
        <v>34</v>
      </c>
      <c r="E229" s="3" t="s">
        <v>25</v>
      </c>
      <c r="F229" s="3" t="s">
        <v>25</v>
      </c>
      <c r="G229" s="3" t="s">
        <v>25</v>
      </c>
      <c r="H229" s="3" t="s">
        <v>38</v>
      </c>
      <c r="I229" s="6">
        <v>44743</v>
      </c>
      <c r="J229" s="4">
        <v>0</v>
      </c>
      <c r="K229" s="4">
        <v>0</v>
      </c>
      <c r="L229" s="4">
        <v>3133.2829999999999</v>
      </c>
      <c r="M229" s="4">
        <v>3133.2829999999999</v>
      </c>
      <c r="N229" s="4">
        <v>3133.2829999999999</v>
      </c>
      <c r="O229" s="4">
        <v>3133.2829999999999</v>
      </c>
      <c r="P229" s="4">
        <v>0</v>
      </c>
      <c r="Q229" s="3" t="s">
        <v>26</v>
      </c>
      <c r="R229" s="3">
        <v>0</v>
      </c>
      <c r="S229" s="3" t="s">
        <v>186</v>
      </c>
      <c r="T229" s="3" t="s">
        <v>337</v>
      </c>
      <c r="U229" s="3">
        <v>0</v>
      </c>
      <c r="V229" s="3">
        <v>13</v>
      </c>
      <c r="W229" s="3">
        <v>69</v>
      </c>
    </row>
    <row r="230" spans="1:23" ht="11.25" customHeight="1" x14ac:dyDescent="0.25">
      <c r="A230" s="3" t="s">
        <v>21</v>
      </c>
      <c r="B230" s="3" t="s">
        <v>35</v>
      </c>
      <c r="C230" s="3" t="s">
        <v>36</v>
      </c>
      <c r="D230" s="3" t="s">
        <v>34</v>
      </c>
      <c r="E230" s="3" t="s">
        <v>25</v>
      </c>
      <c r="F230" s="3" t="s">
        <v>25</v>
      </c>
      <c r="G230" s="3" t="s">
        <v>25</v>
      </c>
      <c r="H230" s="3" t="s">
        <v>38</v>
      </c>
      <c r="I230" s="6">
        <v>44774</v>
      </c>
      <c r="J230" s="4">
        <v>0</v>
      </c>
      <c r="K230" s="4">
        <v>0</v>
      </c>
      <c r="L230" s="4">
        <v>3267.473</v>
      </c>
      <c r="M230" s="4">
        <v>3267.473</v>
      </c>
      <c r="N230" s="4">
        <v>3267.473</v>
      </c>
      <c r="O230" s="4">
        <v>3267.473</v>
      </c>
      <c r="P230" s="4">
        <v>0</v>
      </c>
      <c r="Q230" s="3" t="s">
        <v>26</v>
      </c>
      <c r="R230" s="3">
        <v>0</v>
      </c>
      <c r="S230" s="3" t="s">
        <v>187</v>
      </c>
      <c r="T230" s="3" t="s">
        <v>338</v>
      </c>
      <c r="U230" s="3">
        <v>0</v>
      </c>
      <c r="V230" s="3">
        <v>13</v>
      </c>
      <c r="W230" s="3">
        <v>69</v>
      </c>
    </row>
    <row r="231" spans="1:23" ht="11.25" customHeight="1" x14ac:dyDescent="0.25">
      <c r="A231" s="3" t="s">
        <v>27</v>
      </c>
      <c r="B231" s="3" t="s">
        <v>35</v>
      </c>
      <c r="C231" s="3" t="s">
        <v>36</v>
      </c>
      <c r="D231" s="3" t="s">
        <v>34</v>
      </c>
      <c r="E231" s="3" t="s">
        <v>25</v>
      </c>
      <c r="F231" s="3" t="s">
        <v>25</v>
      </c>
      <c r="G231" s="3" t="s">
        <v>25</v>
      </c>
      <c r="H231" s="3" t="s">
        <v>38</v>
      </c>
      <c r="I231" s="6">
        <v>44774</v>
      </c>
      <c r="J231" s="4">
        <v>0</v>
      </c>
      <c r="K231" s="4">
        <v>0</v>
      </c>
      <c r="L231" s="4">
        <v>-35.652999999999999</v>
      </c>
      <c r="M231" s="4">
        <v>-35.652999999999999</v>
      </c>
      <c r="N231" s="4">
        <v>-35.652999999999999</v>
      </c>
      <c r="O231" s="4">
        <v>-35.652999999999999</v>
      </c>
      <c r="P231" s="4">
        <v>0</v>
      </c>
      <c r="Q231" s="3" t="s">
        <v>26</v>
      </c>
      <c r="R231" s="3">
        <v>0</v>
      </c>
      <c r="S231" s="3" t="s">
        <v>187</v>
      </c>
      <c r="T231" s="3" t="s">
        <v>338</v>
      </c>
      <c r="U231" s="3">
        <v>0</v>
      </c>
      <c r="V231" s="3">
        <v>13</v>
      </c>
      <c r="W231" s="3">
        <v>69</v>
      </c>
    </row>
    <row r="232" spans="1:23" ht="11.25" customHeight="1" x14ac:dyDescent="0.25">
      <c r="A232" s="3" t="s">
        <v>28</v>
      </c>
      <c r="B232" s="3" t="s">
        <v>35</v>
      </c>
      <c r="C232" s="3" t="s">
        <v>36</v>
      </c>
      <c r="D232" s="3" t="s">
        <v>34</v>
      </c>
      <c r="E232" s="3" t="s">
        <v>25</v>
      </c>
      <c r="F232" s="3" t="s">
        <v>25</v>
      </c>
      <c r="G232" s="3" t="s">
        <v>25</v>
      </c>
      <c r="H232" s="3" t="s">
        <v>38</v>
      </c>
      <c r="I232" s="6">
        <v>44774</v>
      </c>
      <c r="J232" s="4">
        <v>0</v>
      </c>
      <c r="K232" s="4">
        <v>0</v>
      </c>
      <c r="L232" s="4">
        <v>116.622</v>
      </c>
      <c r="M232" s="4">
        <v>116.622</v>
      </c>
      <c r="N232" s="4">
        <v>116.622</v>
      </c>
      <c r="O232" s="4">
        <v>116.622</v>
      </c>
      <c r="P232" s="4">
        <v>0</v>
      </c>
      <c r="Q232" s="3" t="s">
        <v>26</v>
      </c>
      <c r="R232" s="3">
        <v>0</v>
      </c>
      <c r="S232" s="3" t="s">
        <v>187</v>
      </c>
      <c r="T232" s="3" t="s">
        <v>338</v>
      </c>
      <c r="U232" s="3">
        <v>0</v>
      </c>
      <c r="V232" s="3">
        <v>13</v>
      </c>
      <c r="W232" s="3">
        <v>69</v>
      </c>
    </row>
    <row r="233" spans="1:23" ht="11.25" customHeight="1" x14ac:dyDescent="0.25">
      <c r="A233" s="3" t="s">
        <v>21</v>
      </c>
      <c r="B233" s="3" t="s">
        <v>35</v>
      </c>
      <c r="C233" s="3" t="s">
        <v>36</v>
      </c>
      <c r="D233" s="3" t="s">
        <v>34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13463</v>
      </c>
      <c r="K233" s="4">
        <v>13463</v>
      </c>
      <c r="L233" s="4">
        <v>0</v>
      </c>
      <c r="M233" s="4">
        <v>0</v>
      </c>
      <c r="N233" s="4">
        <v>0</v>
      </c>
      <c r="O233" s="4">
        <v>0</v>
      </c>
      <c r="P233" s="4">
        <v>53</v>
      </c>
      <c r="Q233" s="3" t="s">
        <v>26</v>
      </c>
      <c r="R233" s="3">
        <v>0</v>
      </c>
      <c r="S233" s="3" t="s">
        <v>188</v>
      </c>
      <c r="U233" s="3">
        <v>9</v>
      </c>
      <c r="V233" s="3">
        <v>0</v>
      </c>
      <c r="W233" s="3">
        <v>0</v>
      </c>
    </row>
    <row r="234" spans="1:23" ht="11.25" customHeight="1" x14ac:dyDescent="0.25">
      <c r="A234" s="3" t="s">
        <v>28</v>
      </c>
      <c r="B234" s="3" t="s">
        <v>35</v>
      </c>
      <c r="C234" s="3" t="s">
        <v>36</v>
      </c>
      <c r="D234" s="3" t="s">
        <v>34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776</v>
      </c>
      <c r="K234" s="4">
        <v>776</v>
      </c>
      <c r="L234" s="4">
        <v>0</v>
      </c>
      <c r="M234" s="4">
        <v>0</v>
      </c>
      <c r="N234" s="4">
        <v>0</v>
      </c>
      <c r="O234" s="4">
        <v>0</v>
      </c>
      <c r="P234" s="4">
        <v>5</v>
      </c>
      <c r="Q234" s="3" t="s">
        <v>26</v>
      </c>
      <c r="R234" s="3">
        <v>0</v>
      </c>
      <c r="S234" s="3" t="s">
        <v>188</v>
      </c>
      <c r="U234" s="3">
        <v>9</v>
      </c>
      <c r="V234" s="3">
        <v>0</v>
      </c>
      <c r="W234" s="3">
        <v>0</v>
      </c>
    </row>
    <row r="235" spans="1:23" ht="11.25" customHeight="1" x14ac:dyDescent="0.25">
      <c r="A235" s="3" t="s">
        <v>21</v>
      </c>
      <c r="B235" s="3" t="s">
        <v>35</v>
      </c>
      <c r="C235" s="3" t="s">
        <v>36</v>
      </c>
      <c r="D235" s="3" t="s">
        <v>34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13374</v>
      </c>
      <c r="K235" s="4">
        <v>13374</v>
      </c>
      <c r="L235" s="4">
        <v>0</v>
      </c>
      <c r="M235" s="4">
        <v>0</v>
      </c>
      <c r="N235" s="4">
        <v>0</v>
      </c>
      <c r="O235" s="4">
        <v>0</v>
      </c>
      <c r="P235" s="4">
        <v>52</v>
      </c>
      <c r="Q235" s="3" t="s">
        <v>26</v>
      </c>
      <c r="R235" s="3">
        <v>0</v>
      </c>
      <c r="S235" s="3" t="s">
        <v>189</v>
      </c>
      <c r="U235" s="3">
        <v>9</v>
      </c>
      <c r="V235" s="3">
        <v>0</v>
      </c>
      <c r="W235" s="3">
        <v>0</v>
      </c>
    </row>
    <row r="236" spans="1:23" ht="11.25" customHeight="1" x14ac:dyDescent="0.25">
      <c r="A236" s="3" t="s">
        <v>28</v>
      </c>
      <c r="B236" s="3" t="s">
        <v>35</v>
      </c>
      <c r="C236" s="3" t="s">
        <v>36</v>
      </c>
      <c r="D236" s="3" t="s">
        <v>34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946</v>
      </c>
      <c r="K236" s="4">
        <v>946</v>
      </c>
      <c r="L236" s="4">
        <v>0</v>
      </c>
      <c r="M236" s="4">
        <v>0</v>
      </c>
      <c r="N236" s="4">
        <v>0</v>
      </c>
      <c r="O236" s="4">
        <v>0</v>
      </c>
      <c r="P236" s="4">
        <v>6</v>
      </c>
      <c r="Q236" s="3" t="s">
        <v>26</v>
      </c>
      <c r="R236" s="3">
        <v>0</v>
      </c>
      <c r="S236" s="3" t="s">
        <v>189</v>
      </c>
      <c r="U236" s="3">
        <v>9</v>
      </c>
      <c r="V236" s="3">
        <v>0</v>
      </c>
      <c r="W236" s="3">
        <v>0</v>
      </c>
    </row>
    <row r="237" spans="1:23" ht="11.25" customHeight="1" x14ac:dyDescent="0.25">
      <c r="A237" s="3" t="s">
        <v>21</v>
      </c>
      <c r="B237" s="3" t="s">
        <v>35</v>
      </c>
      <c r="C237" s="3" t="s">
        <v>36</v>
      </c>
      <c r="D237" s="3" t="s">
        <v>34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44501</v>
      </c>
      <c r="J237" s="4">
        <v>13587</v>
      </c>
      <c r="K237" s="4">
        <v>13587</v>
      </c>
      <c r="L237" s="4">
        <v>0</v>
      </c>
      <c r="M237" s="4">
        <v>0</v>
      </c>
      <c r="N237" s="4">
        <v>0</v>
      </c>
      <c r="O237" s="4">
        <v>0</v>
      </c>
      <c r="P237" s="4">
        <v>52</v>
      </c>
      <c r="Q237" s="3" t="s">
        <v>26</v>
      </c>
      <c r="R237" s="3">
        <v>0</v>
      </c>
      <c r="S237" s="3" t="s">
        <v>190</v>
      </c>
      <c r="U237" s="3">
        <v>9</v>
      </c>
      <c r="V237" s="3">
        <v>0</v>
      </c>
      <c r="W237" s="3">
        <v>0</v>
      </c>
    </row>
    <row r="238" spans="1:23" ht="11.25" customHeight="1" x14ac:dyDescent="0.25">
      <c r="A238" s="3" t="s">
        <v>28</v>
      </c>
      <c r="B238" s="3" t="s">
        <v>35</v>
      </c>
      <c r="C238" s="3" t="s">
        <v>36</v>
      </c>
      <c r="D238" s="3" t="s">
        <v>34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948</v>
      </c>
      <c r="K238" s="4">
        <v>948</v>
      </c>
      <c r="L238" s="4">
        <v>0</v>
      </c>
      <c r="M238" s="4">
        <v>0</v>
      </c>
      <c r="N238" s="4">
        <v>0</v>
      </c>
      <c r="O238" s="4">
        <v>0</v>
      </c>
      <c r="P238" s="4">
        <v>6</v>
      </c>
      <c r="Q238" s="3" t="s">
        <v>26</v>
      </c>
      <c r="R238" s="3">
        <v>0</v>
      </c>
      <c r="S238" s="3" t="s">
        <v>190</v>
      </c>
      <c r="U238" s="3">
        <v>9</v>
      </c>
      <c r="V238" s="3">
        <v>0</v>
      </c>
      <c r="W238" s="3">
        <v>0</v>
      </c>
    </row>
    <row r="239" spans="1:23" ht="11.25" customHeight="1" x14ac:dyDescent="0.25">
      <c r="A239" s="3" t="s">
        <v>21</v>
      </c>
      <c r="B239" s="3" t="s">
        <v>35</v>
      </c>
      <c r="C239" s="3" t="s">
        <v>36</v>
      </c>
      <c r="D239" s="3" t="s">
        <v>34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44531</v>
      </c>
      <c r="J239" s="4">
        <v>13697</v>
      </c>
      <c r="K239" s="4">
        <v>13697</v>
      </c>
      <c r="L239" s="4">
        <v>0</v>
      </c>
      <c r="M239" s="4">
        <v>0</v>
      </c>
      <c r="N239" s="4">
        <v>0</v>
      </c>
      <c r="O239" s="4">
        <v>0</v>
      </c>
      <c r="P239" s="4">
        <v>53</v>
      </c>
      <c r="Q239" s="3" t="s">
        <v>26</v>
      </c>
      <c r="R239" s="3">
        <v>0</v>
      </c>
      <c r="S239" s="3" t="s">
        <v>191</v>
      </c>
      <c r="U239" s="3">
        <v>9</v>
      </c>
      <c r="V239" s="3">
        <v>0</v>
      </c>
      <c r="W239" s="3">
        <v>0</v>
      </c>
    </row>
    <row r="240" spans="1:23" ht="11.25" customHeight="1" x14ac:dyDescent="0.25">
      <c r="A240" s="3" t="s">
        <v>28</v>
      </c>
      <c r="B240" s="3" t="s">
        <v>35</v>
      </c>
      <c r="C240" s="3" t="s">
        <v>36</v>
      </c>
      <c r="D240" s="3" t="s">
        <v>34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44531</v>
      </c>
      <c r="J240" s="4">
        <v>957</v>
      </c>
      <c r="K240" s="4">
        <v>957</v>
      </c>
      <c r="L240" s="4">
        <v>0</v>
      </c>
      <c r="M240" s="4">
        <v>0</v>
      </c>
      <c r="N240" s="4">
        <v>0</v>
      </c>
      <c r="O240" s="4">
        <v>0</v>
      </c>
      <c r="P240" s="4">
        <v>6</v>
      </c>
      <c r="Q240" s="3" t="s">
        <v>26</v>
      </c>
      <c r="R240" s="3">
        <v>0</v>
      </c>
      <c r="S240" s="3" t="s">
        <v>191</v>
      </c>
      <c r="U240" s="3">
        <v>9</v>
      </c>
      <c r="V240" s="3">
        <v>0</v>
      </c>
      <c r="W240" s="3">
        <v>0</v>
      </c>
    </row>
    <row r="241" spans="1:23" ht="11.25" customHeight="1" x14ac:dyDescent="0.25">
      <c r="A241" s="3" t="s">
        <v>21</v>
      </c>
      <c r="B241" s="3" t="s">
        <v>35</v>
      </c>
      <c r="C241" s="3" t="s">
        <v>36</v>
      </c>
      <c r="D241" s="3" t="s">
        <v>34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44562</v>
      </c>
      <c r="J241" s="4">
        <v>13595</v>
      </c>
      <c r="K241" s="4">
        <v>13595</v>
      </c>
      <c r="L241" s="4">
        <v>0</v>
      </c>
      <c r="M241" s="4">
        <v>0</v>
      </c>
      <c r="N241" s="4">
        <v>0</v>
      </c>
      <c r="O241" s="4">
        <v>0</v>
      </c>
      <c r="P241" s="4">
        <v>53</v>
      </c>
      <c r="Q241" s="3" t="s">
        <v>26</v>
      </c>
      <c r="R241" s="3">
        <v>0</v>
      </c>
      <c r="S241" s="3" t="s">
        <v>192</v>
      </c>
      <c r="U241" s="3">
        <v>9</v>
      </c>
      <c r="V241" s="3">
        <v>0</v>
      </c>
      <c r="W241" s="3">
        <v>0</v>
      </c>
    </row>
    <row r="242" spans="1:23" ht="11.25" customHeight="1" x14ac:dyDescent="0.25">
      <c r="A242" s="3" t="s">
        <v>28</v>
      </c>
      <c r="B242" s="3" t="s">
        <v>35</v>
      </c>
      <c r="C242" s="3" t="s">
        <v>36</v>
      </c>
      <c r="D242" s="3" t="s">
        <v>34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44562</v>
      </c>
      <c r="J242" s="4">
        <v>953</v>
      </c>
      <c r="K242" s="4">
        <v>953</v>
      </c>
      <c r="L242" s="4">
        <v>0</v>
      </c>
      <c r="M242" s="4">
        <v>0</v>
      </c>
      <c r="N242" s="4">
        <v>0</v>
      </c>
      <c r="O242" s="4">
        <v>0</v>
      </c>
      <c r="P242" s="4">
        <v>6</v>
      </c>
      <c r="Q242" s="3" t="s">
        <v>26</v>
      </c>
      <c r="R242" s="3">
        <v>0</v>
      </c>
      <c r="S242" s="3" t="s">
        <v>192</v>
      </c>
      <c r="U242" s="3">
        <v>9</v>
      </c>
      <c r="V242" s="3">
        <v>0</v>
      </c>
      <c r="W242" s="3">
        <v>0</v>
      </c>
    </row>
    <row r="243" spans="1:23" ht="11.25" customHeight="1" x14ac:dyDescent="0.25">
      <c r="A243" s="3" t="s">
        <v>21</v>
      </c>
      <c r="B243" s="3" t="s">
        <v>35</v>
      </c>
      <c r="C243" s="3" t="s">
        <v>36</v>
      </c>
      <c r="D243" s="3" t="s">
        <v>34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13739</v>
      </c>
      <c r="K243" s="4">
        <v>13739</v>
      </c>
      <c r="L243" s="4">
        <v>0</v>
      </c>
      <c r="M243" s="4">
        <v>0</v>
      </c>
      <c r="N243" s="4">
        <v>0</v>
      </c>
      <c r="O243" s="4">
        <v>0</v>
      </c>
      <c r="P243" s="4">
        <v>53</v>
      </c>
      <c r="Q243" s="3" t="s">
        <v>26</v>
      </c>
      <c r="R243" s="3">
        <v>0</v>
      </c>
      <c r="S243" s="3" t="s">
        <v>193</v>
      </c>
      <c r="U243" s="3">
        <v>9</v>
      </c>
      <c r="V243" s="3">
        <v>0</v>
      </c>
      <c r="W243" s="3">
        <v>0</v>
      </c>
    </row>
    <row r="244" spans="1:23" ht="11.25" customHeight="1" x14ac:dyDescent="0.25">
      <c r="A244" s="3" t="s">
        <v>28</v>
      </c>
      <c r="B244" s="3" t="s">
        <v>35</v>
      </c>
      <c r="C244" s="3" t="s">
        <v>36</v>
      </c>
      <c r="D244" s="3" t="s">
        <v>34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953</v>
      </c>
      <c r="K244" s="4">
        <v>953</v>
      </c>
      <c r="L244" s="4">
        <v>0</v>
      </c>
      <c r="M244" s="4">
        <v>0</v>
      </c>
      <c r="N244" s="4">
        <v>0</v>
      </c>
      <c r="O244" s="4">
        <v>0</v>
      </c>
      <c r="P244" s="4">
        <v>6</v>
      </c>
      <c r="Q244" s="3" t="s">
        <v>26</v>
      </c>
      <c r="R244" s="3">
        <v>0</v>
      </c>
      <c r="S244" s="3" t="s">
        <v>193</v>
      </c>
      <c r="U244" s="3">
        <v>9</v>
      </c>
      <c r="V244" s="3">
        <v>0</v>
      </c>
      <c r="W244" s="3">
        <v>0</v>
      </c>
    </row>
    <row r="245" spans="1:23" ht="11.25" customHeight="1" x14ac:dyDescent="0.25">
      <c r="A245" s="3" t="s">
        <v>21</v>
      </c>
      <c r="B245" s="3" t="s">
        <v>35</v>
      </c>
      <c r="C245" s="3" t="s">
        <v>36</v>
      </c>
      <c r="D245" s="3" t="s">
        <v>34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13788</v>
      </c>
      <c r="K245" s="4">
        <v>13788</v>
      </c>
      <c r="L245" s="4">
        <v>0</v>
      </c>
      <c r="M245" s="4">
        <v>0</v>
      </c>
      <c r="N245" s="4">
        <v>0</v>
      </c>
      <c r="O245" s="4">
        <v>0</v>
      </c>
      <c r="P245" s="4">
        <v>54</v>
      </c>
      <c r="Q245" s="3" t="s">
        <v>26</v>
      </c>
      <c r="R245" s="3">
        <v>0</v>
      </c>
      <c r="S245" s="3" t="s">
        <v>194</v>
      </c>
      <c r="U245" s="3">
        <v>9</v>
      </c>
      <c r="V245" s="3">
        <v>0</v>
      </c>
      <c r="W245" s="3">
        <v>0</v>
      </c>
    </row>
    <row r="246" spans="1:23" ht="11.25" customHeight="1" x14ac:dyDescent="0.25">
      <c r="A246" s="3" t="s">
        <v>27</v>
      </c>
      <c r="B246" s="3" t="s">
        <v>35</v>
      </c>
      <c r="C246" s="3" t="s">
        <v>36</v>
      </c>
      <c r="D246" s="3" t="s">
        <v>34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-151</v>
      </c>
      <c r="K246" s="4">
        <v>-151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3" t="s">
        <v>26</v>
      </c>
      <c r="R246" s="3">
        <v>0</v>
      </c>
      <c r="S246" s="3" t="s">
        <v>194</v>
      </c>
      <c r="U246" s="3">
        <v>9</v>
      </c>
      <c r="V246" s="3">
        <v>0</v>
      </c>
      <c r="W246" s="3">
        <v>0</v>
      </c>
    </row>
    <row r="247" spans="1:23" ht="11.25" customHeight="1" x14ac:dyDescent="0.25">
      <c r="A247" s="3" t="s">
        <v>28</v>
      </c>
      <c r="B247" s="3" t="s">
        <v>35</v>
      </c>
      <c r="C247" s="3" t="s">
        <v>36</v>
      </c>
      <c r="D247" s="3" t="s">
        <v>34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950</v>
      </c>
      <c r="K247" s="4">
        <v>950</v>
      </c>
      <c r="L247" s="4">
        <v>0</v>
      </c>
      <c r="M247" s="4">
        <v>0</v>
      </c>
      <c r="N247" s="4">
        <v>0</v>
      </c>
      <c r="O247" s="4">
        <v>0</v>
      </c>
      <c r="P247" s="4">
        <v>6</v>
      </c>
      <c r="Q247" s="3" t="s">
        <v>26</v>
      </c>
      <c r="R247" s="3">
        <v>0</v>
      </c>
      <c r="S247" s="3" t="s">
        <v>194</v>
      </c>
      <c r="U247" s="3">
        <v>9</v>
      </c>
      <c r="V247" s="3">
        <v>0</v>
      </c>
      <c r="W247" s="3">
        <v>0</v>
      </c>
    </row>
    <row r="248" spans="1:23" ht="11.25" customHeight="1" x14ac:dyDescent="0.25">
      <c r="A248" s="3" t="s">
        <v>21</v>
      </c>
      <c r="B248" s="3" t="s">
        <v>35</v>
      </c>
      <c r="C248" s="3" t="s">
        <v>36</v>
      </c>
      <c r="D248" s="3" t="s">
        <v>34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13551</v>
      </c>
      <c r="K248" s="4">
        <v>13551</v>
      </c>
      <c r="L248" s="4">
        <v>0</v>
      </c>
      <c r="M248" s="4">
        <v>0</v>
      </c>
      <c r="N248" s="4">
        <v>0</v>
      </c>
      <c r="O248" s="4">
        <v>0</v>
      </c>
      <c r="P248" s="4">
        <v>54</v>
      </c>
      <c r="Q248" s="3" t="s">
        <v>26</v>
      </c>
      <c r="R248" s="3">
        <v>0</v>
      </c>
      <c r="S248" s="3" t="s">
        <v>195</v>
      </c>
      <c r="U248" s="3">
        <v>9</v>
      </c>
      <c r="V248" s="3">
        <v>0</v>
      </c>
      <c r="W248" s="3">
        <v>0</v>
      </c>
    </row>
    <row r="249" spans="1:23" ht="11.25" customHeight="1" x14ac:dyDescent="0.25">
      <c r="A249" s="3" t="s">
        <v>27</v>
      </c>
      <c r="B249" s="3" t="s">
        <v>35</v>
      </c>
      <c r="C249" s="3" t="s">
        <v>36</v>
      </c>
      <c r="D249" s="3" t="s">
        <v>34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-46</v>
      </c>
      <c r="K249" s="4">
        <v>-46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3" t="s">
        <v>26</v>
      </c>
      <c r="R249" s="3">
        <v>0</v>
      </c>
      <c r="S249" s="3" t="s">
        <v>195</v>
      </c>
      <c r="U249" s="3">
        <v>9</v>
      </c>
      <c r="V249" s="3">
        <v>0</v>
      </c>
      <c r="W249" s="3">
        <v>0</v>
      </c>
    </row>
    <row r="250" spans="1:23" ht="11.25" customHeight="1" x14ac:dyDescent="0.25">
      <c r="A250" s="3" t="s">
        <v>28</v>
      </c>
      <c r="B250" s="3" t="s">
        <v>35</v>
      </c>
      <c r="C250" s="3" t="s">
        <v>36</v>
      </c>
      <c r="D250" s="3" t="s">
        <v>34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950</v>
      </c>
      <c r="K250" s="4">
        <v>950</v>
      </c>
      <c r="L250" s="4">
        <v>0</v>
      </c>
      <c r="M250" s="4">
        <v>0</v>
      </c>
      <c r="N250" s="4">
        <v>0</v>
      </c>
      <c r="O250" s="4">
        <v>0</v>
      </c>
      <c r="P250" s="4">
        <v>6</v>
      </c>
      <c r="Q250" s="3" t="s">
        <v>26</v>
      </c>
      <c r="R250" s="3">
        <v>0</v>
      </c>
      <c r="S250" s="3" t="s">
        <v>195</v>
      </c>
      <c r="U250" s="3">
        <v>9</v>
      </c>
      <c r="V250" s="3">
        <v>0</v>
      </c>
      <c r="W250" s="3">
        <v>0</v>
      </c>
    </row>
    <row r="251" spans="1:23" ht="11.25" customHeight="1" x14ac:dyDescent="0.25">
      <c r="A251" s="3" t="s">
        <v>21</v>
      </c>
      <c r="B251" s="3" t="s">
        <v>35</v>
      </c>
      <c r="C251" s="3" t="s">
        <v>36</v>
      </c>
      <c r="D251" s="3" t="s">
        <v>34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44682</v>
      </c>
      <c r="J251" s="4">
        <v>13991</v>
      </c>
      <c r="K251" s="4">
        <v>13991</v>
      </c>
      <c r="L251" s="4">
        <v>0</v>
      </c>
      <c r="M251" s="4">
        <v>0</v>
      </c>
      <c r="N251" s="4">
        <v>0</v>
      </c>
      <c r="O251" s="4">
        <v>0</v>
      </c>
      <c r="P251" s="4">
        <v>55</v>
      </c>
      <c r="Q251" s="3" t="s">
        <v>26</v>
      </c>
      <c r="R251" s="3">
        <v>0</v>
      </c>
      <c r="S251" s="3" t="s">
        <v>196</v>
      </c>
      <c r="U251" s="3">
        <v>9</v>
      </c>
      <c r="V251" s="3">
        <v>0</v>
      </c>
      <c r="W251" s="3">
        <v>0</v>
      </c>
    </row>
    <row r="252" spans="1:23" ht="11.25" customHeight="1" x14ac:dyDescent="0.25">
      <c r="A252" s="3" t="s">
        <v>28</v>
      </c>
      <c r="B252" s="3" t="s">
        <v>35</v>
      </c>
      <c r="C252" s="3" t="s">
        <v>36</v>
      </c>
      <c r="D252" s="3" t="s">
        <v>34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776</v>
      </c>
      <c r="K252" s="4">
        <v>776</v>
      </c>
      <c r="L252" s="4">
        <v>0</v>
      </c>
      <c r="M252" s="4">
        <v>0</v>
      </c>
      <c r="N252" s="4">
        <v>0</v>
      </c>
      <c r="O252" s="4">
        <v>0</v>
      </c>
      <c r="P252" s="4">
        <v>5</v>
      </c>
      <c r="Q252" s="3" t="s">
        <v>26</v>
      </c>
      <c r="R252" s="3">
        <v>0</v>
      </c>
      <c r="S252" s="3" t="s">
        <v>196</v>
      </c>
      <c r="U252" s="3">
        <v>9</v>
      </c>
      <c r="V252" s="3">
        <v>0</v>
      </c>
      <c r="W252" s="3">
        <v>0</v>
      </c>
    </row>
    <row r="253" spans="1:23" ht="11.25" customHeight="1" x14ac:dyDescent="0.25">
      <c r="A253" s="3" t="s">
        <v>21</v>
      </c>
      <c r="B253" s="3" t="s">
        <v>35</v>
      </c>
      <c r="C253" s="3" t="s">
        <v>36</v>
      </c>
      <c r="D253" s="3" t="s">
        <v>34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44713</v>
      </c>
      <c r="J253" s="4">
        <v>14010</v>
      </c>
      <c r="K253" s="4">
        <v>14010</v>
      </c>
      <c r="L253" s="4">
        <v>0</v>
      </c>
      <c r="M253" s="4">
        <v>0</v>
      </c>
      <c r="N253" s="4">
        <v>0</v>
      </c>
      <c r="O253" s="4">
        <v>0</v>
      </c>
      <c r="P253" s="4">
        <v>56</v>
      </c>
      <c r="Q253" s="3" t="s">
        <v>26</v>
      </c>
      <c r="R253" s="3">
        <v>0</v>
      </c>
      <c r="S253" s="3" t="s">
        <v>197</v>
      </c>
      <c r="U253" s="3">
        <v>9</v>
      </c>
      <c r="V253" s="3">
        <v>0</v>
      </c>
      <c r="W253" s="3">
        <v>0</v>
      </c>
    </row>
    <row r="254" spans="1:23" ht="11.25" customHeight="1" x14ac:dyDescent="0.25">
      <c r="A254" s="3" t="s">
        <v>28</v>
      </c>
      <c r="B254" s="3" t="s">
        <v>35</v>
      </c>
      <c r="C254" s="3" t="s">
        <v>36</v>
      </c>
      <c r="D254" s="3" t="s">
        <v>34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44713</v>
      </c>
      <c r="J254" s="4">
        <v>776</v>
      </c>
      <c r="K254" s="4">
        <v>776</v>
      </c>
      <c r="L254" s="4">
        <v>0</v>
      </c>
      <c r="M254" s="4">
        <v>0</v>
      </c>
      <c r="N254" s="4">
        <v>0</v>
      </c>
      <c r="O254" s="4">
        <v>0</v>
      </c>
      <c r="P254" s="4">
        <v>5</v>
      </c>
      <c r="Q254" s="3" t="s">
        <v>26</v>
      </c>
      <c r="R254" s="3">
        <v>0</v>
      </c>
      <c r="S254" s="3" t="s">
        <v>197</v>
      </c>
      <c r="U254" s="3">
        <v>9</v>
      </c>
      <c r="V254" s="3">
        <v>0</v>
      </c>
      <c r="W254" s="3">
        <v>0</v>
      </c>
    </row>
    <row r="255" spans="1:23" ht="11.25" customHeight="1" x14ac:dyDescent="0.25">
      <c r="A255" s="3" t="s">
        <v>21</v>
      </c>
      <c r="B255" s="3" t="s">
        <v>35</v>
      </c>
      <c r="C255" s="3" t="s">
        <v>36</v>
      </c>
      <c r="D255" s="3" t="s">
        <v>34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44743</v>
      </c>
      <c r="J255" s="4">
        <v>14031</v>
      </c>
      <c r="K255" s="4">
        <v>14031</v>
      </c>
      <c r="L255" s="4">
        <v>0</v>
      </c>
      <c r="M255" s="4">
        <v>0</v>
      </c>
      <c r="N255" s="4">
        <v>0</v>
      </c>
      <c r="O255" s="4">
        <v>0</v>
      </c>
      <c r="P255" s="4">
        <v>56</v>
      </c>
      <c r="Q255" s="3" t="s">
        <v>26</v>
      </c>
      <c r="R255" s="3">
        <v>0</v>
      </c>
      <c r="S255" s="3" t="s">
        <v>198</v>
      </c>
      <c r="U255" s="3">
        <v>9</v>
      </c>
      <c r="V255" s="3">
        <v>0</v>
      </c>
      <c r="W255" s="3">
        <v>0</v>
      </c>
    </row>
    <row r="256" spans="1:23" ht="11.25" customHeight="1" x14ac:dyDescent="0.25">
      <c r="A256" s="3" t="s">
        <v>21</v>
      </c>
      <c r="B256" s="3" t="s">
        <v>35</v>
      </c>
      <c r="C256" s="3" t="s">
        <v>36</v>
      </c>
      <c r="D256" s="3" t="s">
        <v>34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44774</v>
      </c>
      <c r="J256" s="4">
        <v>13837</v>
      </c>
      <c r="K256" s="4">
        <v>13837</v>
      </c>
      <c r="L256" s="4">
        <v>0</v>
      </c>
      <c r="M256" s="4">
        <v>0</v>
      </c>
      <c r="N256" s="4">
        <v>0</v>
      </c>
      <c r="O256" s="4">
        <v>0</v>
      </c>
      <c r="P256" s="4">
        <v>56</v>
      </c>
      <c r="Q256" s="3" t="s">
        <v>26</v>
      </c>
      <c r="R256" s="3">
        <v>0</v>
      </c>
      <c r="S256" s="3" t="s">
        <v>199</v>
      </c>
      <c r="U256" s="3">
        <v>9</v>
      </c>
      <c r="V256" s="3">
        <v>0</v>
      </c>
      <c r="W256" s="3">
        <v>0</v>
      </c>
    </row>
    <row r="257" spans="1:23" ht="11.25" customHeight="1" x14ac:dyDescent="0.25">
      <c r="A257" s="3" t="s">
        <v>27</v>
      </c>
      <c r="B257" s="3" t="s">
        <v>35</v>
      </c>
      <c r="C257" s="3" t="s">
        <v>36</v>
      </c>
      <c r="D257" s="3" t="s">
        <v>34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44774</v>
      </c>
      <c r="J257" s="4">
        <v>-97</v>
      </c>
      <c r="K257" s="4">
        <v>-97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 t="s">
        <v>26</v>
      </c>
      <c r="R257" s="3">
        <v>0</v>
      </c>
      <c r="S257" s="3" t="s">
        <v>199</v>
      </c>
      <c r="U257" s="3">
        <v>9</v>
      </c>
      <c r="V257" s="3">
        <v>0</v>
      </c>
      <c r="W257" s="3">
        <v>0</v>
      </c>
    </row>
    <row r="258" spans="1:23" ht="11.25" customHeight="1" x14ac:dyDescent="0.25">
      <c r="A258" s="3" t="s">
        <v>28</v>
      </c>
      <c r="B258" s="3" t="s">
        <v>35</v>
      </c>
      <c r="C258" s="3" t="s">
        <v>36</v>
      </c>
      <c r="D258" s="3" t="s">
        <v>34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44774</v>
      </c>
      <c r="J258" s="4">
        <v>1114</v>
      </c>
      <c r="K258" s="4">
        <v>1114</v>
      </c>
      <c r="L258" s="4">
        <v>0</v>
      </c>
      <c r="M258" s="4">
        <v>0</v>
      </c>
      <c r="N258" s="4">
        <v>0</v>
      </c>
      <c r="O258" s="4">
        <v>0</v>
      </c>
      <c r="P258" s="4">
        <v>7</v>
      </c>
      <c r="Q258" s="3" t="s">
        <v>26</v>
      </c>
      <c r="R258" s="3">
        <v>0</v>
      </c>
      <c r="S258" s="3" t="s">
        <v>199</v>
      </c>
      <c r="U258" s="3">
        <v>9</v>
      </c>
      <c r="V258" s="3">
        <v>0</v>
      </c>
      <c r="W258" s="3">
        <v>0</v>
      </c>
    </row>
    <row r="259" spans="1:23" ht="11.25" customHeight="1" x14ac:dyDescent="0.25">
      <c r="A259" s="3" t="s">
        <v>21</v>
      </c>
      <c r="B259" s="3" t="s">
        <v>35</v>
      </c>
      <c r="C259" s="3" t="s">
        <v>36</v>
      </c>
      <c r="D259" s="3" t="s">
        <v>34</v>
      </c>
      <c r="E259" s="3" t="s">
        <v>25</v>
      </c>
      <c r="F259" s="3" t="s">
        <v>25</v>
      </c>
      <c r="G259" s="3" t="s">
        <v>25</v>
      </c>
      <c r="H259" s="3" t="s">
        <v>37</v>
      </c>
      <c r="I259" s="6">
        <v>44440</v>
      </c>
      <c r="J259" s="4">
        <v>0</v>
      </c>
      <c r="K259" s="4">
        <v>0</v>
      </c>
      <c r="L259" s="4">
        <v>227.98599999999999</v>
      </c>
      <c r="M259" s="4">
        <v>227.98599999999999</v>
      </c>
      <c r="N259" s="4">
        <v>227.98599999999999</v>
      </c>
      <c r="O259" s="4">
        <v>227.98599999999999</v>
      </c>
      <c r="P259" s="4">
        <v>0</v>
      </c>
      <c r="Q259" s="3" t="s">
        <v>26</v>
      </c>
      <c r="R259" s="3">
        <v>0</v>
      </c>
      <c r="S259" s="3" t="s">
        <v>200</v>
      </c>
      <c r="T259" s="3" t="s">
        <v>339</v>
      </c>
      <c r="U259" s="3">
        <v>0</v>
      </c>
      <c r="V259" s="3">
        <v>10</v>
      </c>
      <c r="W259" s="3">
        <v>77</v>
      </c>
    </row>
    <row r="260" spans="1:23" ht="11.25" customHeight="1" x14ac:dyDescent="0.25">
      <c r="A260" s="3" t="s">
        <v>28</v>
      </c>
      <c r="B260" s="3" t="s">
        <v>35</v>
      </c>
      <c r="C260" s="3" t="s">
        <v>36</v>
      </c>
      <c r="D260" s="3" t="s">
        <v>34</v>
      </c>
      <c r="E260" s="3" t="s">
        <v>25</v>
      </c>
      <c r="F260" s="3" t="s">
        <v>25</v>
      </c>
      <c r="G260" s="3" t="s">
        <v>25</v>
      </c>
      <c r="H260" s="3" t="s">
        <v>37</v>
      </c>
      <c r="I260" s="6">
        <v>44440</v>
      </c>
      <c r="J260" s="4">
        <v>0</v>
      </c>
      <c r="K260" s="4">
        <v>0</v>
      </c>
      <c r="L260" s="4">
        <v>0.92600000000000005</v>
      </c>
      <c r="M260" s="4">
        <v>0.92600000000000005</v>
      </c>
      <c r="N260" s="4">
        <v>0.92600000000000005</v>
      </c>
      <c r="O260" s="4">
        <v>0.92600000000000005</v>
      </c>
      <c r="P260" s="4">
        <v>0</v>
      </c>
      <c r="Q260" s="3" t="s">
        <v>26</v>
      </c>
      <c r="R260" s="3">
        <v>0</v>
      </c>
      <c r="S260" s="3" t="s">
        <v>200</v>
      </c>
      <c r="T260" s="3" t="s">
        <v>339</v>
      </c>
      <c r="U260" s="3">
        <v>0</v>
      </c>
      <c r="V260" s="3">
        <v>10</v>
      </c>
      <c r="W260" s="3">
        <v>77</v>
      </c>
    </row>
    <row r="261" spans="1:23" ht="11.25" customHeight="1" x14ac:dyDescent="0.25">
      <c r="A261" s="3" t="s">
        <v>21</v>
      </c>
      <c r="B261" s="3" t="s">
        <v>35</v>
      </c>
      <c r="C261" s="3" t="s">
        <v>36</v>
      </c>
      <c r="D261" s="3" t="s">
        <v>34</v>
      </c>
      <c r="E261" s="3" t="s">
        <v>25</v>
      </c>
      <c r="F261" s="3" t="s">
        <v>25</v>
      </c>
      <c r="G261" s="3" t="s">
        <v>25</v>
      </c>
      <c r="H261" s="3" t="s">
        <v>37</v>
      </c>
      <c r="I261" s="6">
        <v>44470</v>
      </c>
      <c r="J261" s="4">
        <v>0</v>
      </c>
      <c r="K261" s="4">
        <v>0</v>
      </c>
      <c r="L261" s="4">
        <v>229.4</v>
      </c>
      <c r="M261" s="4">
        <v>229.4</v>
      </c>
      <c r="N261" s="4">
        <v>229.4</v>
      </c>
      <c r="O261" s="4">
        <v>229.4</v>
      </c>
      <c r="P261" s="4">
        <v>0</v>
      </c>
      <c r="Q261" s="3" t="s">
        <v>26</v>
      </c>
      <c r="R261" s="3">
        <v>0</v>
      </c>
      <c r="S261" s="3" t="s">
        <v>201</v>
      </c>
      <c r="T261" s="3" t="s">
        <v>340</v>
      </c>
      <c r="U261" s="3">
        <v>0</v>
      </c>
      <c r="V261" s="3">
        <v>10</v>
      </c>
      <c r="W261" s="3">
        <v>77</v>
      </c>
    </row>
    <row r="262" spans="1:23" ht="11.25" customHeight="1" x14ac:dyDescent="0.25">
      <c r="A262" s="3" t="s">
        <v>28</v>
      </c>
      <c r="B262" s="3" t="s">
        <v>35</v>
      </c>
      <c r="C262" s="3" t="s">
        <v>36</v>
      </c>
      <c r="D262" s="3" t="s">
        <v>34</v>
      </c>
      <c r="E262" s="3" t="s">
        <v>25</v>
      </c>
      <c r="F262" s="3" t="s">
        <v>25</v>
      </c>
      <c r="G262" s="3" t="s">
        <v>25</v>
      </c>
      <c r="H262" s="3" t="s">
        <v>37</v>
      </c>
      <c r="I262" s="6">
        <v>44470</v>
      </c>
      <c r="J262" s="4">
        <v>0</v>
      </c>
      <c r="K262" s="4">
        <v>0</v>
      </c>
      <c r="L262" s="4">
        <v>1.1779999999999999</v>
      </c>
      <c r="M262" s="4">
        <v>1.1779999999999999</v>
      </c>
      <c r="N262" s="4">
        <v>1.1779999999999999</v>
      </c>
      <c r="O262" s="4">
        <v>1.1779999999999999</v>
      </c>
      <c r="P262" s="4">
        <v>0</v>
      </c>
      <c r="Q262" s="3" t="s">
        <v>26</v>
      </c>
      <c r="R262" s="3">
        <v>0</v>
      </c>
      <c r="S262" s="3" t="s">
        <v>201</v>
      </c>
      <c r="T262" s="3" t="s">
        <v>340</v>
      </c>
      <c r="U262" s="3">
        <v>0</v>
      </c>
      <c r="V262" s="3">
        <v>10</v>
      </c>
      <c r="W262" s="3">
        <v>77</v>
      </c>
    </row>
    <row r="263" spans="1:23" ht="11.25" customHeight="1" x14ac:dyDescent="0.25">
      <c r="A263" s="3" t="s">
        <v>21</v>
      </c>
      <c r="B263" s="3" t="s">
        <v>35</v>
      </c>
      <c r="C263" s="3" t="s">
        <v>36</v>
      </c>
      <c r="D263" s="3" t="s">
        <v>34</v>
      </c>
      <c r="E263" s="3" t="s">
        <v>25</v>
      </c>
      <c r="F263" s="3" t="s">
        <v>25</v>
      </c>
      <c r="G263" s="3" t="s">
        <v>25</v>
      </c>
      <c r="H263" s="3" t="s">
        <v>37</v>
      </c>
      <c r="I263" s="6">
        <v>44501</v>
      </c>
      <c r="J263" s="4">
        <v>0</v>
      </c>
      <c r="K263" s="4">
        <v>0</v>
      </c>
      <c r="L263" s="4">
        <v>231.04300000000001</v>
      </c>
      <c r="M263" s="4">
        <v>231.04300000000001</v>
      </c>
      <c r="N263" s="4">
        <v>231.04300000000001</v>
      </c>
      <c r="O263" s="4">
        <v>231.04300000000001</v>
      </c>
      <c r="P263" s="4">
        <v>0</v>
      </c>
      <c r="Q263" s="3" t="s">
        <v>26</v>
      </c>
      <c r="R263" s="3">
        <v>0</v>
      </c>
      <c r="S263" s="3" t="s">
        <v>202</v>
      </c>
      <c r="T263" s="3" t="s">
        <v>341</v>
      </c>
      <c r="U263" s="3">
        <v>0</v>
      </c>
      <c r="V263" s="3">
        <v>10</v>
      </c>
      <c r="W263" s="3">
        <v>77</v>
      </c>
    </row>
    <row r="264" spans="1:23" ht="11.25" customHeight="1" x14ac:dyDescent="0.25">
      <c r="A264" s="3" t="s">
        <v>28</v>
      </c>
      <c r="B264" s="3" t="s">
        <v>35</v>
      </c>
      <c r="C264" s="3" t="s">
        <v>36</v>
      </c>
      <c r="D264" s="3" t="s">
        <v>34</v>
      </c>
      <c r="E264" s="3" t="s">
        <v>25</v>
      </c>
      <c r="F264" s="3" t="s">
        <v>25</v>
      </c>
      <c r="G264" s="3" t="s">
        <v>25</v>
      </c>
      <c r="H264" s="3" t="s">
        <v>37</v>
      </c>
      <c r="I264" s="6">
        <v>44501</v>
      </c>
      <c r="J264" s="4">
        <v>0</v>
      </c>
      <c r="K264" s="4">
        <v>0</v>
      </c>
      <c r="L264" s="4">
        <v>1.3169999999999999</v>
      </c>
      <c r="M264" s="4">
        <v>1.3169999999999999</v>
      </c>
      <c r="N264" s="4">
        <v>1.3169999999999999</v>
      </c>
      <c r="O264" s="4">
        <v>1.3169999999999999</v>
      </c>
      <c r="P264" s="4">
        <v>0</v>
      </c>
      <c r="Q264" s="3" t="s">
        <v>26</v>
      </c>
      <c r="R264" s="3">
        <v>0</v>
      </c>
      <c r="S264" s="3" t="s">
        <v>202</v>
      </c>
      <c r="T264" s="3" t="s">
        <v>341</v>
      </c>
      <c r="U264" s="3">
        <v>0</v>
      </c>
      <c r="V264" s="3">
        <v>10</v>
      </c>
      <c r="W264" s="3">
        <v>77</v>
      </c>
    </row>
    <row r="265" spans="1:23" ht="11.25" customHeight="1" x14ac:dyDescent="0.25">
      <c r="A265" s="3" t="s">
        <v>21</v>
      </c>
      <c r="B265" s="3" t="s">
        <v>35</v>
      </c>
      <c r="C265" s="3" t="s">
        <v>36</v>
      </c>
      <c r="D265" s="3" t="s">
        <v>34</v>
      </c>
      <c r="E265" s="3" t="s">
        <v>25</v>
      </c>
      <c r="F265" s="3" t="s">
        <v>25</v>
      </c>
      <c r="G265" s="3" t="s">
        <v>25</v>
      </c>
      <c r="H265" s="3" t="s">
        <v>37</v>
      </c>
      <c r="I265" s="6">
        <v>44531</v>
      </c>
      <c r="J265" s="4">
        <v>0</v>
      </c>
      <c r="K265" s="4">
        <v>0</v>
      </c>
      <c r="L265" s="4">
        <v>187.69200000000001</v>
      </c>
      <c r="M265" s="4">
        <v>187.69200000000001</v>
      </c>
      <c r="N265" s="4">
        <v>187.69200000000001</v>
      </c>
      <c r="O265" s="4">
        <v>187.69200000000001</v>
      </c>
      <c r="P265" s="4">
        <v>0</v>
      </c>
      <c r="Q265" s="3" t="s">
        <v>26</v>
      </c>
      <c r="R265" s="3">
        <v>0</v>
      </c>
      <c r="S265" s="3" t="s">
        <v>203</v>
      </c>
      <c r="T265" s="3" t="s">
        <v>342</v>
      </c>
      <c r="U265" s="3">
        <v>0</v>
      </c>
      <c r="V265" s="3">
        <v>10</v>
      </c>
      <c r="W265" s="3">
        <v>77</v>
      </c>
    </row>
    <row r="266" spans="1:23" ht="11.25" customHeight="1" x14ac:dyDescent="0.25">
      <c r="A266" s="3" t="s">
        <v>28</v>
      </c>
      <c r="B266" s="3" t="s">
        <v>35</v>
      </c>
      <c r="C266" s="3" t="s">
        <v>36</v>
      </c>
      <c r="D266" s="3" t="s">
        <v>34</v>
      </c>
      <c r="E266" s="3" t="s">
        <v>25</v>
      </c>
      <c r="F266" s="3" t="s">
        <v>25</v>
      </c>
      <c r="G266" s="3" t="s">
        <v>25</v>
      </c>
      <c r="H266" s="3" t="s">
        <v>37</v>
      </c>
      <c r="I266" s="6">
        <v>44531</v>
      </c>
      <c r="J266" s="4">
        <v>0</v>
      </c>
      <c r="K266" s="4">
        <v>0</v>
      </c>
      <c r="L266" s="4">
        <v>1.0589999999999999</v>
      </c>
      <c r="M266" s="4">
        <v>1.0589999999999999</v>
      </c>
      <c r="N266" s="4">
        <v>1.0589999999999999</v>
      </c>
      <c r="O266" s="4">
        <v>1.0589999999999999</v>
      </c>
      <c r="P266" s="4">
        <v>0</v>
      </c>
      <c r="Q266" s="3" t="s">
        <v>26</v>
      </c>
      <c r="R266" s="3">
        <v>0</v>
      </c>
      <c r="S266" s="3" t="s">
        <v>203</v>
      </c>
      <c r="T266" s="3" t="s">
        <v>342</v>
      </c>
      <c r="U266" s="3">
        <v>0</v>
      </c>
      <c r="V266" s="3">
        <v>10</v>
      </c>
      <c r="W266" s="3">
        <v>77</v>
      </c>
    </row>
    <row r="267" spans="1:23" ht="11.25" customHeight="1" x14ac:dyDescent="0.25">
      <c r="A267" s="3" t="s">
        <v>21</v>
      </c>
      <c r="B267" s="3" t="s">
        <v>35</v>
      </c>
      <c r="C267" s="3" t="s">
        <v>36</v>
      </c>
      <c r="D267" s="3" t="s">
        <v>34</v>
      </c>
      <c r="E267" s="3" t="s">
        <v>25</v>
      </c>
      <c r="F267" s="3" t="s">
        <v>25</v>
      </c>
      <c r="G267" s="3" t="s">
        <v>25</v>
      </c>
      <c r="H267" s="3" t="s">
        <v>37</v>
      </c>
      <c r="I267" s="6">
        <v>44562</v>
      </c>
      <c r="J267" s="4">
        <v>0</v>
      </c>
      <c r="K267" s="4">
        <v>0</v>
      </c>
      <c r="L267" s="4">
        <v>210.47200000000001</v>
      </c>
      <c r="M267" s="4">
        <v>210.47200000000001</v>
      </c>
      <c r="N267" s="4">
        <v>210.47200000000001</v>
      </c>
      <c r="O267" s="4">
        <v>210.47200000000001</v>
      </c>
      <c r="P267" s="4">
        <v>0</v>
      </c>
      <c r="Q267" s="3" t="s">
        <v>26</v>
      </c>
      <c r="R267" s="3">
        <v>0</v>
      </c>
      <c r="S267" s="3" t="s">
        <v>204</v>
      </c>
      <c r="T267" s="3" t="s">
        <v>343</v>
      </c>
      <c r="U267" s="3">
        <v>0</v>
      </c>
      <c r="V267" s="3">
        <v>10</v>
      </c>
      <c r="W267" s="3">
        <v>77</v>
      </c>
    </row>
    <row r="268" spans="1:23" ht="11.25" customHeight="1" x14ac:dyDescent="0.25">
      <c r="A268" s="3" t="s">
        <v>28</v>
      </c>
      <c r="B268" s="3" t="s">
        <v>35</v>
      </c>
      <c r="C268" s="3" t="s">
        <v>36</v>
      </c>
      <c r="D268" s="3" t="s">
        <v>34</v>
      </c>
      <c r="E268" s="3" t="s">
        <v>25</v>
      </c>
      <c r="F268" s="3" t="s">
        <v>25</v>
      </c>
      <c r="G268" s="3" t="s">
        <v>25</v>
      </c>
      <c r="H268" s="3" t="s">
        <v>37</v>
      </c>
      <c r="I268" s="6">
        <v>44562</v>
      </c>
      <c r="J268" s="4">
        <v>0</v>
      </c>
      <c r="K268" s="4">
        <v>0</v>
      </c>
      <c r="L268" s="4">
        <v>1.2370000000000001</v>
      </c>
      <c r="M268" s="4">
        <v>1.2370000000000001</v>
      </c>
      <c r="N268" s="4">
        <v>1.2370000000000001</v>
      </c>
      <c r="O268" s="4">
        <v>1.2370000000000001</v>
      </c>
      <c r="P268" s="4">
        <v>0</v>
      </c>
      <c r="Q268" s="3" t="s">
        <v>26</v>
      </c>
      <c r="R268" s="3">
        <v>0</v>
      </c>
      <c r="S268" s="3" t="s">
        <v>204</v>
      </c>
      <c r="T268" s="3" t="s">
        <v>343</v>
      </c>
      <c r="U268" s="3">
        <v>0</v>
      </c>
      <c r="V268" s="3">
        <v>10</v>
      </c>
      <c r="W268" s="3">
        <v>77</v>
      </c>
    </row>
    <row r="269" spans="1:23" ht="11.25" customHeight="1" x14ac:dyDescent="0.25">
      <c r="A269" s="3" t="s">
        <v>21</v>
      </c>
      <c r="B269" s="3" t="s">
        <v>35</v>
      </c>
      <c r="C269" s="3" t="s">
        <v>36</v>
      </c>
      <c r="D269" s="3" t="s">
        <v>34</v>
      </c>
      <c r="E269" s="3" t="s">
        <v>25</v>
      </c>
      <c r="F269" s="3" t="s">
        <v>25</v>
      </c>
      <c r="G269" s="3" t="s">
        <v>25</v>
      </c>
      <c r="H269" s="3" t="s">
        <v>37</v>
      </c>
      <c r="I269" s="6">
        <v>44593</v>
      </c>
      <c r="J269" s="4">
        <v>0</v>
      </c>
      <c r="K269" s="4">
        <v>0</v>
      </c>
      <c r="L269" s="4">
        <v>225.51599999999999</v>
      </c>
      <c r="M269" s="4">
        <v>225.51599999999999</v>
      </c>
      <c r="N269" s="4">
        <v>225.51599999999999</v>
      </c>
      <c r="O269" s="4">
        <v>225.51599999999999</v>
      </c>
      <c r="P269" s="4">
        <v>0</v>
      </c>
      <c r="Q269" s="3" t="s">
        <v>26</v>
      </c>
      <c r="R269" s="3">
        <v>0</v>
      </c>
      <c r="S269" s="3" t="s">
        <v>205</v>
      </c>
      <c r="T269" s="3" t="s">
        <v>344</v>
      </c>
      <c r="U269" s="3">
        <v>0</v>
      </c>
      <c r="V269" s="3">
        <v>10</v>
      </c>
      <c r="W269" s="3">
        <v>77</v>
      </c>
    </row>
    <row r="270" spans="1:23" ht="11.25" customHeight="1" x14ac:dyDescent="0.25">
      <c r="A270" s="3" t="s">
        <v>28</v>
      </c>
      <c r="B270" s="3" t="s">
        <v>35</v>
      </c>
      <c r="C270" s="3" t="s">
        <v>36</v>
      </c>
      <c r="D270" s="3" t="s">
        <v>34</v>
      </c>
      <c r="E270" s="3" t="s">
        <v>25</v>
      </c>
      <c r="F270" s="3" t="s">
        <v>25</v>
      </c>
      <c r="G270" s="3" t="s">
        <v>25</v>
      </c>
      <c r="H270" s="3" t="s">
        <v>37</v>
      </c>
      <c r="I270" s="6">
        <v>44593</v>
      </c>
      <c r="J270" s="4">
        <v>0</v>
      </c>
      <c r="K270" s="4">
        <v>0</v>
      </c>
      <c r="L270" s="4">
        <v>1.113</v>
      </c>
      <c r="M270" s="4">
        <v>1.113</v>
      </c>
      <c r="N270" s="4">
        <v>1.113</v>
      </c>
      <c r="O270" s="4">
        <v>1.113</v>
      </c>
      <c r="P270" s="4">
        <v>0</v>
      </c>
      <c r="Q270" s="3" t="s">
        <v>26</v>
      </c>
      <c r="R270" s="3">
        <v>0</v>
      </c>
      <c r="S270" s="3" t="s">
        <v>205</v>
      </c>
      <c r="T270" s="3" t="s">
        <v>344</v>
      </c>
      <c r="U270" s="3">
        <v>0</v>
      </c>
      <c r="V270" s="3">
        <v>10</v>
      </c>
      <c r="W270" s="3">
        <v>77</v>
      </c>
    </row>
    <row r="271" spans="1:23" ht="11.25" customHeight="1" x14ac:dyDescent="0.25">
      <c r="A271" s="3" t="s">
        <v>21</v>
      </c>
      <c r="B271" s="3" t="s">
        <v>35</v>
      </c>
      <c r="C271" s="3" t="s">
        <v>36</v>
      </c>
      <c r="D271" s="3" t="s">
        <v>34</v>
      </c>
      <c r="E271" s="3" t="s">
        <v>25</v>
      </c>
      <c r="F271" s="3" t="s">
        <v>25</v>
      </c>
      <c r="G271" s="3" t="s">
        <v>25</v>
      </c>
      <c r="H271" s="3" t="s">
        <v>37</v>
      </c>
      <c r="I271" s="6">
        <v>44621</v>
      </c>
      <c r="J271" s="4">
        <v>0</v>
      </c>
      <c r="K271" s="4">
        <v>0</v>
      </c>
      <c r="L271" s="4">
        <v>249.94399999999999</v>
      </c>
      <c r="M271" s="4">
        <v>249.94399999999999</v>
      </c>
      <c r="N271" s="4">
        <v>249.94399999999999</v>
      </c>
      <c r="O271" s="4">
        <v>249.94399999999999</v>
      </c>
      <c r="P271" s="4">
        <v>0</v>
      </c>
      <c r="Q271" s="3" t="s">
        <v>26</v>
      </c>
      <c r="R271" s="3">
        <v>0</v>
      </c>
      <c r="S271" s="3" t="s">
        <v>206</v>
      </c>
      <c r="T271" s="3" t="s">
        <v>345</v>
      </c>
      <c r="U271" s="3">
        <v>0</v>
      </c>
      <c r="V271" s="3">
        <v>10</v>
      </c>
      <c r="W271" s="3">
        <v>77</v>
      </c>
    </row>
    <row r="272" spans="1:23" ht="11.25" customHeight="1" x14ac:dyDescent="0.25">
      <c r="A272" s="3" t="s">
        <v>28</v>
      </c>
      <c r="B272" s="3" t="s">
        <v>35</v>
      </c>
      <c r="C272" s="3" t="s">
        <v>36</v>
      </c>
      <c r="D272" s="3" t="s">
        <v>34</v>
      </c>
      <c r="E272" s="3" t="s">
        <v>25</v>
      </c>
      <c r="F272" s="3" t="s">
        <v>25</v>
      </c>
      <c r="G272" s="3" t="s">
        <v>25</v>
      </c>
      <c r="H272" s="3" t="s">
        <v>37</v>
      </c>
      <c r="I272" s="6">
        <v>44621</v>
      </c>
      <c r="J272" s="4">
        <v>0</v>
      </c>
      <c r="K272" s="4">
        <v>0</v>
      </c>
      <c r="L272" s="4">
        <v>1.5529999999999999</v>
      </c>
      <c r="M272" s="4">
        <v>1.5529999999999999</v>
      </c>
      <c r="N272" s="4">
        <v>1.5529999999999999</v>
      </c>
      <c r="O272" s="4">
        <v>1.5529999999999999</v>
      </c>
      <c r="P272" s="4">
        <v>0</v>
      </c>
      <c r="Q272" s="3" t="s">
        <v>26</v>
      </c>
      <c r="R272" s="3">
        <v>0</v>
      </c>
      <c r="S272" s="3" t="s">
        <v>206</v>
      </c>
      <c r="T272" s="3" t="s">
        <v>345</v>
      </c>
      <c r="U272" s="3">
        <v>0</v>
      </c>
      <c r="V272" s="3">
        <v>10</v>
      </c>
      <c r="W272" s="3">
        <v>77</v>
      </c>
    </row>
    <row r="273" spans="1:23" ht="11.25" customHeight="1" x14ac:dyDescent="0.25">
      <c r="A273" s="3" t="s">
        <v>21</v>
      </c>
      <c r="B273" s="3" t="s">
        <v>35</v>
      </c>
      <c r="C273" s="3" t="s">
        <v>36</v>
      </c>
      <c r="D273" s="3" t="s">
        <v>34</v>
      </c>
      <c r="E273" s="3" t="s">
        <v>25</v>
      </c>
      <c r="F273" s="3" t="s">
        <v>25</v>
      </c>
      <c r="G273" s="3" t="s">
        <v>25</v>
      </c>
      <c r="H273" s="3" t="s">
        <v>37</v>
      </c>
      <c r="I273" s="6">
        <v>44652</v>
      </c>
      <c r="J273" s="4">
        <v>0</v>
      </c>
      <c r="K273" s="4">
        <v>0</v>
      </c>
      <c r="L273" s="4">
        <v>212.27199999999999</v>
      </c>
      <c r="M273" s="4">
        <v>212.27199999999999</v>
      </c>
      <c r="N273" s="4">
        <v>212.27199999999999</v>
      </c>
      <c r="O273" s="4">
        <v>212.27199999999999</v>
      </c>
      <c r="P273" s="4">
        <v>0</v>
      </c>
      <c r="Q273" s="3" t="s">
        <v>26</v>
      </c>
      <c r="R273" s="3">
        <v>0</v>
      </c>
      <c r="S273" s="3" t="s">
        <v>207</v>
      </c>
      <c r="T273" s="3" t="s">
        <v>346</v>
      </c>
      <c r="U273" s="3">
        <v>0</v>
      </c>
      <c r="V273" s="3">
        <v>10</v>
      </c>
      <c r="W273" s="3">
        <v>77</v>
      </c>
    </row>
    <row r="274" spans="1:23" ht="11.25" customHeight="1" x14ac:dyDescent="0.25">
      <c r="A274" s="3" t="s">
        <v>28</v>
      </c>
      <c r="B274" s="3" t="s">
        <v>35</v>
      </c>
      <c r="C274" s="3" t="s">
        <v>36</v>
      </c>
      <c r="D274" s="3" t="s">
        <v>34</v>
      </c>
      <c r="E274" s="3" t="s">
        <v>25</v>
      </c>
      <c r="F274" s="3" t="s">
        <v>25</v>
      </c>
      <c r="G274" s="3" t="s">
        <v>25</v>
      </c>
      <c r="H274" s="3" t="s">
        <v>37</v>
      </c>
      <c r="I274" s="6">
        <v>44652</v>
      </c>
      <c r="J274" s="4">
        <v>0</v>
      </c>
      <c r="K274" s="4">
        <v>0</v>
      </c>
      <c r="L274" s="4">
        <v>1.5489999999999999</v>
      </c>
      <c r="M274" s="4">
        <v>1.5489999999999999</v>
      </c>
      <c r="N274" s="4">
        <v>1.5489999999999999</v>
      </c>
      <c r="O274" s="4">
        <v>1.5489999999999999</v>
      </c>
      <c r="P274" s="4">
        <v>0</v>
      </c>
      <c r="Q274" s="3" t="s">
        <v>26</v>
      </c>
      <c r="R274" s="3">
        <v>0</v>
      </c>
      <c r="S274" s="3" t="s">
        <v>207</v>
      </c>
      <c r="T274" s="3" t="s">
        <v>346</v>
      </c>
      <c r="U274" s="3">
        <v>0</v>
      </c>
      <c r="V274" s="3">
        <v>10</v>
      </c>
      <c r="W274" s="3">
        <v>77</v>
      </c>
    </row>
    <row r="275" spans="1:23" ht="11.25" customHeight="1" x14ac:dyDescent="0.25">
      <c r="A275" s="3" t="s">
        <v>21</v>
      </c>
      <c r="B275" s="3" t="s">
        <v>35</v>
      </c>
      <c r="C275" s="3" t="s">
        <v>36</v>
      </c>
      <c r="D275" s="3" t="s">
        <v>34</v>
      </c>
      <c r="E275" s="3" t="s">
        <v>25</v>
      </c>
      <c r="F275" s="3" t="s">
        <v>25</v>
      </c>
      <c r="G275" s="3" t="s">
        <v>25</v>
      </c>
      <c r="H275" s="3" t="s">
        <v>37</v>
      </c>
      <c r="I275" s="6">
        <v>44682</v>
      </c>
      <c r="J275" s="4">
        <v>0</v>
      </c>
      <c r="K275" s="4">
        <v>0</v>
      </c>
      <c r="L275" s="4">
        <v>227.17599999999999</v>
      </c>
      <c r="M275" s="4">
        <v>227.17599999999999</v>
      </c>
      <c r="N275" s="4">
        <v>227.17599999999999</v>
      </c>
      <c r="O275" s="4">
        <v>227.17599999999999</v>
      </c>
      <c r="P275" s="4">
        <v>0</v>
      </c>
      <c r="Q275" s="3" t="s">
        <v>26</v>
      </c>
      <c r="R275" s="3">
        <v>0</v>
      </c>
      <c r="S275" s="3" t="s">
        <v>208</v>
      </c>
      <c r="T275" s="3" t="s">
        <v>347</v>
      </c>
      <c r="U275" s="3">
        <v>0</v>
      </c>
      <c r="V275" s="3">
        <v>10</v>
      </c>
      <c r="W275" s="3">
        <v>77</v>
      </c>
    </row>
    <row r="276" spans="1:23" ht="11.25" customHeight="1" x14ac:dyDescent="0.25">
      <c r="A276" s="3" t="s">
        <v>28</v>
      </c>
      <c r="B276" s="3" t="s">
        <v>35</v>
      </c>
      <c r="C276" s="3" t="s">
        <v>36</v>
      </c>
      <c r="D276" s="3" t="s">
        <v>34</v>
      </c>
      <c r="E276" s="3" t="s">
        <v>25</v>
      </c>
      <c r="F276" s="3" t="s">
        <v>25</v>
      </c>
      <c r="G276" s="3" t="s">
        <v>25</v>
      </c>
      <c r="H276" s="3" t="s">
        <v>37</v>
      </c>
      <c r="I276" s="6">
        <v>44682</v>
      </c>
      <c r="J276" s="4">
        <v>0</v>
      </c>
      <c r="K276" s="4">
        <v>0</v>
      </c>
      <c r="L276" s="4">
        <v>1.038</v>
      </c>
      <c r="M276" s="4">
        <v>1.038</v>
      </c>
      <c r="N276" s="4">
        <v>1.038</v>
      </c>
      <c r="O276" s="4">
        <v>1.038</v>
      </c>
      <c r="P276" s="4">
        <v>0</v>
      </c>
      <c r="Q276" s="3" t="s">
        <v>26</v>
      </c>
      <c r="R276" s="3">
        <v>0</v>
      </c>
      <c r="S276" s="3" t="s">
        <v>208</v>
      </c>
      <c r="T276" s="3" t="s">
        <v>347</v>
      </c>
      <c r="U276" s="3">
        <v>0</v>
      </c>
      <c r="V276" s="3">
        <v>10</v>
      </c>
      <c r="W276" s="3">
        <v>77</v>
      </c>
    </row>
    <row r="277" spans="1:23" ht="11.25" customHeight="1" x14ac:dyDescent="0.25">
      <c r="A277" s="3" t="s">
        <v>21</v>
      </c>
      <c r="B277" s="3" t="s">
        <v>35</v>
      </c>
      <c r="C277" s="3" t="s">
        <v>36</v>
      </c>
      <c r="D277" s="3" t="s">
        <v>34</v>
      </c>
      <c r="E277" s="3" t="s">
        <v>25</v>
      </c>
      <c r="F277" s="3" t="s">
        <v>25</v>
      </c>
      <c r="G277" s="3" t="s">
        <v>25</v>
      </c>
      <c r="H277" s="3" t="s">
        <v>37</v>
      </c>
      <c r="I277" s="6">
        <v>44713</v>
      </c>
      <c r="J277" s="4">
        <v>0</v>
      </c>
      <c r="K277" s="4">
        <v>0</v>
      </c>
      <c r="L277" s="4">
        <v>234.74199999999999</v>
      </c>
      <c r="M277" s="4">
        <v>234.74199999999999</v>
      </c>
      <c r="N277" s="4">
        <v>234.74199999999999</v>
      </c>
      <c r="O277" s="4">
        <v>234.74199999999999</v>
      </c>
      <c r="P277" s="4">
        <v>0</v>
      </c>
      <c r="Q277" s="3" t="s">
        <v>26</v>
      </c>
      <c r="R277" s="3">
        <v>0</v>
      </c>
      <c r="S277" s="3" t="s">
        <v>209</v>
      </c>
      <c r="T277" s="3" t="s">
        <v>348</v>
      </c>
      <c r="U277" s="3">
        <v>0</v>
      </c>
      <c r="V277" s="3">
        <v>10</v>
      </c>
      <c r="W277" s="3">
        <v>77</v>
      </c>
    </row>
    <row r="278" spans="1:23" ht="11.25" customHeight="1" x14ac:dyDescent="0.25">
      <c r="A278" s="3" t="s">
        <v>28</v>
      </c>
      <c r="B278" s="3" t="s">
        <v>35</v>
      </c>
      <c r="C278" s="3" t="s">
        <v>36</v>
      </c>
      <c r="D278" s="3" t="s">
        <v>34</v>
      </c>
      <c r="E278" s="3" t="s">
        <v>25</v>
      </c>
      <c r="F278" s="3" t="s">
        <v>25</v>
      </c>
      <c r="G278" s="3" t="s">
        <v>25</v>
      </c>
      <c r="H278" s="3" t="s">
        <v>37</v>
      </c>
      <c r="I278" s="6">
        <v>44713</v>
      </c>
      <c r="J278" s="4">
        <v>0</v>
      </c>
      <c r="K278" s="4">
        <v>0</v>
      </c>
      <c r="L278" s="4">
        <v>1.1060000000000001</v>
      </c>
      <c r="M278" s="4">
        <v>1.1060000000000001</v>
      </c>
      <c r="N278" s="4">
        <v>1.1060000000000001</v>
      </c>
      <c r="O278" s="4">
        <v>1.1060000000000001</v>
      </c>
      <c r="P278" s="4">
        <v>0</v>
      </c>
      <c r="Q278" s="3" t="s">
        <v>26</v>
      </c>
      <c r="R278" s="3">
        <v>0</v>
      </c>
      <c r="S278" s="3" t="s">
        <v>209</v>
      </c>
      <c r="T278" s="3" t="s">
        <v>348</v>
      </c>
      <c r="U278" s="3">
        <v>0</v>
      </c>
      <c r="V278" s="3">
        <v>10</v>
      </c>
      <c r="W278" s="3">
        <v>77</v>
      </c>
    </row>
    <row r="279" spans="1:23" ht="11.25" customHeight="1" x14ac:dyDescent="0.25">
      <c r="A279" s="3" t="s">
        <v>21</v>
      </c>
      <c r="B279" s="3" t="s">
        <v>35</v>
      </c>
      <c r="C279" s="3" t="s">
        <v>36</v>
      </c>
      <c r="D279" s="3" t="s">
        <v>34</v>
      </c>
      <c r="E279" s="3" t="s">
        <v>25</v>
      </c>
      <c r="F279" s="3" t="s">
        <v>25</v>
      </c>
      <c r="G279" s="3" t="s">
        <v>25</v>
      </c>
      <c r="H279" s="3" t="s">
        <v>37</v>
      </c>
      <c r="I279" s="6">
        <v>44743</v>
      </c>
      <c r="J279" s="4">
        <v>0</v>
      </c>
      <c r="K279" s="4">
        <v>0</v>
      </c>
      <c r="L279" s="4">
        <v>234.173</v>
      </c>
      <c r="M279" s="4">
        <v>234.173</v>
      </c>
      <c r="N279" s="4">
        <v>234.173</v>
      </c>
      <c r="O279" s="4">
        <v>234.173</v>
      </c>
      <c r="P279" s="4">
        <v>0</v>
      </c>
      <c r="Q279" s="3" t="s">
        <v>26</v>
      </c>
      <c r="R279" s="3">
        <v>0</v>
      </c>
      <c r="S279" s="3" t="s">
        <v>210</v>
      </c>
      <c r="T279" s="3" t="s">
        <v>349</v>
      </c>
      <c r="U279" s="3">
        <v>0</v>
      </c>
      <c r="V279" s="3">
        <v>10</v>
      </c>
      <c r="W279" s="3">
        <v>77</v>
      </c>
    </row>
    <row r="280" spans="1:23" ht="11.25" customHeight="1" x14ac:dyDescent="0.25">
      <c r="A280" s="3" t="s">
        <v>21</v>
      </c>
      <c r="B280" s="3" t="s">
        <v>35</v>
      </c>
      <c r="C280" s="3" t="s">
        <v>36</v>
      </c>
      <c r="D280" s="3" t="s">
        <v>34</v>
      </c>
      <c r="E280" s="3" t="s">
        <v>25</v>
      </c>
      <c r="F280" s="3" t="s">
        <v>25</v>
      </c>
      <c r="G280" s="3" t="s">
        <v>25</v>
      </c>
      <c r="H280" s="3" t="s">
        <v>37</v>
      </c>
      <c r="I280" s="6">
        <v>44774</v>
      </c>
      <c r="J280" s="4">
        <v>0</v>
      </c>
      <c r="K280" s="4">
        <v>0</v>
      </c>
      <c r="L280" s="4">
        <v>264.64100000000002</v>
      </c>
      <c r="M280" s="4">
        <v>264.64100000000002</v>
      </c>
      <c r="N280" s="4">
        <v>264.64100000000002</v>
      </c>
      <c r="O280" s="4">
        <v>264.64100000000002</v>
      </c>
      <c r="P280" s="4">
        <v>0</v>
      </c>
      <c r="Q280" s="3" t="s">
        <v>26</v>
      </c>
      <c r="R280" s="3">
        <v>0</v>
      </c>
      <c r="S280" s="3" t="s">
        <v>211</v>
      </c>
      <c r="T280" s="3" t="s">
        <v>350</v>
      </c>
      <c r="U280" s="3">
        <v>0</v>
      </c>
      <c r="V280" s="3">
        <v>10</v>
      </c>
      <c r="W280" s="3">
        <v>77</v>
      </c>
    </row>
    <row r="281" spans="1:23" ht="11.25" customHeight="1" x14ac:dyDescent="0.25">
      <c r="A281" s="3" t="s">
        <v>27</v>
      </c>
      <c r="B281" s="3" t="s">
        <v>35</v>
      </c>
      <c r="C281" s="3" t="s">
        <v>36</v>
      </c>
      <c r="D281" s="3" t="s">
        <v>34</v>
      </c>
      <c r="E281" s="3" t="s">
        <v>25</v>
      </c>
      <c r="F281" s="3" t="s">
        <v>25</v>
      </c>
      <c r="G281" s="3" t="s">
        <v>25</v>
      </c>
      <c r="H281" s="3" t="s">
        <v>37</v>
      </c>
      <c r="I281" s="6">
        <v>44774</v>
      </c>
      <c r="J281" s="4">
        <v>0</v>
      </c>
      <c r="K281" s="4">
        <v>0</v>
      </c>
      <c r="L281" s="4">
        <v>-3.1890000000000001</v>
      </c>
      <c r="M281" s="4">
        <v>-3.1890000000000001</v>
      </c>
      <c r="N281" s="4">
        <v>-3.1890000000000001</v>
      </c>
      <c r="O281" s="4">
        <v>-3.1890000000000001</v>
      </c>
      <c r="P281" s="4">
        <v>0</v>
      </c>
      <c r="Q281" s="3" t="s">
        <v>26</v>
      </c>
      <c r="R281" s="3">
        <v>0</v>
      </c>
      <c r="S281" s="3" t="s">
        <v>211</v>
      </c>
      <c r="T281" s="3" t="s">
        <v>350</v>
      </c>
      <c r="U281" s="3">
        <v>0</v>
      </c>
      <c r="V281" s="3">
        <v>10</v>
      </c>
      <c r="W281" s="3">
        <v>77</v>
      </c>
    </row>
    <row r="282" spans="1:23" ht="11.25" customHeight="1" x14ac:dyDescent="0.25">
      <c r="A282" s="3" t="s">
        <v>28</v>
      </c>
      <c r="B282" s="3" t="s">
        <v>35</v>
      </c>
      <c r="C282" s="3" t="s">
        <v>36</v>
      </c>
      <c r="D282" s="3" t="s">
        <v>34</v>
      </c>
      <c r="E282" s="3" t="s">
        <v>25</v>
      </c>
      <c r="F282" s="3" t="s">
        <v>25</v>
      </c>
      <c r="G282" s="3" t="s">
        <v>25</v>
      </c>
      <c r="H282" s="3" t="s">
        <v>37</v>
      </c>
      <c r="I282" s="6">
        <v>44774</v>
      </c>
      <c r="J282" s="4">
        <v>0</v>
      </c>
      <c r="K282" s="4">
        <v>0</v>
      </c>
      <c r="L282" s="4">
        <v>7.3390000000000004</v>
      </c>
      <c r="M282" s="4">
        <v>7.3390000000000004</v>
      </c>
      <c r="N282" s="4">
        <v>7.3390000000000004</v>
      </c>
      <c r="O282" s="4">
        <v>7.3390000000000004</v>
      </c>
      <c r="P282" s="4">
        <v>0</v>
      </c>
      <c r="Q282" s="3" t="s">
        <v>26</v>
      </c>
      <c r="R282" s="3">
        <v>0</v>
      </c>
      <c r="S282" s="3" t="s">
        <v>211</v>
      </c>
      <c r="T282" s="3" t="s">
        <v>350</v>
      </c>
      <c r="U282" s="3">
        <v>0</v>
      </c>
      <c r="V282" s="3">
        <v>10</v>
      </c>
      <c r="W282" s="3">
        <v>77</v>
      </c>
    </row>
    <row r="283" spans="1:23" ht="11.25" customHeight="1" x14ac:dyDescent="0.25">
      <c r="A283" s="3" t="s">
        <v>21</v>
      </c>
      <c r="B283" s="3" t="s">
        <v>35</v>
      </c>
      <c r="C283" s="3" t="s">
        <v>36</v>
      </c>
      <c r="D283" s="3" t="s">
        <v>42</v>
      </c>
      <c r="E283" s="3" t="s">
        <v>25</v>
      </c>
      <c r="F283" s="3" t="s">
        <v>25</v>
      </c>
      <c r="G283" s="3" t="s">
        <v>25</v>
      </c>
      <c r="H283" s="3" t="s">
        <v>38</v>
      </c>
      <c r="I283" s="6">
        <v>44440</v>
      </c>
      <c r="J283" s="4">
        <v>0</v>
      </c>
      <c r="K283" s="4">
        <v>0</v>
      </c>
      <c r="L283" s="4">
        <v>8.141</v>
      </c>
      <c r="M283" s="4">
        <v>8.141</v>
      </c>
      <c r="N283" s="4">
        <v>8.141</v>
      </c>
      <c r="O283" s="4">
        <v>8.141</v>
      </c>
      <c r="P283" s="4">
        <v>0</v>
      </c>
      <c r="Q283" s="3" t="s">
        <v>26</v>
      </c>
      <c r="R283" s="3">
        <v>0</v>
      </c>
      <c r="S283" s="3" t="s">
        <v>176</v>
      </c>
      <c r="T283" s="3" t="s">
        <v>327</v>
      </c>
      <c r="U283" s="3">
        <v>0</v>
      </c>
      <c r="V283" s="3">
        <v>13</v>
      </c>
      <c r="W283" s="3">
        <v>69</v>
      </c>
    </row>
    <row r="284" spans="1:23" ht="11.25" customHeight="1" x14ac:dyDescent="0.25">
      <c r="A284" s="3" t="s">
        <v>21</v>
      </c>
      <c r="B284" s="3" t="s">
        <v>35</v>
      </c>
      <c r="C284" s="3" t="s">
        <v>36</v>
      </c>
      <c r="D284" s="3" t="s">
        <v>42</v>
      </c>
      <c r="E284" s="3" t="s">
        <v>25</v>
      </c>
      <c r="F284" s="3" t="s">
        <v>25</v>
      </c>
      <c r="G284" s="3" t="s">
        <v>25</v>
      </c>
      <c r="H284" s="3" t="s">
        <v>38</v>
      </c>
      <c r="I284" s="6">
        <v>44470</v>
      </c>
      <c r="J284" s="4">
        <v>0</v>
      </c>
      <c r="K284" s="4">
        <v>0</v>
      </c>
      <c r="L284" s="4">
        <v>8.1289999999999996</v>
      </c>
      <c r="M284" s="4">
        <v>8.1289999999999996</v>
      </c>
      <c r="N284" s="4">
        <v>8.1289999999999996</v>
      </c>
      <c r="O284" s="4">
        <v>8.1289999999999996</v>
      </c>
      <c r="P284" s="4">
        <v>0</v>
      </c>
      <c r="Q284" s="3" t="s">
        <v>26</v>
      </c>
      <c r="R284" s="3">
        <v>0</v>
      </c>
      <c r="S284" s="3" t="s">
        <v>177</v>
      </c>
      <c r="T284" s="3" t="s">
        <v>328</v>
      </c>
      <c r="U284" s="3">
        <v>0</v>
      </c>
      <c r="V284" s="3">
        <v>13</v>
      </c>
      <c r="W284" s="3">
        <v>69</v>
      </c>
    </row>
    <row r="285" spans="1:23" ht="11.25" customHeight="1" x14ac:dyDescent="0.25">
      <c r="A285" s="3" t="s">
        <v>21</v>
      </c>
      <c r="B285" s="3" t="s">
        <v>35</v>
      </c>
      <c r="C285" s="3" t="s">
        <v>36</v>
      </c>
      <c r="D285" s="3" t="s">
        <v>42</v>
      </c>
      <c r="E285" s="3" t="s">
        <v>25</v>
      </c>
      <c r="F285" s="3" t="s">
        <v>25</v>
      </c>
      <c r="G285" s="3" t="s">
        <v>25</v>
      </c>
      <c r="H285" s="3" t="s">
        <v>38</v>
      </c>
      <c r="I285" s="6">
        <v>44501</v>
      </c>
      <c r="J285" s="4">
        <v>0</v>
      </c>
      <c r="K285" s="4">
        <v>0</v>
      </c>
      <c r="L285" s="4">
        <v>15.029</v>
      </c>
      <c r="M285" s="4">
        <v>15.029</v>
      </c>
      <c r="N285" s="4">
        <v>15.029</v>
      </c>
      <c r="O285" s="4">
        <v>15.029</v>
      </c>
      <c r="P285" s="4">
        <v>0</v>
      </c>
      <c r="Q285" s="3" t="s">
        <v>26</v>
      </c>
      <c r="R285" s="3">
        <v>0</v>
      </c>
      <c r="S285" s="3" t="s">
        <v>178</v>
      </c>
      <c r="T285" s="3" t="s">
        <v>329</v>
      </c>
      <c r="U285" s="3">
        <v>0</v>
      </c>
      <c r="V285" s="3">
        <v>13</v>
      </c>
      <c r="W285" s="3">
        <v>69</v>
      </c>
    </row>
    <row r="286" spans="1:23" ht="11.25" customHeight="1" x14ac:dyDescent="0.25">
      <c r="A286" s="3" t="s">
        <v>21</v>
      </c>
      <c r="B286" s="3" t="s">
        <v>35</v>
      </c>
      <c r="C286" s="3" t="s">
        <v>36</v>
      </c>
      <c r="D286" s="3" t="s">
        <v>42</v>
      </c>
      <c r="E286" s="3" t="s">
        <v>25</v>
      </c>
      <c r="F286" s="3" t="s">
        <v>25</v>
      </c>
      <c r="G286" s="3" t="s">
        <v>25</v>
      </c>
      <c r="H286" s="3" t="s">
        <v>38</v>
      </c>
      <c r="I286" s="6">
        <v>44531</v>
      </c>
      <c r="J286" s="4">
        <v>0</v>
      </c>
      <c r="K286" s="4">
        <v>0</v>
      </c>
      <c r="L286" s="4">
        <v>6.3529999999999998</v>
      </c>
      <c r="M286" s="4">
        <v>6.3529999999999998</v>
      </c>
      <c r="N286" s="4">
        <v>6.3529999999999998</v>
      </c>
      <c r="O286" s="4">
        <v>6.3529999999999998</v>
      </c>
      <c r="P286" s="4">
        <v>0</v>
      </c>
      <c r="Q286" s="3" t="s">
        <v>26</v>
      </c>
      <c r="R286" s="3">
        <v>0</v>
      </c>
      <c r="S286" s="3" t="s">
        <v>179</v>
      </c>
      <c r="T286" s="3" t="s">
        <v>330</v>
      </c>
      <c r="U286" s="3">
        <v>0</v>
      </c>
      <c r="V286" s="3">
        <v>13</v>
      </c>
      <c r="W286" s="3">
        <v>69</v>
      </c>
    </row>
    <row r="287" spans="1:23" ht="11.25" customHeight="1" x14ac:dyDescent="0.25">
      <c r="A287" s="3" t="s">
        <v>21</v>
      </c>
      <c r="B287" s="3" t="s">
        <v>35</v>
      </c>
      <c r="C287" s="3" t="s">
        <v>36</v>
      </c>
      <c r="D287" s="3" t="s">
        <v>42</v>
      </c>
      <c r="E287" s="3" t="s">
        <v>25</v>
      </c>
      <c r="F287" s="3" t="s">
        <v>25</v>
      </c>
      <c r="G287" s="3" t="s">
        <v>25</v>
      </c>
      <c r="H287" s="3" t="s">
        <v>38</v>
      </c>
      <c r="I287" s="6">
        <v>44562</v>
      </c>
      <c r="J287" s="4">
        <v>0</v>
      </c>
      <c r="K287" s="4">
        <v>0</v>
      </c>
      <c r="L287" s="4">
        <v>2.786</v>
      </c>
      <c r="M287" s="4">
        <v>2.786</v>
      </c>
      <c r="N287" s="4">
        <v>2.786</v>
      </c>
      <c r="O287" s="4">
        <v>2.786</v>
      </c>
      <c r="P287" s="4">
        <v>0</v>
      </c>
      <c r="Q287" s="3" t="s">
        <v>26</v>
      </c>
      <c r="R287" s="3">
        <v>0</v>
      </c>
      <c r="S287" s="3" t="s">
        <v>180</v>
      </c>
      <c r="T287" s="3" t="s">
        <v>331</v>
      </c>
      <c r="U287" s="3">
        <v>0</v>
      </c>
      <c r="V287" s="3">
        <v>13</v>
      </c>
      <c r="W287" s="3">
        <v>69</v>
      </c>
    </row>
    <row r="288" spans="1:23" ht="11.25" customHeight="1" x14ac:dyDescent="0.25">
      <c r="A288" s="3" t="s">
        <v>21</v>
      </c>
      <c r="B288" s="3" t="s">
        <v>35</v>
      </c>
      <c r="C288" s="3" t="s">
        <v>36</v>
      </c>
      <c r="D288" s="3" t="s">
        <v>42</v>
      </c>
      <c r="E288" s="3" t="s">
        <v>25</v>
      </c>
      <c r="F288" s="3" t="s">
        <v>25</v>
      </c>
      <c r="G288" s="3" t="s">
        <v>25</v>
      </c>
      <c r="H288" s="3" t="s">
        <v>38</v>
      </c>
      <c r="I288" s="6">
        <v>44593</v>
      </c>
      <c r="J288" s="4">
        <v>0</v>
      </c>
      <c r="K288" s="4">
        <v>0</v>
      </c>
      <c r="L288" s="4">
        <v>16.231000000000002</v>
      </c>
      <c r="M288" s="4">
        <v>16.231000000000002</v>
      </c>
      <c r="N288" s="4">
        <v>16.231000000000002</v>
      </c>
      <c r="O288" s="4">
        <v>16.231000000000002</v>
      </c>
      <c r="P288" s="4">
        <v>0</v>
      </c>
      <c r="Q288" s="3" t="s">
        <v>26</v>
      </c>
      <c r="R288" s="3">
        <v>0</v>
      </c>
      <c r="S288" s="3" t="s">
        <v>181</v>
      </c>
      <c r="T288" s="3" t="s">
        <v>332</v>
      </c>
      <c r="U288" s="3">
        <v>0</v>
      </c>
      <c r="V288" s="3">
        <v>13</v>
      </c>
      <c r="W288" s="3">
        <v>69</v>
      </c>
    </row>
    <row r="289" spans="1:23" ht="11.25" customHeight="1" x14ac:dyDescent="0.25">
      <c r="A289" s="3" t="s">
        <v>21</v>
      </c>
      <c r="B289" s="3" t="s">
        <v>35</v>
      </c>
      <c r="C289" s="3" t="s">
        <v>36</v>
      </c>
      <c r="D289" s="3" t="s">
        <v>42</v>
      </c>
      <c r="E289" s="3" t="s">
        <v>25</v>
      </c>
      <c r="F289" s="3" t="s">
        <v>25</v>
      </c>
      <c r="G289" s="3" t="s">
        <v>25</v>
      </c>
      <c r="H289" s="3" t="s">
        <v>38</v>
      </c>
      <c r="I289" s="6">
        <v>44621</v>
      </c>
      <c r="J289" s="4">
        <v>0</v>
      </c>
      <c r="K289" s="4">
        <v>0</v>
      </c>
      <c r="L289" s="4">
        <v>19.030999999999999</v>
      </c>
      <c r="M289" s="4">
        <v>19.030999999999999</v>
      </c>
      <c r="N289" s="4">
        <v>19.030999999999999</v>
      </c>
      <c r="O289" s="4">
        <v>19.030999999999999</v>
      </c>
      <c r="P289" s="4">
        <v>0</v>
      </c>
      <c r="Q289" s="3" t="s">
        <v>26</v>
      </c>
      <c r="R289" s="3">
        <v>0</v>
      </c>
      <c r="S289" s="3" t="s">
        <v>182</v>
      </c>
      <c r="T289" s="3" t="s">
        <v>333</v>
      </c>
      <c r="U289" s="3">
        <v>0</v>
      </c>
      <c r="V289" s="3">
        <v>13</v>
      </c>
      <c r="W289" s="3">
        <v>69</v>
      </c>
    </row>
    <row r="290" spans="1:23" ht="11.25" customHeight="1" x14ac:dyDescent="0.25">
      <c r="A290" s="3" t="s">
        <v>21</v>
      </c>
      <c r="B290" s="3" t="s">
        <v>35</v>
      </c>
      <c r="C290" s="3" t="s">
        <v>36</v>
      </c>
      <c r="D290" s="3" t="s">
        <v>42</v>
      </c>
      <c r="E290" s="3" t="s">
        <v>25</v>
      </c>
      <c r="F290" s="3" t="s">
        <v>25</v>
      </c>
      <c r="G290" s="3" t="s">
        <v>25</v>
      </c>
      <c r="H290" s="3" t="s">
        <v>38</v>
      </c>
      <c r="I290" s="6">
        <v>44652</v>
      </c>
      <c r="J290" s="4">
        <v>0</v>
      </c>
      <c r="K290" s="4">
        <v>0</v>
      </c>
      <c r="L290" s="4">
        <v>12.247</v>
      </c>
      <c r="M290" s="4">
        <v>12.247</v>
      </c>
      <c r="N290" s="4">
        <v>12.247</v>
      </c>
      <c r="O290" s="4">
        <v>12.247</v>
      </c>
      <c r="P290" s="4">
        <v>0</v>
      </c>
      <c r="Q290" s="3" t="s">
        <v>26</v>
      </c>
      <c r="R290" s="3">
        <v>0</v>
      </c>
      <c r="S290" s="3" t="s">
        <v>183</v>
      </c>
      <c r="T290" s="3" t="s">
        <v>334</v>
      </c>
      <c r="U290" s="3">
        <v>0</v>
      </c>
      <c r="V290" s="3">
        <v>13</v>
      </c>
      <c r="W290" s="3">
        <v>69</v>
      </c>
    </row>
    <row r="291" spans="1:23" ht="11.25" customHeight="1" x14ac:dyDescent="0.25">
      <c r="A291" s="3" t="s">
        <v>21</v>
      </c>
      <c r="B291" s="3" t="s">
        <v>35</v>
      </c>
      <c r="C291" s="3" t="s">
        <v>36</v>
      </c>
      <c r="D291" s="3" t="s">
        <v>42</v>
      </c>
      <c r="E291" s="3" t="s">
        <v>25</v>
      </c>
      <c r="F291" s="3" t="s">
        <v>25</v>
      </c>
      <c r="G291" s="3" t="s">
        <v>25</v>
      </c>
      <c r="H291" s="3" t="s">
        <v>38</v>
      </c>
      <c r="I291" s="6">
        <v>44682</v>
      </c>
      <c r="J291" s="4">
        <v>0</v>
      </c>
      <c r="K291" s="4">
        <v>0</v>
      </c>
      <c r="L291" s="4">
        <v>9.77</v>
      </c>
      <c r="M291" s="4">
        <v>9.77</v>
      </c>
      <c r="N291" s="4">
        <v>9.77</v>
      </c>
      <c r="O291" s="4">
        <v>9.77</v>
      </c>
      <c r="P291" s="4">
        <v>0</v>
      </c>
      <c r="Q291" s="3" t="s">
        <v>26</v>
      </c>
      <c r="R291" s="3">
        <v>0</v>
      </c>
      <c r="S291" s="3" t="s">
        <v>184</v>
      </c>
      <c r="T291" s="3" t="s">
        <v>335</v>
      </c>
      <c r="U291" s="3">
        <v>0</v>
      </c>
      <c r="V291" s="3">
        <v>13</v>
      </c>
      <c r="W291" s="3">
        <v>69</v>
      </c>
    </row>
    <row r="292" spans="1:23" ht="11.25" customHeight="1" x14ac:dyDescent="0.25">
      <c r="A292" s="3" t="s">
        <v>21</v>
      </c>
      <c r="B292" s="3" t="s">
        <v>35</v>
      </c>
      <c r="C292" s="3" t="s">
        <v>36</v>
      </c>
      <c r="D292" s="3" t="s">
        <v>42</v>
      </c>
      <c r="E292" s="3" t="s">
        <v>25</v>
      </c>
      <c r="F292" s="3" t="s">
        <v>25</v>
      </c>
      <c r="G292" s="3" t="s">
        <v>25</v>
      </c>
      <c r="H292" s="3" t="s">
        <v>38</v>
      </c>
      <c r="I292" s="6">
        <v>44713</v>
      </c>
      <c r="J292" s="4">
        <v>0</v>
      </c>
      <c r="K292" s="4">
        <v>0</v>
      </c>
      <c r="L292" s="4">
        <v>10.968</v>
      </c>
      <c r="M292" s="4">
        <v>10.968</v>
      </c>
      <c r="N292" s="4">
        <v>10.968</v>
      </c>
      <c r="O292" s="4">
        <v>10.968</v>
      </c>
      <c r="P292" s="4">
        <v>0</v>
      </c>
      <c r="Q292" s="3" t="s">
        <v>26</v>
      </c>
      <c r="R292" s="3">
        <v>0</v>
      </c>
      <c r="S292" s="3" t="s">
        <v>185</v>
      </c>
      <c r="T292" s="3" t="s">
        <v>336</v>
      </c>
      <c r="U292" s="3">
        <v>0</v>
      </c>
      <c r="V292" s="3">
        <v>13</v>
      </c>
      <c r="W292" s="3">
        <v>69</v>
      </c>
    </row>
    <row r="293" spans="1:23" ht="11.25" customHeight="1" x14ac:dyDescent="0.25">
      <c r="A293" s="3" t="s">
        <v>21</v>
      </c>
      <c r="B293" s="3" t="s">
        <v>35</v>
      </c>
      <c r="C293" s="3" t="s">
        <v>36</v>
      </c>
      <c r="D293" s="3" t="s">
        <v>42</v>
      </c>
      <c r="E293" s="3" t="s">
        <v>25</v>
      </c>
      <c r="F293" s="3" t="s">
        <v>25</v>
      </c>
      <c r="G293" s="3" t="s">
        <v>25</v>
      </c>
      <c r="H293" s="3" t="s">
        <v>38</v>
      </c>
      <c r="I293" s="6">
        <v>44743</v>
      </c>
      <c r="J293" s="4">
        <v>0</v>
      </c>
      <c r="K293" s="4">
        <v>0</v>
      </c>
      <c r="L293" s="4">
        <v>7.8019999999999996</v>
      </c>
      <c r="M293" s="4">
        <v>7.8019999999999996</v>
      </c>
      <c r="N293" s="4">
        <v>7.8019999999999996</v>
      </c>
      <c r="O293" s="4">
        <v>7.8019999999999996</v>
      </c>
      <c r="P293" s="4">
        <v>0</v>
      </c>
      <c r="Q293" s="3" t="s">
        <v>26</v>
      </c>
      <c r="R293" s="3">
        <v>0</v>
      </c>
      <c r="S293" s="3" t="s">
        <v>186</v>
      </c>
      <c r="T293" s="3" t="s">
        <v>337</v>
      </c>
      <c r="U293" s="3">
        <v>0</v>
      </c>
      <c r="V293" s="3">
        <v>13</v>
      </c>
      <c r="W293" s="3">
        <v>69</v>
      </c>
    </row>
    <row r="294" spans="1:23" ht="11.25" customHeight="1" x14ac:dyDescent="0.25">
      <c r="A294" s="3" t="s">
        <v>21</v>
      </c>
      <c r="B294" s="3" t="s">
        <v>35</v>
      </c>
      <c r="C294" s="3" t="s">
        <v>36</v>
      </c>
      <c r="D294" s="3" t="s">
        <v>42</v>
      </c>
      <c r="E294" s="3" t="s">
        <v>25</v>
      </c>
      <c r="F294" s="3" t="s">
        <v>25</v>
      </c>
      <c r="G294" s="3" t="s">
        <v>25</v>
      </c>
      <c r="H294" s="3" t="s">
        <v>38</v>
      </c>
      <c r="I294" s="6">
        <v>44774</v>
      </c>
      <c r="J294" s="4">
        <v>0</v>
      </c>
      <c r="K294" s="4">
        <v>0</v>
      </c>
      <c r="L294" s="4">
        <v>10.375999999999999</v>
      </c>
      <c r="M294" s="4">
        <v>10.375999999999999</v>
      </c>
      <c r="N294" s="4">
        <v>10.375999999999999</v>
      </c>
      <c r="O294" s="4">
        <v>10.375999999999999</v>
      </c>
      <c r="P294" s="4">
        <v>0</v>
      </c>
      <c r="Q294" s="3" t="s">
        <v>26</v>
      </c>
      <c r="R294" s="3">
        <v>0</v>
      </c>
      <c r="S294" s="3" t="s">
        <v>187</v>
      </c>
      <c r="T294" s="3" t="s">
        <v>338</v>
      </c>
      <c r="U294" s="3">
        <v>0</v>
      </c>
      <c r="V294" s="3">
        <v>13</v>
      </c>
      <c r="W294" s="3">
        <v>69</v>
      </c>
    </row>
    <row r="295" spans="1:23" ht="11.25" customHeight="1" x14ac:dyDescent="0.25">
      <c r="A295" s="3" t="s">
        <v>21</v>
      </c>
      <c r="B295" s="3" t="s">
        <v>35</v>
      </c>
      <c r="C295" s="3" t="s">
        <v>36</v>
      </c>
      <c r="D295" s="3" t="s">
        <v>42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160</v>
      </c>
      <c r="K295" s="4">
        <v>160</v>
      </c>
      <c r="L295" s="4">
        <v>0</v>
      </c>
      <c r="M295" s="4">
        <v>0</v>
      </c>
      <c r="N295" s="4">
        <v>0</v>
      </c>
      <c r="O295" s="4">
        <v>0</v>
      </c>
      <c r="P295" s="4">
        <v>2</v>
      </c>
      <c r="Q295" s="3" t="s">
        <v>26</v>
      </c>
      <c r="R295" s="3">
        <v>0</v>
      </c>
      <c r="S295" s="3" t="s">
        <v>188</v>
      </c>
      <c r="U295" s="3">
        <v>9</v>
      </c>
      <c r="V295" s="3">
        <v>0</v>
      </c>
      <c r="W295" s="3">
        <v>0</v>
      </c>
    </row>
    <row r="296" spans="1:23" ht="11.25" customHeight="1" x14ac:dyDescent="0.25">
      <c r="A296" s="3" t="s">
        <v>21</v>
      </c>
      <c r="B296" s="3" t="s">
        <v>35</v>
      </c>
      <c r="C296" s="3" t="s">
        <v>36</v>
      </c>
      <c r="D296" s="3" t="s">
        <v>42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160</v>
      </c>
      <c r="K296" s="4">
        <v>160</v>
      </c>
      <c r="L296" s="4">
        <v>0</v>
      </c>
      <c r="M296" s="4">
        <v>0</v>
      </c>
      <c r="N296" s="4">
        <v>0</v>
      </c>
      <c r="O296" s="4">
        <v>0</v>
      </c>
      <c r="P296" s="4">
        <v>2</v>
      </c>
      <c r="Q296" s="3" t="s">
        <v>26</v>
      </c>
      <c r="R296" s="3">
        <v>0</v>
      </c>
      <c r="S296" s="3" t="s">
        <v>189</v>
      </c>
      <c r="U296" s="3">
        <v>9</v>
      </c>
      <c r="V296" s="3">
        <v>0</v>
      </c>
      <c r="W296" s="3">
        <v>0</v>
      </c>
    </row>
    <row r="297" spans="1:23" ht="11.25" customHeight="1" x14ac:dyDescent="0.25">
      <c r="A297" s="3" t="s">
        <v>21</v>
      </c>
      <c r="B297" s="3" t="s">
        <v>35</v>
      </c>
      <c r="C297" s="3" t="s">
        <v>36</v>
      </c>
      <c r="D297" s="3" t="s">
        <v>42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160</v>
      </c>
      <c r="K297" s="4">
        <v>160</v>
      </c>
      <c r="L297" s="4">
        <v>0</v>
      </c>
      <c r="M297" s="4">
        <v>0</v>
      </c>
      <c r="N297" s="4">
        <v>0</v>
      </c>
      <c r="O297" s="4">
        <v>0</v>
      </c>
      <c r="P297" s="4">
        <v>2</v>
      </c>
      <c r="Q297" s="3" t="s">
        <v>26</v>
      </c>
      <c r="R297" s="3">
        <v>0</v>
      </c>
      <c r="S297" s="3" t="s">
        <v>190</v>
      </c>
      <c r="U297" s="3">
        <v>9</v>
      </c>
      <c r="V297" s="3">
        <v>0</v>
      </c>
      <c r="W297" s="3">
        <v>0</v>
      </c>
    </row>
    <row r="298" spans="1:23" ht="11.25" customHeight="1" x14ac:dyDescent="0.25">
      <c r="A298" s="3" t="s">
        <v>21</v>
      </c>
      <c r="B298" s="3" t="s">
        <v>35</v>
      </c>
      <c r="C298" s="3" t="s">
        <v>36</v>
      </c>
      <c r="D298" s="3" t="s">
        <v>42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44531</v>
      </c>
      <c r="J298" s="4">
        <v>160</v>
      </c>
      <c r="K298" s="4">
        <v>160</v>
      </c>
      <c r="L298" s="4">
        <v>0</v>
      </c>
      <c r="M298" s="4">
        <v>0</v>
      </c>
      <c r="N298" s="4">
        <v>0</v>
      </c>
      <c r="O298" s="4">
        <v>0</v>
      </c>
      <c r="P298" s="4">
        <v>2</v>
      </c>
      <c r="Q298" s="3" t="s">
        <v>26</v>
      </c>
      <c r="R298" s="3">
        <v>0</v>
      </c>
      <c r="S298" s="3" t="s">
        <v>191</v>
      </c>
      <c r="U298" s="3">
        <v>9</v>
      </c>
      <c r="V298" s="3">
        <v>0</v>
      </c>
      <c r="W298" s="3">
        <v>0</v>
      </c>
    </row>
    <row r="299" spans="1:23" ht="11.25" customHeight="1" x14ac:dyDescent="0.25">
      <c r="A299" s="3" t="s">
        <v>21</v>
      </c>
      <c r="B299" s="3" t="s">
        <v>35</v>
      </c>
      <c r="C299" s="3" t="s">
        <v>36</v>
      </c>
      <c r="D299" s="3" t="s">
        <v>42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160</v>
      </c>
      <c r="K299" s="4">
        <v>160</v>
      </c>
      <c r="L299" s="4">
        <v>0</v>
      </c>
      <c r="M299" s="4">
        <v>0</v>
      </c>
      <c r="N299" s="4">
        <v>0</v>
      </c>
      <c r="O299" s="4">
        <v>0</v>
      </c>
      <c r="P299" s="4">
        <v>2</v>
      </c>
      <c r="Q299" s="3" t="s">
        <v>26</v>
      </c>
      <c r="R299" s="3">
        <v>0</v>
      </c>
      <c r="S299" s="3" t="s">
        <v>192</v>
      </c>
      <c r="U299" s="3">
        <v>9</v>
      </c>
      <c r="V299" s="3">
        <v>0</v>
      </c>
      <c r="W299" s="3">
        <v>0</v>
      </c>
    </row>
    <row r="300" spans="1:23" ht="11.25" customHeight="1" x14ac:dyDescent="0.25">
      <c r="A300" s="3" t="s">
        <v>21</v>
      </c>
      <c r="B300" s="3" t="s">
        <v>35</v>
      </c>
      <c r="C300" s="3" t="s">
        <v>36</v>
      </c>
      <c r="D300" s="3" t="s">
        <v>42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160</v>
      </c>
      <c r="K300" s="4">
        <v>160</v>
      </c>
      <c r="L300" s="4">
        <v>0</v>
      </c>
      <c r="M300" s="4">
        <v>0</v>
      </c>
      <c r="N300" s="4">
        <v>0</v>
      </c>
      <c r="O300" s="4">
        <v>0</v>
      </c>
      <c r="P300" s="4">
        <v>2</v>
      </c>
      <c r="Q300" s="3" t="s">
        <v>26</v>
      </c>
      <c r="R300" s="3">
        <v>0</v>
      </c>
      <c r="S300" s="3" t="s">
        <v>193</v>
      </c>
      <c r="U300" s="3">
        <v>9</v>
      </c>
      <c r="V300" s="3">
        <v>0</v>
      </c>
      <c r="W300" s="3">
        <v>0</v>
      </c>
    </row>
    <row r="301" spans="1:23" ht="11.25" customHeight="1" x14ac:dyDescent="0.25">
      <c r="A301" s="3" t="s">
        <v>21</v>
      </c>
      <c r="B301" s="3" t="s">
        <v>35</v>
      </c>
      <c r="C301" s="3" t="s">
        <v>36</v>
      </c>
      <c r="D301" s="3" t="s">
        <v>42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160</v>
      </c>
      <c r="K301" s="4">
        <v>160</v>
      </c>
      <c r="L301" s="4">
        <v>0</v>
      </c>
      <c r="M301" s="4">
        <v>0</v>
      </c>
      <c r="N301" s="4">
        <v>0</v>
      </c>
      <c r="O301" s="4">
        <v>0</v>
      </c>
      <c r="P301" s="4">
        <v>2</v>
      </c>
      <c r="Q301" s="3" t="s">
        <v>26</v>
      </c>
      <c r="R301" s="3">
        <v>0</v>
      </c>
      <c r="S301" s="3" t="s">
        <v>194</v>
      </c>
      <c r="U301" s="3">
        <v>9</v>
      </c>
      <c r="V301" s="3">
        <v>0</v>
      </c>
      <c r="W301" s="3">
        <v>0</v>
      </c>
    </row>
    <row r="302" spans="1:23" ht="11.25" customHeight="1" x14ac:dyDescent="0.25">
      <c r="A302" s="3" t="s">
        <v>21</v>
      </c>
      <c r="B302" s="3" t="s">
        <v>35</v>
      </c>
      <c r="C302" s="3" t="s">
        <v>36</v>
      </c>
      <c r="D302" s="3" t="s">
        <v>42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238</v>
      </c>
      <c r="K302" s="4">
        <v>238</v>
      </c>
      <c r="L302" s="4">
        <v>0</v>
      </c>
      <c r="M302" s="4">
        <v>0</v>
      </c>
      <c r="N302" s="4">
        <v>0</v>
      </c>
      <c r="O302" s="4">
        <v>0</v>
      </c>
      <c r="P302" s="4">
        <v>3</v>
      </c>
      <c r="Q302" s="3" t="s">
        <v>26</v>
      </c>
      <c r="R302" s="3">
        <v>0</v>
      </c>
      <c r="S302" s="3" t="s">
        <v>195</v>
      </c>
      <c r="U302" s="3">
        <v>9</v>
      </c>
      <c r="V302" s="3">
        <v>0</v>
      </c>
      <c r="W302" s="3">
        <v>0</v>
      </c>
    </row>
    <row r="303" spans="1:23" ht="11.25" customHeight="1" x14ac:dyDescent="0.25">
      <c r="A303" s="3" t="s">
        <v>21</v>
      </c>
      <c r="B303" s="3" t="s">
        <v>35</v>
      </c>
      <c r="C303" s="3" t="s">
        <v>36</v>
      </c>
      <c r="D303" s="3" t="s">
        <v>42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260</v>
      </c>
      <c r="K303" s="4">
        <v>260</v>
      </c>
      <c r="L303" s="4">
        <v>0</v>
      </c>
      <c r="M303" s="4">
        <v>0</v>
      </c>
      <c r="N303" s="4">
        <v>0</v>
      </c>
      <c r="O303" s="4">
        <v>0</v>
      </c>
      <c r="P303" s="4">
        <v>3</v>
      </c>
      <c r="Q303" s="3" t="s">
        <v>26</v>
      </c>
      <c r="R303" s="3">
        <v>0</v>
      </c>
      <c r="S303" s="3" t="s">
        <v>196</v>
      </c>
      <c r="U303" s="3">
        <v>9</v>
      </c>
      <c r="V303" s="3">
        <v>0</v>
      </c>
      <c r="W303" s="3">
        <v>0</v>
      </c>
    </row>
    <row r="304" spans="1:23" ht="11.25" customHeight="1" x14ac:dyDescent="0.25">
      <c r="A304" s="3" t="s">
        <v>21</v>
      </c>
      <c r="B304" s="3" t="s">
        <v>35</v>
      </c>
      <c r="C304" s="3" t="s">
        <v>36</v>
      </c>
      <c r="D304" s="3" t="s">
        <v>42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260</v>
      </c>
      <c r="K304" s="4">
        <v>260</v>
      </c>
      <c r="L304" s="4">
        <v>0</v>
      </c>
      <c r="M304" s="4">
        <v>0</v>
      </c>
      <c r="N304" s="4">
        <v>0</v>
      </c>
      <c r="O304" s="4">
        <v>0</v>
      </c>
      <c r="P304" s="4">
        <v>3</v>
      </c>
      <c r="Q304" s="3" t="s">
        <v>26</v>
      </c>
      <c r="R304" s="3">
        <v>0</v>
      </c>
      <c r="S304" s="3" t="s">
        <v>197</v>
      </c>
      <c r="U304" s="3">
        <v>9</v>
      </c>
      <c r="V304" s="3">
        <v>0</v>
      </c>
      <c r="W304" s="3">
        <v>0</v>
      </c>
    </row>
    <row r="305" spans="1:23" ht="11.25" customHeight="1" x14ac:dyDescent="0.25">
      <c r="A305" s="3" t="s">
        <v>21</v>
      </c>
      <c r="B305" s="3" t="s">
        <v>35</v>
      </c>
      <c r="C305" s="3" t="s">
        <v>36</v>
      </c>
      <c r="D305" s="3" t="s">
        <v>42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260</v>
      </c>
      <c r="K305" s="4">
        <v>260</v>
      </c>
      <c r="L305" s="4">
        <v>0</v>
      </c>
      <c r="M305" s="4">
        <v>0</v>
      </c>
      <c r="N305" s="4">
        <v>0</v>
      </c>
      <c r="O305" s="4">
        <v>0</v>
      </c>
      <c r="P305" s="4">
        <v>3</v>
      </c>
      <c r="Q305" s="3" t="s">
        <v>26</v>
      </c>
      <c r="R305" s="3">
        <v>0</v>
      </c>
      <c r="S305" s="3" t="s">
        <v>198</v>
      </c>
      <c r="U305" s="3">
        <v>9</v>
      </c>
      <c r="V305" s="3">
        <v>0</v>
      </c>
      <c r="W305" s="3">
        <v>0</v>
      </c>
    </row>
    <row r="306" spans="1:23" ht="11.25" customHeight="1" x14ac:dyDescent="0.25">
      <c r="A306" s="3" t="s">
        <v>21</v>
      </c>
      <c r="B306" s="3" t="s">
        <v>35</v>
      </c>
      <c r="C306" s="3" t="s">
        <v>36</v>
      </c>
      <c r="D306" s="3" t="s">
        <v>42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260</v>
      </c>
      <c r="K306" s="4">
        <v>260</v>
      </c>
      <c r="L306" s="4">
        <v>0</v>
      </c>
      <c r="M306" s="4">
        <v>0</v>
      </c>
      <c r="N306" s="4">
        <v>0</v>
      </c>
      <c r="O306" s="4">
        <v>0</v>
      </c>
      <c r="P306" s="4">
        <v>3</v>
      </c>
      <c r="Q306" s="3" t="s">
        <v>26</v>
      </c>
      <c r="R306" s="3">
        <v>0</v>
      </c>
      <c r="S306" s="3" t="s">
        <v>199</v>
      </c>
      <c r="U306" s="3">
        <v>9</v>
      </c>
      <c r="V306" s="3">
        <v>0</v>
      </c>
      <c r="W306" s="3">
        <v>0</v>
      </c>
    </row>
    <row r="307" spans="1:23" ht="11.25" customHeight="1" x14ac:dyDescent="0.25">
      <c r="A307" s="3" t="s">
        <v>21</v>
      </c>
      <c r="B307" s="3" t="s">
        <v>35</v>
      </c>
      <c r="C307" s="3" t="s">
        <v>36</v>
      </c>
      <c r="D307" s="3" t="s">
        <v>42</v>
      </c>
      <c r="E307" s="3" t="s">
        <v>25</v>
      </c>
      <c r="F307" s="3" t="s">
        <v>25</v>
      </c>
      <c r="G307" s="3" t="s">
        <v>25</v>
      </c>
      <c r="H307" s="3" t="s">
        <v>37</v>
      </c>
      <c r="I307" s="6">
        <v>44440</v>
      </c>
      <c r="J307" s="4">
        <v>0</v>
      </c>
      <c r="K307" s="4">
        <v>0</v>
      </c>
      <c r="L307" s="4">
        <v>1.0549999999999999</v>
      </c>
      <c r="M307" s="4">
        <v>1.0549999999999999</v>
      </c>
      <c r="N307" s="4">
        <v>1.0549999999999999</v>
      </c>
      <c r="O307" s="4">
        <v>1.0549999999999999</v>
      </c>
      <c r="P307" s="4">
        <v>0</v>
      </c>
      <c r="Q307" s="3" t="s">
        <v>26</v>
      </c>
      <c r="R307" s="3">
        <v>0</v>
      </c>
      <c r="S307" s="3" t="s">
        <v>200</v>
      </c>
      <c r="T307" s="3" t="s">
        <v>339</v>
      </c>
      <c r="U307" s="3">
        <v>0</v>
      </c>
      <c r="V307" s="3">
        <v>10</v>
      </c>
      <c r="W307" s="3">
        <v>77</v>
      </c>
    </row>
    <row r="308" spans="1:23" ht="11.25" customHeight="1" x14ac:dyDescent="0.25">
      <c r="A308" s="3" t="s">
        <v>21</v>
      </c>
      <c r="B308" s="3" t="s">
        <v>35</v>
      </c>
      <c r="C308" s="3" t="s">
        <v>36</v>
      </c>
      <c r="D308" s="3" t="s">
        <v>42</v>
      </c>
      <c r="E308" s="3" t="s">
        <v>25</v>
      </c>
      <c r="F308" s="3" t="s">
        <v>25</v>
      </c>
      <c r="G308" s="3" t="s">
        <v>25</v>
      </c>
      <c r="H308" s="3" t="s">
        <v>37</v>
      </c>
      <c r="I308" s="6">
        <v>44470</v>
      </c>
      <c r="J308" s="4">
        <v>0</v>
      </c>
      <c r="K308" s="4">
        <v>0</v>
      </c>
      <c r="L308" s="4">
        <v>0.92</v>
      </c>
      <c r="M308" s="4">
        <v>0.92</v>
      </c>
      <c r="N308" s="4">
        <v>0.92</v>
      </c>
      <c r="O308" s="4">
        <v>0.92</v>
      </c>
      <c r="P308" s="4">
        <v>0</v>
      </c>
      <c r="Q308" s="3" t="s">
        <v>26</v>
      </c>
      <c r="R308" s="3">
        <v>0</v>
      </c>
      <c r="S308" s="3" t="s">
        <v>201</v>
      </c>
      <c r="T308" s="3" t="s">
        <v>340</v>
      </c>
      <c r="U308" s="3">
        <v>0</v>
      </c>
      <c r="V308" s="3">
        <v>10</v>
      </c>
      <c r="W308" s="3">
        <v>77</v>
      </c>
    </row>
    <row r="309" spans="1:23" ht="11.25" customHeight="1" x14ac:dyDescent="0.25">
      <c r="A309" s="3" t="s">
        <v>21</v>
      </c>
      <c r="B309" s="3" t="s">
        <v>35</v>
      </c>
      <c r="C309" s="3" t="s">
        <v>36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37</v>
      </c>
      <c r="I309" s="6">
        <v>44501</v>
      </c>
      <c r="J309" s="4">
        <v>0</v>
      </c>
      <c r="K309" s="4">
        <v>0</v>
      </c>
      <c r="L309" s="4">
        <v>1.5009999999999999</v>
      </c>
      <c r="M309" s="4">
        <v>1.5009999999999999</v>
      </c>
      <c r="N309" s="4">
        <v>1.5009999999999999</v>
      </c>
      <c r="O309" s="4">
        <v>1.5009999999999999</v>
      </c>
      <c r="P309" s="4">
        <v>0</v>
      </c>
      <c r="Q309" s="3" t="s">
        <v>26</v>
      </c>
      <c r="R309" s="3">
        <v>0</v>
      </c>
      <c r="S309" s="3" t="s">
        <v>202</v>
      </c>
      <c r="T309" s="3" t="s">
        <v>341</v>
      </c>
      <c r="U309" s="3">
        <v>0</v>
      </c>
      <c r="V309" s="3">
        <v>10</v>
      </c>
      <c r="W309" s="3">
        <v>77</v>
      </c>
    </row>
    <row r="310" spans="1:23" ht="11.25" customHeight="1" x14ac:dyDescent="0.25">
      <c r="A310" s="3" t="s">
        <v>21</v>
      </c>
      <c r="B310" s="3" t="s">
        <v>35</v>
      </c>
      <c r="C310" s="3" t="s">
        <v>36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37</v>
      </c>
      <c r="I310" s="6">
        <v>44531</v>
      </c>
      <c r="J310" s="4">
        <v>0</v>
      </c>
      <c r="K310" s="4">
        <v>0</v>
      </c>
      <c r="L310" s="4">
        <v>0.71</v>
      </c>
      <c r="M310" s="4">
        <v>0.71</v>
      </c>
      <c r="N310" s="4">
        <v>0.71</v>
      </c>
      <c r="O310" s="4">
        <v>0.71</v>
      </c>
      <c r="P310" s="4">
        <v>0</v>
      </c>
      <c r="Q310" s="3" t="s">
        <v>26</v>
      </c>
      <c r="R310" s="3">
        <v>0</v>
      </c>
      <c r="S310" s="3" t="s">
        <v>203</v>
      </c>
      <c r="T310" s="3" t="s">
        <v>342</v>
      </c>
      <c r="U310" s="3">
        <v>0</v>
      </c>
      <c r="V310" s="3">
        <v>10</v>
      </c>
      <c r="W310" s="3">
        <v>77</v>
      </c>
    </row>
    <row r="311" spans="1:23" ht="11.25" customHeight="1" x14ac:dyDescent="0.25">
      <c r="A311" s="3" t="s">
        <v>21</v>
      </c>
      <c r="B311" s="3" t="s">
        <v>35</v>
      </c>
      <c r="C311" s="3" t="s">
        <v>36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37</v>
      </c>
      <c r="I311" s="6">
        <v>44562</v>
      </c>
      <c r="J311" s="4">
        <v>0</v>
      </c>
      <c r="K311" s="4">
        <v>0</v>
      </c>
      <c r="L311" s="4">
        <v>0.21</v>
      </c>
      <c r="M311" s="4">
        <v>0.21</v>
      </c>
      <c r="N311" s="4">
        <v>0.21</v>
      </c>
      <c r="O311" s="4">
        <v>0.21</v>
      </c>
      <c r="P311" s="4">
        <v>0</v>
      </c>
      <c r="Q311" s="3" t="s">
        <v>26</v>
      </c>
      <c r="R311" s="3">
        <v>0</v>
      </c>
      <c r="S311" s="3" t="s">
        <v>204</v>
      </c>
      <c r="T311" s="3" t="s">
        <v>343</v>
      </c>
      <c r="U311" s="3">
        <v>0</v>
      </c>
      <c r="V311" s="3">
        <v>10</v>
      </c>
      <c r="W311" s="3">
        <v>77</v>
      </c>
    </row>
    <row r="312" spans="1:23" ht="11.25" customHeight="1" x14ac:dyDescent="0.25">
      <c r="A312" s="3" t="s">
        <v>21</v>
      </c>
      <c r="B312" s="3" t="s">
        <v>35</v>
      </c>
      <c r="C312" s="3" t="s">
        <v>36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37</v>
      </c>
      <c r="I312" s="6">
        <v>44593</v>
      </c>
      <c r="J312" s="4">
        <v>0</v>
      </c>
      <c r="K312" s="4">
        <v>0</v>
      </c>
      <c r="L312" s="4">
        <v>2.012</v>
      </c>
      <c r="M312" s="4">
        <v>2.012</v>
      </c>
      <c r="N312" s="4">
        <v>2.012</v>
      </c>
      <c r="O312" s="4">
        <v>2.012</v>
      </c>
      <c r="P312" s="4">
        <v>0</v>
      </c>
      <c r="Q312" s="3" t="s">
        <v>26</v>
      </c>
      <c r="R312" s="3">
        <v>0</v>
      </c>
      <c r="S312" s="3" t="s">
        <v>205</v>
      </c>
      <c r="T312" s="3" t="s">
        <v>344</v>
      </c>
      <c r="U312" s="3">
        <v>0</v>
      </c>
      <c r="V312" s="3">
        <v>10</v>
      </c>
      <c r="W312" s="3">
        <v>77</v>
      </c>
    </row>
    <row r="313" spans="1:23" ht="11.25" customHeight="1" x14ac:dyDescent="0.25">
      <c r="A313" s="3" t="s">
        <v>21</v>
      </c>
      <c r="B313" s="3" t="s">
        <v>35</v>
      </c>
      <c r="C313" s="3" t="s">
        <v>36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37</v>
      </c>
      <c r="I313" s="6">
        <v>44621</v>
      </c>
      <c r="J313" s="4">
        <v>0</v>
      </c>
      <c r="K313" s="4">
        <v>0</v>
      </c>
      <c r="L313" s="4">
        <v>2.6760000000000002</v>
      </c>
      <c r="M313" s="4">
        <v>2.6760000000000002</v>
      </c>
      <c r="N313" s="4">
        <v>2.6760000000000002</v>
      </c>
      <c r="O313" s="4">
        <v>2.6760000000000002</v>
      </c>
      <c r="P313" s="4">
        <v>0</v>
      </c>
      <c r="Q313" s="3" t="s">
        <v>26</v>
      </c>
      <c r="R313" s="3">
        <v>0</v>
      </c>
      <c r="S313" s="3" t="s">
        <v>206</v>
      </c>
      <c r="T313" s="3" t="s">
        <v>345</v>
      </c>
      <c r="U313" s="3">
        <v>0</v>
      </c>
      <c r="V313" s="3">
        <v>10</v>
      </c>
      <c r="W313" s="3">
        <v>77</v>
      </c>
    </row>
    <row r="314" spans="1:23" ht="11.25" customHeight="1" x14ac:dyDescent="0.25">
      <c r="A314" s="3" t="s">
        <v>21</v>
      </c>
      <c r="B314" s="3" t="s">
        <v>35</v>
      </c>
      <c r="C314" s="3" t="s">
        <v>36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37</v>
      </c>
      <c r="I314" s="6">
        <v>44652</v>
      </c>
      <c r="J314" s="4">
        <v>0</v>
      </c>
      <c r="K314" s="4">
        <v>0</v>
      </c>
      <c r="L314" s="4">
        <v>1.0740000000000001</v>
      </c>
      <c r="M314" s="4">
        <v>1.0740000000000001</v>
      </c>
      <c r="N314" s="4">
        <v>1.0740000000000001</v>
      </c>
      <c r="O314" s="4">
        <v>1.0740000000000001</v>
      </c>
      <c r="P314" s="4">
        <v>0</v>
      </c>
      <c r="Q314" s="3" t="s">
        <v>26</v>
      </c>
      <c r="R314" s="3">
        <v>0</v>
      </c>
      <c r="S314" s="3" t="s">
        <v>207</v>
      </c>
      <c r="T314" s="3" t="s">
        <v>346</v>
      </c>
      <c r="U314" s="3">
        <v>0</v>
      </c>
      <c r="V314" s="3">
        <v>10</v>
      </c>
      <c r="W314" s="3">
        <v>77</v>
      </c>
    </row>
    <row r="315" spans="1:23" ht="11.25" customHeight="1" x14ac:dyDescent="0.25">
      <c r="A315" s="3" t="s">
        <v>21</v>
      </c>
      <c r="B315" s="3" t="s">
        <v>35</v>
      </c>
      <c r="C315" s="3" t="s">
        <v>36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37</v>
      </c>
      <c r="I315" s="6">
        <v>44682</v>
      </c>
      <c r="J315" s="4">
        <v>0</v>
      </c>
      <c r="K315" s="4">
        <v>0</v>
      </c>
      <c r="L315" s="4">
        <v>0.71</v>
      </c>
      <c r="M315" s="4">
        <v>0.71</v>
      </c>
      <c r="N315" s="4">
        <v>0.71</v>
      </c>
      <c r="O315" s="4">
        <v>0.71</v>
      </c>
      <c r="P315" s="4">
        <v>0</v>
      </c>
      <c r="Q315" s="3" t="s">
        <v>26</v>
      </c>
      <c r="R315" s="3">
        <v>0</v>
      </c>
      <c r="S315" s="3" t="s">
        <v>208</v>
      </c>
      <c r="T315" s="3" t="s">
        <v>347</v>
      </c>
      <c r="U315" s="3">
        <v>0</v>
      </c>
      <c r="V315" s="3">
        <v>10</v>
      </c>
      <c r="W315" s="3">
        <v>77</v>
      </c>
    </row>
    <row r="316" spans="1:23" ht="11.25" customHeight="1" x14ac:dyDescent="0.25">
      <c r="A316" s="3" t="s">
        <v>21</v>
      </c>
      <c r="B316" s="3" t="s">
        <v>35</v>
      </c>
      <c r="C316" s="3" t="s">
        <v>36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37</v>
      </c>
      <c r="I316" s="6">
        <v>44713</v>
      </c>
      <c r="J316" s="4">
        <v>0</v>
      </c>
      <c r="K316" s="4">
        <v>0</v>
      </c>
      <c r="L316" s="4">
        <v>2.637</v>
      </c>
      <c r="M316" s="4">
        <v>2.637</v>
      </c>
      <c r="N316" s="4">
        <v>2.637</v>
      </c>
      <c r="O316" s="4">
        <v>2.637</v>
      </c>
      <c r="P316" s="4">
        <v>0</v>
      </c>
      <c r="Q316" s="3" t="s">
        <v>26</v>
      </c>
      <c r="R316" s="3">
        <v>0</v>
      </c>
      <c r="S316" s="3" t="s">
        <v>209</v>
      </c>
      <c r="T316" s="3" t="s">
        <v>348</v>
      </c>
      <c r="U316" s="3">
        <v>0</v>
      </c>
      <c r="V316" s="3">
        <v>10</v>
      </c>
      <c r="W316" s="3">
        <v>77</v>
      </c>
    </row>
    <row r="317" spans="1:23" ht="11.25" customHeight="1" x14ac:dyDescent="0.25">
      <c r="A317" s="3" t="s">
        <v>21</v>
      </c>
      <c r="B317" s="3" t="s">
        <v>35</v>
      </c>
      <c r="C317" s="3" t="s">
        <v>36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37</v>
      </c>
      <c r="I317" s="6">
        <v>44743</v>
      </c>
      <c r="J317" s="4">
        <v>0</v>
      </c>
      <c r="K317" s="4">
        <v>0</v>
      </c>
      <c r="L317" s="4">
        <v>1.486</v>
      </c>
      <c r="M317" s="4">
        <v>1.486</v>
      </c>
      <c r="N317" s="4">
        <v>1.486</v>
      </c>
      <c r="O317" s="4">
        <v>1.486</v>
      </c>
      <c r="P317" s="4">
        <v>0</v>
      </c>
      <c r="Q317" s="3" t="s">
        <v>26</v>
      </c>
      <c r="R317" s="3">
        <v>0</v>
      </c>
      <c r="S317" s="3" t="s">
        <v>210</v>
      </c>
      <c r="T317" s="3" t="s">
        <v>349</v>
      </c>
      <c r="U317" s="3">
        <v>0</v>
      </c>
      <c r="V317" s="3">
        <v>10</v>
      </c>
      <c r="W317" s="3">
        <v>77</v>
      </c>
    </row>
    <row r="318" spans="1:23" ht="11.25" customHeight="1" x14ac:dyDescent="0.25">
      <c r="A318" s="3" t="s">
        <v>21</v>
      </c>
      <c r="B318" s="3" t="s">
        <v>35</v>
      </c>
      <c r="C318" s="3" t="s">
        <v>36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37</v>
      </c>
      <c r="I318" s="6">
        <v>44774</v>
      </c>
      <c r="J318" s="4">
        <v>0</v>
      </c>
      <c r="K318" s="4">
        <v>0</v>
      </c>
      <c r="L318" s="4">
        <v>2.1850000000000001</v>
      </c>
      <c r="M318" s="4">
        <v>2.1850000000000001</v>
      </c>
      <c r="N318" s="4">
        <v>2.1850000000000001</v>
      </c>
      <c r="O318" s="4">
        <v>2.1850000000000001</v>
      </c>
      <c r="P318" s="4">
        <v>0</v>
      </c>
      <c r="Q318" s="3" t="s">
        <v>26</v>
      </c>
      <c r="R318" s="3">
        <v>0</v>
      </c>
      <c r="S318" s="3" t="s">
        <v>211</v>
      </c>
      <c r="T318" s="3" t="s">
        <v>350</v>
      </c>
      <c r="U318" s="3">
        <v>0</v>
      </c>
      <c r="V318" s="3">
        <v>10</v>
      </c>
      <c r="W318" s="3">
        <v>77</v>
      </c>
    </row>
    <row r="319" spans="1:23" ht="11.25" customHeight="1" x14ac:dyDescent="0.25">
      <c r="A319" s="3" t="s">
        <v>21</v>
      </c>
      <c r="B319" s="3" t="s">
        <v>35</v>
      </c>
      <c r="C319" s="3" t="s">
        <v>36</v>
      </c>
      <c r="D319" s="3" t="s">
        <v>46</v>
      </c>
      <c r="E319" s="3" t="s">
        <v>47</v>
      </c>
      <c r="F319" s="3" t="s">
        <v>25</v>
      </c>
      <c r="G319" s="3" t="s">
        <v>25</v>
      </c>
      <c r="H319" s="3" t="s">
        <v>38</v>
      </c>
      <c r="I319" s="6">
        <v>44440</v>
      </c>
      <c r="J319" s="4">
        <v>0</v>
      </c>
      <c r="K319" s="4">
        <v>0</v>
      </c>
      <c r="L319" s="4">
        <v>34.494</v>
      </c>
      <c r="M319" s="4">
        <v>32.42436</v>
      </c>
      <c r="N319" s="4">
        <v>34.494</v>
      </c>
      <c r="O319" s="4">
        <v>32.42436</v>
      </c>
      <c r="P319" s="4">
        <v>0</v>
      </c>
      <c r="Q319" s="3" t="s">
        <v>26</v>
      </c>
      <c r="R319" s="3">
        <v>0</v>
      </c>
      <c r="S319" s="3" t="s">
        <v>176</v>
      </c>
      <c r="T319" s="3" t="s">
        <v>327</v>
      </c>
      <c r="U319" s="3">
        <v>0</v>
      </c>
      <c r="V319" s="3">
        <v>13</v>
      </c>
      <c r="W319" s="3">
        <v>69</v>
      </c>
    </row>
    <row r="320" spans="1:23" ht="11.25" customHeight="1" x14ac:dyDescent="0.25">
      <c r="A320" s="3" t="s">
        <v>21</v>
      </c>
      <c r="B320" s="3" t="s">
        <v>35</v>
      </c>
      <c r="C320" s="3" t="s">
        <v>36</v>
      </c>
      <c r="D320" s="3" t="s">
        <v>46</v>
      </c>
      <c r="E320" s="3" t="s">
        <v>47</v>
      </c>
      <c r="F320" s="3" t="s">
        <v>25</v>
      </c>
      <c r="G320" s="3" t="s">
        <v>25</v>
      </c>
      <c r="H320" s="3" t="s">
        <v>38</v>
      </c>
      <c r="I320" s="6">
        <v>44470</v>
      </c>
      <c r="J320" s="4">
        <v>0</v>
      </c>
      <c r="K320" s="4">
        <v>0</v>
      </c>
      <c r="L320" s="4">
        <v>21.533000000000001</v>
      </c>
      <c r="M320" s="4">
        <v>20.241019999999999</v>
      </c>
      <c r="N320" s="4">
        <v>21.533000000000001</v>
      </c>
      <c r="O320" s="4">
        <v>20.241019999999999</v>
      </c>
      <c r="P320" s="4">
        <v>0</v>
      </c>
      <c r="Q320" s="3" t="s">
        <v>26</v>
      </c>
      <c r="R320" s="3">
        <v>0</v>
      </c>
      <c r="S320" s="3" t="s">
        <v>177</v>
      </c>
      <c r="T320" s="3" t="s">
        <v>328</v>
      </c>
      <c r="U320" s="3">
        <v>0</v>
      </c>
      <c r="V320" s="3">
        <v>13</v>
      </c>
      <c r="W320" s="3">
        <v>69</v>
      </c>
    </row>
    <row r="321" spans="1:23" ht="11.25" customHeight="1" x14ac:dyDescent="0.25">
      <c r="A321" s="3" t="s">
        <v>21</v>
      </c>
      <c r="B321" s="3" t="s">
        <v>35</v>
      </c>
      <c r="C321" s="3" t="s">
        <v>36</v>
      </c>
      <c r="D321" s="3" t="s">
        <v>46</v>
      </c>
      <c r="E321" s="3" t="s">
        <v>47</v>
      </c>
      <c r="F321" s="3" t="s">
        <v>25</v>
      </c>
      <c r="G321" s="3" t="s">
        <v>25</v>
      </c>
      <c r="H321" s="3" t="s">
        <v>38</v>
      </c>
      <c r="I321" s="6">
        <v>44501</v>
      </c>
      <c r="J321" s="4">
        <v>0</v>
      </c>
      <c r="K321" s="4">
        <v>0</v>
      </c>
      <c r="L321" s="4">
        <v>23.96</v>
      </c>
      <c r="M321" s="4">
        <v>22.522400000000001</v>
      </c>
      <c r="N321" s="4">
        <v>23.96</v>
      </c>
      <c r="O321" s="4">
        <v>22.522400000000001</v>
      </c>
      <c r="P321" s="4">
        <v>0</v>
      </c>
      <c r="Q321" s="3" t="s">
        <v>26</v>
      </c>
      <c r="R321" s="3">
        <v>0</v>
      </c>
      <c r="S321" s="3" t="s">
        <v>178</v>
      </c>
      <c r="T321" s="3" t="s">
        <v>329</v>
      </c>
      <c r="U321" s="3">
        <v>0</v>
      </c>
      <c r="V321" s="3">
        <v>13</v>
      </c>
      <c r="W321" s="3">
        <v>69</v>
      </c>
    </row>
    <row r="322" spans="1:23" ht="11.25" customHeight="1" x14ac:dyDescent="0.25">
      <c r="A322" s="3" t="s">
        <v>21</v>
      </c>
      <c r="B322" s="3" t="s">
        <v>35</v>
      </c>
      <c r="C322" s="3" t="s">
        <v>36</v>
      </c>
      <c r="D322" s="3" t="s">
        <v>46</v>
      </c>
      <c r="E322" s="3" t="s">
        <v>47</v>
      </c>
      <c r="F322" s="3" t="s">
        <v>25</v>
      </c>
      <c r="G322" s="3" t="s">
        <v>25</v>
      </c>
      <c r="H322" s="3" t="s">
        <v>38</v>
      </c>
      <c r="I322" s="6">
        <v>44531</v>
      </c>
      <c r="J322" s="4">
        <v>0</v>
      </c>
      <c r="K322" s="4">
        <v>0</v>
      </c>
      <c r="L322" s="4">
        <v>24.733000000000001</v>
      </c>
      <c r="M322" s="4">
        <v>23.249020000000002</v>
      </c>
      <c r="N322" s="4">
        <v>24.733000000000001</v>
      </c>
      <c r="O322" s="4">
        <v>23.249020000000002</v>
      </c>
      <c r="P322" s="4">
        <v>0</v>
      </c>
      <c r="Q322" s="3" t="s">
        <v>26</v>
      </c>
      <c r="R322" s="3">
        <v>0</v>
      </c>
      <c r="S322" s="3" t="s">
        <v>179</v>
      </c>
      <c r="T322" s="3" t="s">
        <v>330</v>
      </c>
      <c r="U322" s="3">
        <v>0</v>
      </c>
      <c r="V322" s="3">
        <v>13</v>
      </c>
      <c r="W322" s="3">
        <v>69</v>
      </c>
    </row>
    <row r="323" spans="1:23" ht="11.25" customHeight="1" x14ac:dyDescent="0.25">
      <c r="A323" s="3" t="s">
        <v>21</v>
      </c>
      <c r="B323" s="3" t="s">
        <v>35</v>
      </c>
      <c r="C323" s="3" t="s">
        <v>36</v>
      </c>
      <c r="D323" s="3" t="s">
        <v>46</v>
      </c>
      <c r="E323" s="3" t="s">
        <v>47</v>
      </c>
      <c r="F323" s="3" t="s">
        <v>25</v>
      </c>
      <c r="G323" s="3" t="s">
        <v>25</v>
      </c>
      <c r="H323" s="3" t="s">
        <v>38</v>
      </c>
      <c r="I323" s="6">
        <v>44562</v>
      </c>
      <c r="J323" s="4">
        <v>0</v>
      </c>
      <c r="K323" s="4">
        <v>0</v>
      </c>
      <c r="L323" s="4">
        <v>23.538</v>
      </c>
      <c r="M323" s="4">
        <v>22.125720000000001</v>
      </c>
      <c r="N323" s="4">
        <v>23.538</v>
      </c>
      <c r="O323" s="4">
        <v>22.125720000000001</v>
      </c>
      <c r="P323" s="4">
        <v>0</v>
      </c>
      <c r="Q323" s="3" t="s">
        <v>26</v>
      </c>
      <c r="R323" s="3">
        <v>0</v>
      </c>
      <c r="S323" s="3" t="s">
        <v>180</v>
      </c>
      <c r="T323" s="3" t="s">
        <v>331</v>
      </c>
      <c r="U323" s="3">
        <v>0</v>
      </c>
      <c r="V323" s="3">
        <v>13</v>
      </c>
      <c r="W323" s="3">
        <v>69</v>
      </c>
    </row>
    <row r="324" spans="1:23" ht="11.25" customHeight="1" x14ac:dyDescent="0.25">
      <c r="A324" s="3" t="s">
        <v>21</v>
      </c>
      <c r="B324" s="3" t="s">
        <v>35</v>
      </c>
      <c r="C324" s="3" t="s">
        <v>36</v>
      </c>
      <c r="D324" s="3" t="s">
        <v>46</v>
      </c>
      <c r="E324" s="3" t="s">
        <v>47</v>
      </c>
      <c r="F324" s="3" t="s">
        <v>25</v>
      </c>
      <c r="G324" s="3" t="s">
        <v>25</v>
      </c>
      <c r="H324" s="3" t="s">
        <v>38</v>
      </c>
      <c r="I324" s="6">
        <v>44593</v>
      </c>
      <c r="J324" s="4">
        <v>0</v>
      </c>
      <c r="K324" s="4">
        <v>0</v>
      </c>
      <c r="L324" s="4">
        <v>22.288</v>
      </c>
      <c r="M324" s="4">
        <v>20.95072</v>
      </c>
      <c r="N324" s="4">
        <v>22.288</v>
      </c>
      <c r="O324" s="4">
        <v>20.95072</v>
      </c>
      <c r="P324" s="4">
        <v>0</v>
      </c>
      <c r="Q324" s="3" t="s">
        <v>26</v>
      </c>
      <c r="R324" s="3">
        <v>0</v>
      </c>
      <c r="S324" s="3" t="s">
        <v>181</v>
      </c>
      <c r="T324" s="3" t="s">
        <v>332</v>
      </c>
      <c r="U324" s="3">
        <v>0</v>
      </c>
      <c r="V324" s="3">
        <v>13</v>
      </c>
      <c r="W324" s="3">
        <v>69</v>
      </c>
    </row>
    <row r="325" spans="1:23" ht="11.25" customHeight="1" x14ac:dyDescent="0.25">
      <c r="A325" s="3" t="s">
        <v>21</v>
      </c>
      <c r="B325" s="3" t="s">
        <v>35</v>
      </c>
      <c r="C325" s="3" t="s">
        <v>36</v>
      </c>
      <c r="D325" s="3" t="s">
        <v>46</v>
      </c>
      <c r="E325" s="3" t="s">
        <v>47</v>
      </c>
      <c r="F325" s="3" t="s">
        <v>25</v>
      </c>
      <c r="G325" s="3" t="s">
        <v>25</v>
      </c>
      <c r="H325" s="3" t="s">
        <v>38</v>
      </c>
      <c r="I325" s="6">
        <v>44621</v>
      </c>
      <c r="J325" s="4">
        <v>0</v>
      </c>
      <c r="K325" s="4">
        <v>0</v>
      </c>
      <c r="L325" s="4">
        <v>24.135999999999999</v>
      </c>
      <c r="M325" s="4">
        <v>22.687840000000001</v>
      </c>
      <c r="N325" s="4">
        <v>24.135999999999999</v>
      </c>
      <c r="O325" s="4">
        <v>22.687840000000001</v>
      </c>
      <c r="P325" s="4">
        <v>0</v>
      </c>
      <c r="Q325" s="3" t="s">
        <v>26</v>
      </c>
      <c r="R325" s="3">
        <v>0</v>
      </c>
      <c r="S325" s="3" t="s">
        <v>182</v>
      </c>
      <c r="T325" s="3" t="s">
        <v>333</v>
      </c>
      <c r="U325" s="3">
        <v>0</v>
      </c>
      <c r="V325" s="3">
        <v>13</v>
      </c>
      <c r="W325" s="3">
        <v>69</v>
      </c>
    </row>
    <row r="326" spans="1:23" ht="11.25" customHeight="1" x14ac:dyDescent="0.25">
      <c r="A326" s="3" t="s">
        <v>21</v>
      </c>
      <c r="B326" s="3" t="s">
        <v>35</v>
      </c>
      <c r="C326" s="3" t="s">
        <v>36</v>
      </c>
      <c r="D326" s="3" t="s">
        <v>46</v>
      </c>
      <c r="E326" s="3" t="s">
        <v>47</v>
      </c>
      <c r="F326" s="3" t="s">
        <v>25</v>
      </c>
      <c r="G326" s="3" t="s">
        <v>25</v>
      </c>
      <c r="H326" s="3" t="s">
        <v>38</v>
      </c>
      <c r="I326" s="6">
        <v>44652</v>
      </c>
      <c r="J326" s="4">
        <v>0</v>
      </c>
      <c r="K326" s="4">
        <v>0</v>
      </c>
      <c r="L326" s="4">
        <v>23.466999999999999</v>
      </c>
      <c r="M326" s="4">
        <v>22.058979999999998</v>
      </c>
      <c r="N326" s="4">
        <v>23.466999999999999</v>
      </c>
      <c r="O326" s="4">
        <v>22.058979999999998</v>
      </c>
      <c r="P326" s="4">
        <v>0</v>
      </c>
      <c r="Q326" s="3" t="s">
        <v>26</v>
      </c>
      <c r="R326" s="3">
        <v>0</v>
      </c>
      <c r="S326" s="3" t="s">
        <v>183</v>
      </c>
      <c r="T326" s="3" t="s">
        <v>334</v>
      </c>
      <c r="U326" s="3">
        <v>0</v>
      </c>
      <c r="V326" s="3">
        <v>13</v>
      </c>
      <c r="W326" s="3">
        <v>69</v>
      </c>
    </row>
    <row r="327" spans="1:23" ht="11.25" customHeight="1" x14ac:dyDescent="0.25">
      <c r="A327" s="3" t="s">
        <v>21</v>
      </c>
      <c r="B327" s="3" t="s">
        <v>35</v>
      </c>
      <c r="C327" s="3" t="s">
        <v>36</v>
      </c>
      <c r="D327" s="3" t="s">
        <v>46</v>
      </c>
      <c r="E327" s="3" t="s">
        <v>47</v>
      </c>
      <c r="F327" s="3" t="s">
        <v>25</v>
      </c>
      <c r="G327" s="3" t="s">
        <v>25</v>
      </c>
      <c r="H327" s="3" t="s">
        <v>38</v>
      </c>
      <c r="I327" s="6">
        <v>44682</v>
      </c>
      <c r="J327" s="4">
        <v>0</v>
      </c>
      <c r="K327" s="4">
        <v>0</v>
      </c>
      <c r="L327" s="4">
        <v>27.04</v>
      </c>
      <c r="M327" s="4">
        <v>25.4176</v>
      </c>
      <c r="N327" s="4">
        <v>27.04</v>
      </c>
      <c r="O327" s="4">
        <v>25.4176</v>
      </c>
      <c r="P327" s="4">
        <v>0</v>
      </c>
      <c r="Q327" s="3" t="s">
        <v>26</v>
      </c>
      <c r="R327" s="3">
        <v>0</v>
      </c>
      <c r="S327" s="3" t="s">
        <v>184</v>
      </c>
      <c r="T327" s="3" t="s">
        <v>335</v>
      </c>
      <c r="U327" s="3">
        <v>0</v>
      </c>
      <c r="V327" s="3">
        <v>13</v>
      </c>
      <c r="W327" s="3">
        <v>69</v>
      </c>
    </row>
    <row r="328" spans="1:23" ht="11.25" customHeight="1" x14ac:dyDescent="0.25">
      <c r="A328" s="3" t="s">
        <v>21</v>
      </c>
      <c r="B328" s="3" t="s">
        <v>35</v>
      </c>
      <c r="C328" s="3" t="s">
        <v>36</v>
      </c>
      <c r="D328" s="3" t="s">
        <v>46</v>
      </c>
      <c r="E328" s="3" t="s">
        <v>47</v>
      </c>
      <c r="F328" s="3" t="s">
        <v>25</v>
      </c>
      <c r="G328" s="3" t="s">
        <v>25</v>
      </c>
      <c r="H328" s="3" t="s">
        <v>38</v>
      </c>
      <c r="I328" s="6">
        <v>44713</v>
      </c>
      <c r="J328" s="4">
        <v>0</v>
      </c>
      <c r="K328" s="4">
        <v>0</v>
      </c>
      <c r="L328" s="4">
        <v>25.248000000000001</v>
      </c>
      <c r="M328" s="4">
        <v>23.73312</v>
      </c>
      <c r="N328" s="4">
        <v>25.248000000000001</v>
      </c>
      <c r="O328" s="4">
        <v>23.73312</v>
      </c>
      <c r="P328" s="4">
        <v>0</v>
      </c>
      <c r="Q328" s="3" t="s">
        <v>26</v>
      </c>
      <c r="R328" s="3">
        <v>0</v>
      </c>
      <c r="S328" s="3" t="s">
        <v>185</v>
      </c>
      <c r="T328" s="3" t="s">
        <v>336</v>
      </c>
      <c r="U328" s="3">
        <v>0</v>
      </c>
      <c r="V328" s="3">
        <v>13</v>
      </c>
      <c r="W328" s="3">
        <v>69</v>
      </c>
    </row>
    <row r="329" spans="1:23" ht="11.25" customHeight="1" x14ac:dyDescent="0.25">
      <c r="A329" s="3" t="s">
        <v>21</v>
      </c>
      <c r="B329" s="3" t="s">
        <v>35</v>
      </c>
      <c r="C329" s="3" t="s">
        <v>36</v>
      </c>
      <c r="D329" s="3" t="s">
        <v>46</v>
      </c>
      <c r="E329" s="3" t="s">
        <v>47</v>
      </c>
      <c r="F329" s="3" t="s">
        <v>25</v>
      </c>
      <c r="G329" s="3" t="s">
        <v>25</v>
      </c>
      <c r="H329" s="3" t="s">
        <v>38</v>
      </c>
      <c r="I329" s="6">
        <v>44743</v>
      </c>
      <c r="J329" s="4">
        <v>0</v>
      </c>
      <c r="K329" s="4">
        <v>0</v>
      </c>
      <c r="L329" s="4">
        <v>26.207999999999998</v>
      </c>
      <c r="M329" s="4">
        <v>24.63552</v>
      </c>
      <c r="N329" s="4">
        <v>26.207999999999998</v>
      </c>
      <c r="O329" s="4">
        <v>24.63552</v>
      </c>
      <c r="P329" s="4">
        <v>0</v>
      </c>
      <c r="Q329" s="3" t="s">
        <v>26</v>
      </c>
      <c r="R329" s="3">
        <v>0</v>
      </c>
      <c r="S329" s="3" t="s">
        <v>186</v>
      </c>
      <c r="T329" s="3" t="s">
        <v>337</v>
      </c>
      <c r="U329" s="3">
        <v>0</v>
      </c>
      <c r="V329" s="3">
        <v>13</v>
      </c>
      <c r="W329" s="3">
        <v>69</v>
      </c>
    </row>
    <row r="330" spans="1:23" ht="11.25" customHeight="1" x14ac:dyDescent="0.25">
      <c r="A330" s="3" t="s">
        <v>21</v>
      </c>
      <c r="B330" s="3" t="s">
        <v>35</v>
      </c>
      <c r="C330" s="3" t="s">
        <v>36</v>
      </c>
      <c r="D330" s="3" t="s">
        <v>46</v>
      </c>
      <c r="E330" s="3" t="s">
        <v>47</v>
      </c>
      <c r="F330" s="3" t="s">
        <v>25</v>
      </c>
      <c r="G330" s="3" t="s">
        <v>25</v>
      </c>
      <c r="H330" s="3" t="s">
        <v>38</v>
      </c>
      <c r="I330" s="6">
        <v>44774</v>
      </c>
      <c r="J330" s="4">
        <v>0</v>
      </c>
      <c r="K330" s="4">
        <v>0</v>
      </c>
      <c r="L330" s="4">
        <v>25.567</v>
      </c>
      <c r="M330" s="4">
        <v>24.032979999999998</v>
      </c>
      <c r="N330" s="4">
        <v>25.567</v>
      </c>
      <c r="O330" s="4">
        <v>24.032979999999998</v>
      </c>
      <c r="P330" s="4">
        <v>0</v>
      </c>
      <c r="Q330" s="3" t="s">
        <v>26</v>
      </c>
      <c r="R330" s="3">
        <v>0</v>
      </c>
      <c r="S330" s="3" t="s">
        <v>187</v>
      </c>
      <c r="T330" s="3" t="s">
        <v>338</v>
      </c>
      <c r="U330" s="3">
        <v>0</v>
      </c>
      <c r="V330" s="3">
        <v>13</v>
      </c>
      <c r="W330" s="3">
        <v>69</v>
      </c>
    </row>
    <row r="331" spans="1:23" ht="11.25" customHeight="1" x14ac:dyDescent="0.25">
      <c r="A331" s="3" t="s">
        <v>21</v>
      </c>
      <c r="B331" s="3" t="s">
        <v>35</v>
      </c>
      <c r="C331" s="3" t="s">
        <v>36</v>
      </c>
      <c r="D331" s="3" t="s">
        <v>46</v>
      </c>
      <c r="E331" s="3" t="s">
        <v>47</v>
      </c>
      <c r="F331" s="3" t="s">
        <v>25</v>
      </c>
      <c r="G331" s="3" t="s">
        <v>25</v>
      </c>
      <c r="H331" s="3" t="s">
        <v>25</v>
      </c>
      <c r="I331" s="6">
        <v>44440</v>
      </c>
      <c r="J331" s="4">
        <v>60</v>
      </c>
      <c r="K331" s="4">
        <v>56.4</v>
      </c>
      <c r="L331" s="4">
        <v>0</v>
      </c>
      <c r="M331" s="4">
        <v>0</v>
      </c>
      <c r="N331" s="4">
        <v>0</v>
      </c>
      <c r="O331" s="4">
        <v>0</v>
      </c>
      <c r="P331" s="4">
        <v>1</v>
      </c>
      <c r="Q331" s="3" t="s">
        <v>26</v>
      </c>
      <c r="R331" s="3">
        <v>0</v>
      </c>
      <c r="S331" s="3" t="s">
        <v>188</v>
      </c>
      <c r="U331" s="3">
        <v>9</v>
      </c>
      <c r="V331" s="3">
        <v>0</v>
      </c>
      <c r="W331" s="3">
        <v>0</v>
      </c>
    </row>
    <row r="332" spans="1:23" ht="11.25" customHeight="1" x14ac:dyDescent="0.25">
      <c r="A332" s="3" t="s">
        <v>21</v>
      </c>
      <c r="B332" s="3" t="s">
        <v>35</v>
      </c>
      <c r="C332" s="3" t="s">
        <v>36</v>
      </c>
      <c r="D332" s="3" t="s">
        <v>46</v>
      </c>
      <c r="E332" s="3" t="s">
        <v>47</v>
      </c>
      <c r="F332" s="3" t="s">
        <v>25</v>
      </c>
      <c r="G332" s="3" t="s">
        <v>25</v>
      </c>
      <c r="H332" s="3" t="s">
        <v>25</v>
      </c>
      <c r="I332" s="6">
        <v>44470</v>
      </c>
      <c r="J332" s="4">
        <v>60</v>
      </c>
      <c r="K332" s="4">
        <v>56.4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3" t="s">
        <v>26</v>
      </c>
      <c r="R332" s="3">
        <v>0</v>
      </c>
      <c r="S332" s="3" t="s">
        <v>189</v>
      </c>
      <c r="U332" s="3">
        <v>9</v>
      </c>
      <c r="V332" s="3">
        <v>0</v>
      </c>
      <c r="W332" s="3">
        <v>0</v>
      </c>
    </row>
    <row r="333" spans="1:23" ht="11.25" customHeight="1" x14ac:dyDescent="0.25">
      <c r="A333" s="3" t="s">
        <v>21</v>
      </c>
      <c r="B333" s="3" t="s">
        <v>35</v>
      </c>
      <c r="C333" s="3" t="s">
        <v>36</v>
      </c>
      <c r="D333" s="3" t="s">
        <v>46</v>
      </c>
      <c r="E333" s="3" t="s">
        <v>47</v>
      </c>
      <c r="F333" s="3" t="s">
        <v>25</v>
      </c>
      <c r="G333" s="3" t="s">
        <v>25</v>
      </c>
      <c r="H333" s="3" t="s">
        <v>25</v>
      </c>
      <c r="I333" s="6">
        <v>44501</v>
      </c>
      <c r="J333" s="4">
        <v>60</v>
      </c>
      <c r="K333" s="4">
        <v>56.4</v>
      </c>
      <c r="L333" s="4">
        <v>0</v>
      </c>
      <c r="M333" s="4">
        <v>0</v>
      </c>
      <c r="N333" s="4">
        <v>0</v>
      </c>
      <c r="O333" s="4">
        <v>0</v>
      </c>
      <c r="P333" s="4">
        <v>1</v>
      </c>
      <c r="Q333" s="3" t="s">
        <v>26</v>
      </c>
      <c r="R333" s="3">
        <v>0</v>
      </c>
      <c r="S333" s="3" t="s">
        <v>190</v>
      </c>
      <c r="U333" s="3">
        <v>9</v>
      </c>
      <c r="V333" s="3">
        <v>0</v>
      </c>
      <c r="W333" s="3">
        <v>0</v>
      </c>
    </row>
    <row r="334" spans="1:23" ht="11.25" customHeight="1" x14ac:dyDescent="0.25">
      <c r="A334" s="3" t="s">
        <v>21</v>
      </c>
      <c r="B334" s="3" t="s">
        <v>35</v>
      </c>
      <c r="C334" s="3" t="s">
        <v>36</v>
      </c>
      <c r="D334" s="3" t="s">
        <v>46</v>
      </c>
      <c r="E334" s="3" t="s">
        <v>47</v>
      </c>
      <c r="F334" s="3" t="s">
        <v>25</v>
      </c>
      <c r="G334" s="3" t="s">
        <v>25</v>
      </c>
      <c r="H334" s="3" t="s">
        <v>25</v>
      </c>
      <c r="I334" s="6">
        <v>44531</v>
      </c>
      <c r="J334" s="4">
        <v>60</v>
      </c>
      <c r="K334" s="4">
        <v>56.4</v>
      </c>
      <c r="L334" s="4">
        <v>0</v>
      </c>
      <c r="M334" s="4">
        <v>0</v>
      </c>
      <c r="N334" s="4">
        <v>0</v>
      </c>
      <c r="O334" s="4">
        <v>0</v>
      </c>
      <c r="P334" s="4">
        <v>1</v>
      </c>
      <c r="Q334" s="3" t="s">
        <v>26</v>
      </c>
      <c r="R334" s="3">
        <v>0</v>
      </c>
      <c r="S334" s="3" t="s">
        <v>191</v>
      </c>
      <c r="U334" s="3">
        <v>9</v>
      </c>
      <c r="V334" s="3">
        <v>0</v>
      </c>
      <c r="W334" s="3">
        <v>0</v>
      </c>
    </row>
    <row r="335" spans="1:23" ht="11.25" customHeight="1" x14ac:dyDescent="0.25">
      <c r="A335" s="3" t="s">
        <v>21</v>
      </c>
      <c r="B335" s="3" t="s">
        <v>35</v>
      </c>
      <c r="C335" s="3" t="s">
        <v>36</v>
      </c>
      <c r="D335" s="3" t="s">
        <v>46</v>
      </c>
      <c r="E335" s="3" t="s">
        <v>47</v>
      </c>
      <c r="F335" s="3" t="s">
        <v>25</v>
      </c>
      <c r="G335" s="3" t="s">
        <v>25</v>
      </c>
      <c r="H335" s="3" t="s">
        <v>25</v>
      </c>
      <c r="I335" s="6">
        <v>44562</v>
      </c>
      <c r="J335" s="4">
        <v>60</v>
      </c>
      <c r="K335" s="4">
        <v>56.4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3" t="s">
        <v>26</v>
      </c>
      <c r="R335" s="3">
        <v>0</v>
      </c>
      <c r="S335" s="3" t="s">
        <v>192</v>
      </c>
      <c r="U335" s="3">
        <v>9</v>
      </c>
      <c r="V335" s="3">
        <v>0</v>
      </c>
      <c r="W335" s="3">
        <v>0</v>
      </c>
    </row>
    <row r="336" spans="1:23" ht="11.25" customHeight="1" x14ac:dyDescent="0.25">
      <c r="A336" s="3" t="s">
        <v>21</v>
      </c>
      <c r="B336" s="3" t="s">
        <v>35</v>
      </c>
      <c r="C336" s="3" t="s">
        <v>36</v>
      </c>
      <c r="D336" s="3" t="s">
        <v>46</v>
      </c>
      <c r="E336" s="3" t="s">
        <v>47</v>
      </c>
      <c r="F336" s="3" t="s">
        <v>25</v>
      </c>
      <c r="G336" s="3" t="s">
        <v>25</v>
      </c>
      <c r="H336" s="3" t="s">
        <v>25</v>
      </c>
      <c r="I336" s="6">
        <v>44593</v>
      </c>
      <c r="J336" s="4">
        <v>60</v>
      </c>
      <c r="K336" s="4">
        <v>56.4</v>
      </c>
      <c r="L336" s="4">
        <v>0</v>
      </c>
      <c r="M336" s="4">
        <v>0</v>
      </c>
      <c r="N336" s="4">
        <v>0</v>
      </c>
      <c r="O336" s="4">
        <v>0</v>
      </c>
      <c r="P336" s="4">
        <v>1</v>
      </c>
      <c r="Q336" s="3" t="s">
        <v>26</v>
      </c>
      <c r="R336" s="3">
        <v>0</v>
      </c>
      <c r="S336" s="3" t="s">
        <v>193</v>
      </c>
      <c r="U336" s="3">
        <v>9</v>
      </c>
      <c r="V336" s="3">
        <v>0</v>
      </c>
      <c r="W336" s="3">
        <v>0</v>
      </c>
    </row>
    <row r="337" spans="1:23" ht="11.25" customHeight="1" x14ac:dyDescent="0.25">
      <c r="A337" s="3" t="s">
        <v>21</v>
      </c>
      <c r="B337" s="3" t="s">
        <v>35</v>
      </c>
      <c r="C337" s="3" t="s">
        <v>36</v>
      </c>
      <c r="D337" s="3" t="s">
        <v>46</v>
      </c>
      <c r="E337" s="3" t="s">
        <v>47</v>
      </c>
      <c r="F337" s="3" t="s">
        <v>25</v>
      </c>
      <c r="G337" s="3" t="s">
        <v>25</v>
      </c>
      <c r="H337" s="3" t="s">
        <v>25</v>
      </c>
      <c r="I337" s="6">
        <v>44621</v>
      </c>
      <c r="J337" s="4">
        <v>60</v>
      </c>
      <c r="K337" s="4">
        <v>56.4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3" t="s">
        <v>26</v>
      </c>
      <c r="R337" s="3">
        <v>0</v>
      </c>
      <c r="S337" s="3" t="s">
        <v>194</v>
      </c>
      <c r="U337" s="3">
        <v>9</v>
      </c>
      <c r="V337" s="3">
        <v>0</v>
      </c>
      <c r="W337" s="3">
        <v>0</v>
      </c>
    </row>
    <row r="338" spans="1:23" ht="11.25" customHeight="1" x14ac:dyDescent="0.25">
      <c r="A338" s="3" t="s">
        <v>21</v>
      </c>
      <c r="B338" s="3" t="s">
        <v>35</v>
      </c>
      <c r="C338" s="3" t="s">
        <v>36</v>
      </c>
      <c r="D338" s="3" t="s">
        <v>46</v>
      </c>
      <c r="E338" s="3" t="s">
        <v>47</v>
      </c>
      <c r="F338" s="3" t="s">
        <v>25</v>
      </c>
      <c r="G338" s="3" t="s">
        <v>25</v>
      </c>
      <c r="H338" s="3" t="s">
        <v>25</v>
      </c>
      <c r="I338" s="6">
        <v>44652</v>
      </c>
      <c r="J338" s="4">
        <v>60</v>
      </c>
      <c r="K338" s="4">
        <v>56.4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3" t="s">
        <v>26</v>
      </c>
      <c r="R338" s="3">
        <v>0</v>
      </c>
      <c r="S338" s="3" t="s">
        <v>195</v>
      </c>
      <c r="U338" s="3">
        <v>9</v>
      </c>
      <c r="V338" s="3">
        <v>0</v>
      </c>
      <c r="W338" s="3">
        <v>0</v>
      </c>
    </row>
    <row r="339" spans="1:23" ht="11.25" customHeight="1" x14ac:dyDescent="0.25">
      <c r="A339" s="3" t="s">
        <v>21</v>
      </c>
      <c r="B339" s="3" t="s">
        <v>35</v>
      </c>
      <c r="C339" s="3" t="s">
        <v>36</v>
      </c>
      <c r="D339" s="3" t="s">
        <v>46</v>
      </c>
      <c r="E339" s="3" t="s">
        <v>47</v>
      </c>
      <c r="F339" s="3" t="s">
        <v>25</v>
      </c>
      <c r="G339" s="3" t="s">
        <v>25</v>
      </c>
      <c r="H339" s="3" t="s">
        <v>25</v>
      </c>
      <c r="I339" s="6">
        <v>44682</v>
      </c>
      <c r="J339" s="4">
        <v>60</v>
      </c>
      <c r="K339" s="4">
        <v>56.4</v>
      </c>
      <c r="L339" s="4">
        <v>0</v>
      </c>
      <c r="M339" s="4">
        <v>0</v>
      </c>
      <c r="N339" s="4">
        <v>0</v>
      </c>
      <c r="O339" s="4">
        <v>0</v>
      </c>
      <c r="P339" s="4">
        <v>1</v>
      </c>
      <c r="Q339" s="3" t="s">
        <v>26</v>
      </c>
      <c r="R339" s="3">
        <v>0</v>
      </c>
      <c r="S339" s="3" t="s">
        <v>196</v>
      </c>
      <c r="U339" s="3">
        <v>9</v>
      </c>
      <c r="V339" s="3">
        <v>0</v>
      </c>
      <c r="W339" s="3">
        <v>0</v>
      </c>
    </row>
    <row r="340" spans="1:23" ht="11.25" customHeight="1" x14ac:dyDescent="0.25">
      <c r="A340" s="3" t="s">
        <v>21</v>
      </c>
      <c r="B340" s="3" t="s">
        <v>35</v>
      </c>
      <c r="C340" s="3" t="s">
        <v>36</v>
      </c>
      <c r="D340" s="3" t="s">
        <v>46</v>
      </c>
      <c r="E340" s="3" t="s">
        <v>47</v>
      </c>
      <c r="F340" s="3" t="s">
        <v>25</v>
      </c>
      <c r="G340" s="3" t="s">
        <v>25</v>
      </c>
      <c r="H340" s="3" t="s">
        <v>25</v>
      </c>
      <c r="I340" s="6">
        <v>44713</v>
      </c>
      <c r="J340" s="4">
        <v>60</v>
      </c>
      <c r="K340" s="4">
        <v>56.4</v>
      </c>
      <c r="L340" s="4">
        <v>0</v>
      </c>
      <c r="M340" s="4">
        <v>0</v>
      </c>
      <c r="N340" s="4">
        <v>0</v>
      </c>
      <c r="O340" s="4">
        <v>0</v>
      </c>
      <c r="P340" s="4">
        <v>1</v>
      </c>
      <c r="Q340" s="3" t="s">
        <v>26</v>
      </c>
      <c r="R340" s="3">
        <v>0</v>
      </c>
      <c r="S340" s="3" t="s">
        <v>197</v>
      </c>
      <c r="U340" s="3">
        <v>9</v>
      </c>
      <c r="V340" s="3">
        <v>0</v>
      </c>
      <c r="W340" s="3">
        <v>0</v>
      </c>
    </row>
    <row r="341" spans="1:23" ht="11.25" customHeight="1" x14ac:dyDescent="0.25">
      <c r="A341" s="3" t="s">
        <v>21</v>
      </c>
      <c r="B341" s="3" t="s">
        <v>35</v>
      </c>
      <c r="C341" s="3" t="s">
        <v>36</v>
      </c>
      <c r="D341" s="3" t="s">
        <v>46</v>
      </c>
      <c r="E341" s="3" t="s">
        <v>47</v>
      </c>
      <c r="F341" s="3" t="s">
        <v>25</v>
      </c>
      <c r="G341" s="3" t="s">
        <v>25</v>
      </c>
      <c r="H341" s="3" t="s">
        <v>25</v>
      </c>
      <c r="I341" s="6">
        <v>44743</v>
      </c>
      <c r="J341" s="4">
        <v>60</v>
      </c>
      <c r="K341" s="4">
        <v>56.4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3" t="s">
        <v>26</v>
      </c>
      <c r="R341" s="3">
        <v>0</v>
      </c>
      <c r="S341" s="3" t="s">
        <v>198</v>
      </c>
      <c r="U341" s="3">
        <v>9</v>
      </c>
      <c r="V341" s="3">
        <v>0</v>
      </c>
      <c r="W341" s="3">
        <v>0</v>
      </c>
    </row>
    <row r="342" spans="1:23" ht="11.25" customHeight="1" x14ac:dyDescent="0.25">
      <c r="A342" s="3" t="s">
        <v>21</v>
      </c>
      <c r="B342" s="3" t="s">
        <v>35</v>
      </c>
      <c r="C342" s="3" t="s">
        <v>36</v>
      </c>
      <c r="D342" s="3" t="s">
        <v>46</v>
      </c>
      <c r="E342" s="3" t="s">
        <v>47</v>
      </c>
      <c r="F342" s="3" t="s">
        <v>25</v>
      </c>
      <c r="G342" s="3" t="s">
        <v>25</v>
      </c>
      <c r="H342" s="3" t="s">
        <v>25</v>
      </c>
      <c r="I342" s="6">
        <v>44774</v>
      </c>
      <c r="J342" s="4">
        <v>60</v>
      </c>
      <c r="K342" s="4">
        <v>56.4</v>
      </c>
      <c r="L342" s="4">
        <v>0</v>
      </c>
      <c r="M342" s="4">
        <v>0</v>
      </c>
      <c r="N342" s="4">
        <v>0</v>
      </c>
      <c r="O342" s="4">
        <v>0</v>
      </c>
      <c r="P342" s="4">
        <v>1</v>
      </c>
      <c r="Q342" s="3" t="s">
        <v>26</v>
      </c>
      <c r="R342" s="3">
        <v>0</v>
      </c>
      <c r="S342" s="3" t="s">
        <v>199</v>
      </c>
      <c r="U342" s="3">
        <v>9</v>
      </c>
      <c r="V342" s="3">
        <v>0</v>
      </c>
      <c r="W342" s="3">
        <v>0</v>
      </c>
    </row>
    <row r="343" spans="1:23" ht="11.25" customHeight="1" x14ac:dyDescent="0.25">
      <c r="A343" s="3" t="s">
        <v>21</v>
      </c>
      <c r="B343" s="3" t="s">
        <v>35</v>
      </c>
      <c r="C343" s="3" t="s">
        <v>36</v>
      </c>
      <c r="D343" s="3" t="s">
        <v>46</v>
      </c>
      <c r="E343" s="3" t="s">
        <v>47</v>
      </c>
      <c r="F343" s="3" t="s">
        <v>25</v>
      </c>
      <c r="G343" s="3" t="s">
        <v>25</v>
      </c>
      <c r="H343" s="3" t="s">
        <v>37</v>
      </c>
      <c r="I343" s="6">
        <v>44440</v>
      </c>
      <c r="J343" s="4">
        <v>0</v>
      </c>
      <c r="K343" s="4">
        <v>0</v>
      </c>
      <c r="L343" s="4">
        <v>3.8220000000000001</v>
      </c>
      <c r="M343" s="4">
        <v>3.5926799999999997</v>
      </c>
      <c r="N343" s="4">
        <v>3.8220000000000001</v>
      </c>
      <c r="O343" s="4">
        <v>3.5926799999999997</v>
      </c>
      <c r="P343" s="4">
        <v>0</v>
      </c>
      <c r="Q343" s="3" t="s">
        <v>26</v>
      </c>
      <c r="R343" s="3">
        <v>0</v>
      </c>
      <c r="S343" s="3" t="s">
        <v>200</v>
      </c>
      <c r="T343" s="3" t="s">
        <v>339</v>
      </c>
      <c r="U343" s="3">
        <v>0</v>
      </c>
      <c r="V343" s="3">
        <v>10</v>
      </c>
      <c r="W343" s="3">
        <v>77</v>
      </c>
    </row>
    <row r="344" spans="1:23" ht="11.25" customHeight="1" x14ac:dyDescent="0.25">
      <c r="A344" s="3" t="s">
        <v>21</v>
      </c>
      <c r="B344" s="3" t="s">
        <v>35</v>
      </c>
      <c r="C344" s="3" t="s">
        <v>36</v>
      </c>
      <c r="D344" s="3" t="s">
        <v>46</v>
      </c>
      <c r="E344" s="3" t="s">
        <v>47</v>
      </c>
      <c r="F344" s="3" t="s">
        <v>25</v>
      </c>
      <c r="G344" s="3" t="s">
        <v>25</v>
      </c>
      <c r="H344" s="3" t="s">
        <v>37</v>
      </c>
      <c r="I344" s="6">
        <v>44470</v>
      </c>
      <c r="J344" s="4">
        <v>0</v>
      </c>
      <c r="K344" s="4">
        <v>0</v>
      </c>
      <c r="L344" s="4">
        <v>2.3199999999999998</v>
      </c>
      <c r="M344" s="4">
        <v>2.1808000000000001</v>
      </c>
      <c r="N344" s="4">
        <v>2.3199999999999998</v>
      </c>
      <c r="O344" s="4">
        <v>2.1808000000000001</v>
      </c>
      <c r="P344" s="4">
        <v>0</v>
      </c>
      <c r="Q344" s="3" t="s">
        <v>26</v>
      </c>
      <c r="R344" s="3">
        <v>0</v>
      </c>
      <c r="S344" s="3" t="s">
        <v>201</v>
      </c>
      <c r="T344" s="3" t="s">
        <v>340</v>
      </c>
      <c r="U344" s="3">
        <v>0</v>
      </c>
      <c r="V344" s="3">
        <v>10</v>
      </c>
      <c r="W344" s="3">
        <v>77</v>
      </c>
    </row>
    <row r="345" spans="1:23" ht="11.25" customHeight="1" x14ac:dyDescent="0.25">
      <c r="A345" s="3" t="s">
        <v>21</v>
      </c>
      <c r="B345" s="3" t="s">
        <v>35</v>
      </c>
      <c r="C345" s="3" t="s">
        <v>36</v>
      </c>
      <c r="D345" s="3" t="s">
        <v>46</v>
      </c>
      <c r="E345" s="3" t="s">
        <v>47</v>
      </c>
      <c r="F345" s="3" t="s">
        <v>25</v>
      </c>
      <c r="G345" s="3" t="s">
        <v>25</v>
      </c>
      <c r="H345" s="3" t="s">
        <v>37</v>
      </c>
      <c r="I345" s="6">
        <v>44501</v>
      </c>
      <c r="J345" s="4">
        <v>0</v>
      </c>
      <c r="K345" s="4">
        <v>0</v>
      </c>
      <c r="L345" s="4">
        <v>2.7789999999999999</v>
      </c>
      <c r="M345" s="4">
        <v>2.61226</v>
      </c>
      <c r="N345" s="4">
        <v>2.7789999999999999</v>
      </c>
      <c r="O345" s="4">
        <v>2.61226</v>
      </c>
      <c r="P345" s="4">
        <v>0</v>
      </c>
      <c r="Q345" s="3" t="s">
        <v>26</v>
      </c>
      <c r="R345" s="3">
        <v>0</v>
      </c>
      <c r="S345" s="3" t="s">
        <v>202</v>
      </c>
      <c r="T345" s="3" t="s">
        <v>341</v>
      </c>
      <c r="U345" s="3">
        <v>0</v>
      </c>
      <c r="V345" s="3">
        <v>10</v>
      </c>
      <c r="W345" s="3">
        <v>77</v>
      </c>
    </row>
    <row r="346" spans="1:23" ht="11.25" customHeight="1" x14ac:dyDescent="0.25">
      <c r="A346" s="3" t="s">
        <v>21</v>
      </c>
      <c r="B346" s="3" t="s">
        <v>35</v>
      </c>
      <c r="C346" s="3" t="s">
        <v>36</v>
      </c>
      <c r="D346" s="3" t="s">
        <v>46</v>
      </c>
      <c r="E346" s="3" t="s">
        <v>47</v>
      </c>
      <c r="F346" s="3" t="s">
        <v>25</v>
      </c>
      <c r="G346" s="3" t="s">
        <v>25</v>
      </c>
      <c r="H346" s="3" t="s">
        <v>37</v>
      </c>
      <c r="I346" s="6">
        <v>44531</v>
      </c>
      <c r="J346" s="4">
        <v>0</v>
      </c>
      <c r="K346" s="4">
        <v>0</v>
      </c>
      <c r="L346" s="4">
        <v>2.7450000000000001</v>
      </c>
      <c r="M346" s="4">
        <v>2.5802999999999998</v>
      </c>
      <c r="N346" s="4">
        <v>2.7450000000000001</v>
      </c>
      <c r="O346" s="4">
        <v>2.5802999999999998</v>
      </c>
      <c r="P346" s="4">
        <v>0</v>
      </c>
      <c r="Q346" s="3" t="s">
        <v>26</v>
      </c>
      <c r="R346" s="3">
        <v>0</v>
      </c>
      <c r="S346" s="3" t="s">
        <v>203</v>
      </c>
      <c r="T346" s="3" t="s">
        <v>342</v>
      </c>
      <c r="U346" s="3">
        <v>0</v>
      </c>
      <c r="V346" s="3">
        <v>10</v>
      </c>
      <c r="W346" s="3">
        <v>77</v>
      </c>
    </row>
    <row r="347" spans="1:23" ht="11.25" customHeight="1" x14ac:dyDescent="0.25">
      <c r="A347" s="3" t="s">
        <v>21</v>
      </c>
      <c r="B347" s="3" t="s">
        <v>35</v>
      </c>
      <c r="C347" s="3" t="s">
        <v>36</v>
      </c>
      <c r="D347" s="3" t="s">
        <v>46</v>
      </c>
      <c r="E347" s="3" t="s">
        <v>47</v>
      </c>
      <c r="F347" s="3" t="s">
        <v>25</v>
      </c>
      <c r="G347" s="3" t="s">
        <v>25</v>
      </c>
      <c r="H347" s="3" t="s">
        <v>37</v>
      </c>
      <c r="I347" s="6">
        <v>44562</v>
      </c>
      <c r="J347" s="4">
        <v>0</v>
      </c>
      <c r="K347" s="4">
        <v>0</v>
      </c>
      <c r="L347" s="4">
        <v>2.41</v>
      </c>
      <c r="M347" s="4">
        <v>2.2654000000000001</v>
      </c>
      <c r="N347" s="4">
        <v>2.41</v>
      </c>
      <c r="O347" s="4">
        <v>2.2654000000000001</v>
      </c>
      <c r="P347" s="4">
        <v>0</v>
      </c>
      <c r="Q347" s="3" t="s">
        <v>26</v>
      </c>
      <c r="R347" s="3">
        <v>0</v>
      </c>
      <c r="S347" s="3" t="s">
        <v>204</v>
      </c>
      <c r="T347" s="3" t="s">
        <v>343</v>
      </c>
      <c r="U347" s="3">
        <v>0</v>
      </c>
      <c r="V347" s="3">
        <v>10</v>
      </c>
      <c r="W347" s="3">
        <v>77</v>
      </c>
    </row>
    <row r="348" spans="1:23" ht="11.25" customHeight="1" x14ac:dyDescent="0.25">
      <c r="A348" s="3" t="s">
        <v>21</v>
      </c>
      <c r="B348" s="3" t="s">
        <v>35</v>
      </c>
      <c r="C348" s="3" t="s">
        <v>36</v>
      </c>
      <c r="D348" s="3" t="s">
        <v>46</v>
      </c>
      <c r="E348" s="3" t="s">
        <v>47</v>
      </c>
      <c r="F348" s="3" t="s">
        <v>25</v>
      </c>
      <c r="G348" s="3" t="s">
        <v>25</v>
      </c>
      <c r="H348" s="3" t="s">
        <v>37</v>
      </c>
      <c r="I348" s="6">
        <v>44593</v>
      </c>
      <c r="J348" s="4">
        <v>0</v>
      </c>
      <c r="K348" s="4">
        <v>0</v>
      </c>
      <c r="L348" s="4">
        <v>2.5230000000000001</v>
      </c>
      <c r="M348" s="4">
        <v>2.3716200000000001</v>
      </c>
      <c r="N348" s="4">
        <v>2.5230000000000001</v>
      </c>
      <c r="O348" s="4">
        <v>2.3716200000000001</v>
      </c>
      <c r="P348" s="4">
        <v>0</v>
      </c>
      <c r="Q348" s="3" t="s">
        <v>26</v>
      </c>
      <c r="R348" s="3">
        <v>0</v>
      </c>
      <c r="S348" s="3" t="s">
        <v>205</v>
      </c>
      <c r="T348" s="3" t="s">
        <v>344</v>
      </c>
      <c r="U348" s="3">
        <v>0</v>
      </c>
      <c r="V348" s="3">
        <v>10</v>
      </c>
      <c r="W348" s="3">
        <v>77</v>
      </c>
    </row>
    <row r="349" spans="1:23" ht="11.25" customHeight="1" x14ac:dyDescent="0.25">
      <c r="A349" s="3" t="s">
        <v>21</v>
      </c>
      <c r="B349" s="3" t="s">
        <v>35</v>
      </c>
      <c r="C349" s="3" t="s">
        <v>36</v>
      </c>
      <c r="D349" s="3" t="s">
        <v>46</v>
      </c>
      <c r="E349" s="3" t="s">
        <v>47</v>
      </c>
      <c r="F349" s="3" t="s">
        <v>25</v>
      </c>
      <c r="G349" s="3" t="s">
        <v>25</v>
      </c>
      <c r="H349" s="3" t="s">
        <v>37</v>
      </c>
      <c r="I349" s="6">
        <v>44621</v>
      </c>
      <c r="J349" s="4">
        <v>0</v>
      </c>
      <c r="K349" s="4">
        <v>0</v>
      </c>
      <c r="L349" s="4">
        <v>2.8180000000000001</v>
      </c>
      <c r="M349" s="4">
        <v>2.6489199999999999</v>
      </c>
      <c r="N349" s="4">
        <v>2.8180000000000001</v>
      </c>
      <c r="O349" s="4">
        <v>2.6489199999999999</v>
      </c>
      <c r="P349" s="4">
        <v>0</v>
      </c>
      <c r="Q349" s="3" t="s">
        <v>26</v>
      </c>
      <c r="R349" s="3">
        <v>0</v>
      </c>
      <c r="S349" s="3" t="s">
        <v>206</v>
      </c>
      <c r="T349" s="3" t="s">
        <v>345</v>
      </c>
      <c r="U349" s="3">
        <v>0</v>
      </c>
      <c r="V349" s="3">
        <v>10</v>
      </c>
      <c r="W349" s="3">
        <v>77</v>
      </c>
    </row>
    <row r="350" spans="1:23" ht="11.25" customHeight="1" x14ac:dyDescent="0.25">
      <c r="A350" s="3" t="s">
        <v>21</v>
      </c>
      <c r="B350" s="3" t="s">
        <v>35</v>
      </c>
      <c r="C350" s="3" t="s">
        <v>36</v>
      </c>
      <c r="D350" s="3" t="s">
        <v>46</v>
      </c>
      <c r="E350" s="3" t="s">
        <v>47</v>
      </c>
      <c r="F350" s="3" t="s">
        <v>25</v>
      </c>
      <c r="G350" s="3" t="s">
        <v>25</v>
      </c>
      <c r="H350" s="3" t="s">
        <v>37</v>
      </c>
      <c r="I350" s="6">
        <v>44652</v>
      </c>
      <c r="J350" s="4">
        <v>0</v>
      </c>
      <c r="K350" s="4">
        <v>0</v>
      </c>
      <c r="L350" s="4">
        <v>2.6110000000000002</v>
      </c>
      <c r="M350" s="4">
        <v>2.4543400000000002</v>
      </c>
      <c r="N350" s="4">
        <v>2.6110000000000002</v>
      </c>
      <c r="O350" s="4">
        <v>2.4543400000000002</v>
      </c>
      <c r="P350" s="4">
        <v>0</v>
      </c>
      <c r="Q350" s="3" t="s">
        <v>26</v>
      </c>
      <c r="R350" s="3">
        <v>0</v>
      </c>
      <c r="S350" s="3" t="s">
        <v>207</v>
      </c>
      <c r="T350" s="3" t="s">
        <v>346</v>
      </c>
      <c r="U350" s="3">
        <v>0</v>
      </c>
      <c r="V350" s="3">
        <v>10</v>
      </c>
      <c r="W350" s="3">
        <v>77</v>
      </c>
    </row>
    <row r="351" spans="1:23" ht="11.25" customHeight="1" x14ac:dyDescent="0.25">
      <c r="A351" s="3" t="s">
        <v>21</v>
      </c>
      <c r="B351" s="3" t="s">
        <v>35</v>
      </c>
      <c r="C351" s="3" t="s">
        <v>36</v>
      </c>
      <c r="D351" s="3" t="s">
        <v>46</v>
      </c>
      <c r="E351" s="3" t="s">
        <v>47</v>
      </c>
      <c r="F351" s="3" t="s">
        <v>25</v>
      </c>
      <c r="G351" s="3" t="s">
        <v>25</v>
      </c>
      <c r="H351" s="3" t="s">
        <v>37</v>
      </c>
      <c r="I351" s="6">
        <v>44682</v>
      </c>
      <c r="J351" s="4">
        <v>0</v>
      </c>
      <c r="K351" s="4">
        <v>0</v>
      </c>
      <c r="L351" s="4">
        <v>2.778</v>
      </c>
      <c r="M351" s="4">
        <v>2.6113200000000001</v>
      </c>
      <c r="N351" s="4">
        <v>2.778</v>
      </c>
      <c r="O351" s="4">
        <v>2.6113200000000001</v>
      </c>
      <c r="P351" s="4">
        <v>0</v>
      </c>
      <c r="Q351" s="3" t="s">
        <v>26</v>
      </c>
      <c r="R351" s="3">
        <v>0</v>
      </c>
      <c r="S351" s="3" t="s">
        <v>208</v>
      </c>
      <c r="T351" s="3" t="s">
        <v>347</v>
      </c>
      <c r="U351" s="3">
        <v>0</v>
      </c>
      <c r="V351" s="3">
        <v>10</v>
      </c>
      <c r="W351" s="3">
        <v>77</v>
      </c>
    </row>
    <row r="352" spans="1:23" ht="11.25" customHeight="1" x14ac:dyDescent="0.25">
      <c r="A352" s="3" t="s">
        <v>21</v>
      </c>
      <c r="B352" s="3" t="s">
        <v>35</v>
      </c>
      <c r="C352" s="3" t="s">
        <v>36</v>
      </c>
      <c r="D352" s="3" t="s">
        <v>46</v>
      </c>
      <c r="E352" s="3" t="s">
        <v>47</v>
      </c>
      <c r="F352" s="3" t="s">
        <v>25</v>
      </c>
      <c r="G352" s="3" t="s">
        <v>25</v>
      </c>
      <c r="H352" s="3" t="s">
        <v>37</v>
      </c>
      <c r="I352" s="6">
        <v>44713</v>
      </c>
      <c r="J352" s="4">
        <v>0</v>
      </c>
      <c r="K352" s="4">
        <v>0</v>
      </c>
      <c r="L352" s="4">
        <v>2.7690000000000001</v>
      </c>
      <c r="M352" s="4">
        <v>2.6028600000000002</v>
      </c>
      <c r="N352" s="4">
        <v>2.7690000000000001</v>
      </c>
      <c r="O352" s="4">
        <v>2.6028600000000002</v>
      </c>
      <c r="P352" s="4">
        <v>0</v>
      </c>
      <c r="Q352" s="3" t="s">
        <v>26</v>
      </c>
      <c r="R352" s="3">
        <v>0</v>
      </c>
      <c r="S352" s="3" t="s">
        <v>209</v>
      </c>
      <c r="T352" s="3" t="s">
        <v>348</v>
      </c>
      <c r="U352" s="3">
        <v>0</v>
      </c>
      <c r="V352" s="3">
        <v>10</v>
      </c>
      <c r="W352" s="3">
        <v>77</v>
      </c>
    </row>
    <row r="353" spans="1:23" ht="11.25" customHeight="1" x14ac:dyDescent="0.25">
      <c r="A353" s="3" t="s">
        <v>21</v>
      </c>
      <c r="B353" s="3" t="s">
        <v>35</v>
      </c>
      <c r="C353" s="3" t="s">
        <v>36</v>
      </c>
      <c r="D353" s="3" t="s">
        <v>46</v>
      </c>
      <c r="E353" s="3" t="s">
        <v>47</v>
      </c>
      <c r="F353" s="3" t="s">
        <v>25</v>
      </c>
      <c r="G353" s="3" t="s">
        <v>25</v>
      </c>
      <c r="H353" s="3" t="s">
        <v>37</v>
      </c>
      <c r="I353" s="6">
        <v>44743</v>
      </c>
      <c r="J353" s="4">
        <v>0</v>
      </c>
      <c r="K353" s="4">
        <v>0</v>
      </c>
      <c r="L353" s="4">
        <v>2.536</v>
      </c>
      <c r="M353" s="4">
        <v>2.3838400000000002</v>
      </c>
      <c r="N353" s="4">
        <v>2.536</v>
      </c>
      <c r="O353" s="4">
        <v>2.3838400000000002</v>
      </c>
      <c r="P353" s="4">
        <v>0</v>
      </c>
      <c r="Q353" s="3" t="s">
        <v>26</v>
      </c>
      <c r="R353" s="3">
        <v>0</v>
      </c>
      <c r="S353" s="3" t="s">
        <v>210</v>
      </c>
      <c r="T353" s="3" t="s">
        <v>349</v>
      </c>
      <c r="U353" s="3">
        <v>0</v>
      </c>
      <c r="V353" s="3">
        <v>10</v>
      </c>
      <c r="W353" s="3">
        <v>77</v>
      </c>
    </row>
    <row r="354" spans="1:23" ht="11.25" customHeight="1" x14ac:dyDescent="0.25">
      <c r="A354" s="3" t="s">
        <v>21</v>
      </c>
      <c r="B354" s="3" t="s">
        <v>35</v>
      </c>
      <c r="C354" s="3" t="s">
        <v>36</v>
      </c>
      <c r="D354" s="3" t="s">
        <v>46</v>
      </c>
      <c r="E354" s="3" t="s">
        <v>47</v>
      </c>
      <c r="F354" s="3" t="s">
        <v>25</v>
      </c>
      <c r="G354" s="3" t="s">
        <v>25</v>
      </c>
      <c r="H354" s="3" t="s">
        <v>37</v>
      </c>
      <c r="I354" s="6">
        <v>44774</v>
      </c>
      <c r="J354" s="4">
        <v>0</v>
      </c>
      <c r="K354" s="4">
        <v>0</v>
      </c>
      <c r="L354" s="4">
        <v>2.714</v>
      </c>
      <c r="M354" s="4">
        <v>2.5511599999999999</v>
      </c>
      <c r="N354" s="4">
        <v>2.714</v>
      </c>
      <c r="O354" s="4">
        <v>2.5511599999999999</v>
      </c>
      <c r="P354" s="4">
        <v>0</v>
      </c>
      <c r="Q354" s="3" t="s">
        <v>26</v>
      </c>
      <c r="R354" s="3">
        <v>0</v>
      </c>
      <c r="S354" s="3" t="s">
        <v>211</v>
      </c>
      <c r="T354" s="3" t="s">
        <v>350</v>
      </c>
      <c r="U354" s="3">
        <v>0</v>
      </c>
      <c r="V354" s="3">
        <v>10</v>
      </c>
      <c r="W354" s="3">
        <v>77</v>
      </c>
    </row>
    <row r="355" spans="1:2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24</v>
      </c>
      <c r="F355" s="3" t="s">
        <v>25</v>
      </c>
      <c r="G355" s="3" t="s">
        <v>25</v>
      </c>
      <c r="H355" s="3" t="s">
        <v>25</v>
      </c>
      <c r="I355" s="6">
        <v>44440</v>
      </c>
      <c r="J355" s="4">
        <v>0</v>
      </c>
      <c r="K355" s="4">
        <v>0</v>
      </c>
      <c r="L355" s="4">
        <v>2544.8980000000001</v>
      </c>
      <c r="M355" s="4">
        <v>2544.8980000000001</v>
      </c>
      <c r="N355" s="4">
        <v>2544.8980000000001</v>
      </c>
      <c r="O355" s="4">
        <v>2544.8980000000001</v>
      </c>
      <c r="P355" s="4">
        <v>11043</v>
      </c>
      <c r="Q355" s="3" t="s">
        <v>26</v>
      </c>
      <c r="R355" s="3">
        <v>0</v>
      </c>
      <c r="S355" s="3" t="s">
        <v>230</v>
      </c>
      <c r="T355" s="3" t="s">
        <v>367</v>
      </c>
      <c r="U355" s="3">
        <v>0</v>
      </c>
      <c r="V355" s="3">
        <v>23</v>
      </c>
      <c r="W355" s="3">
        <v>53</v>
      </c>
    </row>
    <row r="356" spans="1:23" ht="11.25" customHeight="1" x14ac:dyDescent="0.25">
      <c r="A356" s="3" t="s">
        <v>27</v>
      </c>
      <c r="B356" s="3" t="s">
        <v>22</v>
      </c>
      <c r="C356" s="3" t="s">
        <v>23</v>
      </c>
      <c r="D356" s="3" t="s">
        <v>24</v>
      </c>
      <c r="E356" s="3" t="s">
        <v>24</v>
      </c>
      <c r="F356" s="3" t="s">
        <v>25</v>
      </c>
      <c r="G356" s="3" t="s">
        <v>25</v>
      </c>
      <c r="H356" s="3" t="s">
        <v>25</v>
      </c>
      <c r="I356" s="6">
        <v>44440</v>
      </c>
      <c r="J356" s="4">
        <v>0</v>
      </c>
      <c r="K356" s="4">
        <v>0</v>
      </c>
      <c r="L356" s="4">
        <v>-1.794</v>
      </c>
      <c r="M356" s="4">
        <v>-1.794</v>
      </c>
      <c r="N356" s="4">
        <v>-1.794</v>
      </c>
      <c r="O356" s="4">
        <v>-1.794</v>
      </c>
      <c r="P356" s="4">
        <v>0</v>
      </c>
      <c r="Q356" s="3" t="s">
        <v>26</v>
      </c>
      <c r="R356" s="3">
        <v>0</v>
      </c>
      <c r="S356" s="3" t="s">
        <v>230</v>
      </c>
      <c r="T356" s="3" t="s">
        <v>367</v>
      </c>
      <c r="U356" s="3">
        <v>0</v>
      </c>
      <c r="V356" s="3">
        <v>23</v>
      </c>
      <c r="W356" s="3">
        <v>53</v>
      </c>
    </row>
    <row r="357" spans="1:23" ht="11.25" customHeight="1" x14ac:dyDescent="0.25">
      <c r="A357" s="3" t="s">
        <v>28</v>
      </c>
      <c r="B357" s="3" t="s">
        <v>22</v>
      </c>
      <c r="C357" s="3" t="s">
        <v>23</v>
      </c>
      <c r="D357" s="3" t="s">
        <v>24</v>
      </c>
      <c r="E357" s="3" t="s">
        <v>24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43.853999999999999</v>
      </c>
      <c r="M357" s="4">
        <v>43.853999999999999</v>
      </c>
      <c r="N357" s="4">
        <v>43.853999999999999</v>
      </c>
      <c r="O357" s="4">
        <v>43.853999999999999</v>
      </c>
      <c r="P357" s="4">
        <v>247</v>
      </c>
      <c r="Q357" s="3" t="s">
        <v>26</v>
      </c>
      <c r="R357" s="3">
        <v>0</v>
      </c>
      <c r="S357" s="3" t="s">
        <v>230</v>
      </c>
      <c r="T357" s="3" t="s">
        <v>367</v>
      </c>
      <c r="U357" s="3">
        <v>0</v>
      </c>
      <c r="V357" s="3">
        <v>23</v>
      </c>
      <c r="W357" s="3">
        <v>53</v>
      </c>
    </row>
    <row r="358" spans="1:23" ht="11.25" customHeight="1" x14ac:dyDescent="0.25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24</v>
      </c>
      <c r="F358" s="3" t="s">
        <v>25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2531.931</v>
      </c>
      <c r="M358" s="4">
        <v>2531.931</v>
      </c>
      <c r="N358" s="4">
        <v>2531.931</v>
      </c>
      <c r="O358" s="4">
        <v>2531.931</v>
      </c>
      <c r="P358" s="4">
        <v>11040</v>
      </c>
      <c r="Q358" s="3" t="s">
        <v>26</v>
      </c>
      <c r="R358" s="3">
        <v>0</v>
      </c>
      <c r="S358" s="3" t="s">
        <v>231</v>
      </c>
      <c r="T358" s="3" t="s">
        <v>368</v>
      </c>
      <c r="U358" s="3">
        <v>0</v>
      </c>
      <c r="V358" s="3">
        <v>23</v>
      </c>
      <c r="W358" s="3">
        <v>53</v>
      </c>
    </row>
    <row r="359" spans="1:23" ht="11.25" customHeight="1" x14ac:dyDescent="0.25">
      <c r="A359" s="3" t="s">
        <v>27</v>
      </c>
      <c r="B359" s="3" t="s">
        <v>22</v>
      </c>
      <c r="C359" s="3" t="s">
        <v>23</v>
      </c>
      <c r="D359" s="3" t="s">
        <v>24</v>
      </c>
      <c r="E359" s="3" t="s">
        <v>24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-1.6830000000000001</v>
      </c>
      <c r="M359" s="4">
        <v>-1.6830000000000001</v>
      </c>
      <c r="N359" s="4">
        <v>-1.6830000000000001</v>
      </c>
      <c r="O359" s="4">
        <v>-1.6830000000000001</v>
      </c>
      <c r="P359" s="4">
        <v>0</v>
      </c>
      <c r="Q359" s="3" t="s">
        <v>26</v>
      </c>
      <c r="R359" s="3">
        <v>0</v>
      </c>
      <c r="S359" s="3" t="s">
        <v>231</v>
      </c>
      <c r="T359" s="3" t="s">
        <v>368</v>
      </c>
      <c r="U359" s="3">
        <v>0</v>
      </c>
      <c r="V359" s="3">
        <v>23</v>
      </c>
      <c r="W359" s="3">
        <v>53</v>
      </c>
    </row>
    <row r="360" spans="1:23" ht="11.25" customHeight="1" x14ac:dyDescent="0.25">
      <c r="A360" s="3" t="s">
        <v>28</v>
      </c>
      <c r="B360" s="3" t="s">
        <v>22</v>
      </c>
      <c r="C360" s="3" t="s">
        <v>23</v>
      </c>
      <c r="D360" s="3" t="s">
        <v>24</v>
      </c>
      <c r="E360" s="3" t="s">
        <v>24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40.707000000000001</v>
      </c>
      <c r="M360" s="4">
        <v>40.707000000000001</v>
      </c>
      <c r="N360" s="4">
        <v>40.707000000000001</v>
      </c>
      <c r="O360" s="4">
        <v>40.707000000000001</v>
      </c>
      <c r="P360" s="4">
        <v>261</v>
      </c>
      <c r="Q360" s="3" t="s">
        <v>26</v>
      </c>
      <c r="R360" s="3">
        <v>0</v>
      </c>
      <c r="S360" s="3" t="s">
        <v>231</v>
      </c>
      <c r="T360" s="3" t="s">
        <v>368</v>
      </c>
      <c r="U360" s="3">
        <v>0</v>
      </c>
      <c r="V360" s="3">
        <v>23</v>
      </c>
      <c r="W360" s="3">
        <v>53</v>
      </c>
    </row>
    <row r="361" spans="1:23" ht="11.25" customHeight="1" x14ac:dyDescent="0.25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24</v>
      </c>
      <c r="F361" s="3" t="s">
        <v>25</v>
      </c>
      <c r="G361" s="3" t="s">
        <v>25</v>
      </c>
      <c r="H361" s="3" t="s">
        <v>25</v>
      </c>
      <c r="I361" s="6">
        <v>44501</v>
      </c>
      <c r="J361" s="4">
        <v>0</v>
      </c>
      <c r="K361" s="4">
        <v>0</v>
      </c>
      <c r="L361" s="4">
        <v>2612.2220000000002</v>
      </c>
      <c r="M361" s="4">
        <v>2612.2220000000002</v>
      </c>
      <c r="N361" s="4">
        <v>2612.2220000000002</v>
      </c>
      <c r="O361" s="4">
        <v>2612.2220000000002</v>
      </c>
      <c r="P361" s="4">
        <v>11066</v>
      </c>
      <c r="Q361" s="3" t="s">
        <v>26</v>
      </c>
      <c r="R361" s="3">
        <v>0</v>
      </c>
      <c r="S361" s="3" t="s">
        <v>232</v>
      </c>
      <c r="T361" s="3" t="s">
        <v>369</v>
      </c>
      <c r="U361" s="3">
        <v>0</v>
      </c>
      <c r="V361" s="3">
        <v>23</v>
      </c>
      <c r="W361" s="3">
        <v>53</v>
      </c>
    </row>
    <row r="362" spans="1:23" ht="11.25" customHeight="1" x14ac:dyDescent="0.25">
      <c r="A362" s="3" t="s">
        <v>27</v>
      </c>
      <c r="B362" s="3" t="s">
        <v>22</v>
      </c>
      <c r="C362" s="3" t="s">
        <v>23</v>
      </c>
      <c r="D362" s="3" t="s">
        <v>24</v>
      </c>
      <c r="E362" s="3" t="s">
        <v>24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-1.8049999999999999</v>
      </c>
      <c r="M362" s="4">
        <v>-1.8049999999999999</v>
      </c>
      <c r="N362" s="4">
        <v>-1.8049999999999999</v>
      </c>
      <c r="O362" s="4">
        <v>-1.8049999999999999</v>
      </c>
      <c r="P362" s="4">
        <v>0</v>
      </c>
      <c r="Q362" s="3" t="s">
        <v>26</v>
      </c>
      <c r="R362" s="3">
        <v>0</v>
      </c>
      <c r="S362" s="3" t="s">
        <v>232</v>
      </c>
      <c r="T362" s="3" t="s">
        <v>369</v>
      </c>
      <c r="U362" s="3">
        <v>0</v>
      </c>
      <c r="V362" s="3">
        <v>23</v>
      </c>
      <c r="W362" s="3">
        <v>53</v>
      </c>
    </row>
    <row r="363" spans="1:23" ht="11.25" customHeight="1" x14ac:dyDescent="0.25">
      <c r="A363" s="3" t="s">
        <v>28</v>
      </c>
      <c r="B363" s="3" t="s">
        <v>22</v>
      </c>
      <c r="C363" s="3" t="s">
        <v>23</v>
      </c>
      <c r="D363" s="3" t="s">
        <v>24</v>
      </c>
      <c r="E363" s="3" t="s">
        <v>24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35.673000000000002</v>
      </c>
      <c r="M363" s="4">
        <v>35.673000000000002</v>
      </c>
      <c r="N363" s="4">
        <v>35.673000000000002</v>
      </c>
      <c r="O363" s="4">
        <v>35.673000000000002</v>
      </c>
      <c r="P363" s="4">
        <v>267</v>
      </c>
      <c r="Q363" s="3" t="s">
        <v>26</v>
      </c>
      <c r="R363" s="3">
        <v>0</v>
      </c>
      <c r="S363" s="3" t="s">
        <v>232</v>
      </c>
      <c r="T363" s="3" t="s">
        <v>369</v>
      </c>
      <c r="U363" s="3">
        <v>0</v>
      </c>
      <c r="V363" s="3">
        <v>23</v>
      </c>
      <c r="W363" s="3">
        <v>53</v>
      </c>
    </row>
    <row r="364" spans="1:23" ht="11.25" customHeight="1" x14ac:dyDescent="0.25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24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2775.0729999999999</v>
      </c>
      <c r="M364" s="4">
        <v>2775.0729999999999</v>
      </c>
      <c r="N364" s="4">
        <v>2775.0729999999999</v>
      </c>
      <c r="O364" s="4">
        <v>2775.0729999999999</v>
      </c>
      <c r="P364" s="4">
        <v>11063</v>
      </c>
      <c r="Q364" s="3" t="s">
        <v>26</v>
      </c>
      <c r="R364" s="3">
        <v>0</v>
      </c>
      <c r="S364" s="3" t="s">
        <v>233</v>
      </c>
      <c r="T364" s="3" t="s">
        <v>370</v>
      </c>
      <c r="U364" s="3">
        <v>0</v>
      </c>
      <c r="V364" s="3">
        <v>23</v>
      </c>
      <c r="W364" s="3">
        <v>53</v>
      </c>
    </row>
    <row r="365" spans="1:23" ht="11.25" customHeight="1" x14ac:dyDescent="0.25">
      <c r="A365" s="3" t="s">
        <v>28</v>
      </c>
      <c r="B365" s="3" t="s">
        <v>22</v>
      </c>
      <c r="C365" s="3" t="s">
        <v>23</v>
      </c>
      <c r="D365" s="3" t="s">
        <v>24</v>
      </c>
      <c r="E365" s="3" t="s">
        <v>24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40.408000000000001</v>
      </c>
      <c r="M365" s="4">
        <v>40.408000000000001</v>
      </c>
      <c r="N365" s="4">
        <v>40.408000000000001</v>
      </c>
      <c r="O365" s="4">
        <v>40.408000000000001</v>
      </c>
      <c r="P365" s="4">
        <v>288</v>
      </c>
      <c r="Q365" s="3" t="s">
        <v>26</v>
      </c>
      <c r="R365" s="3">
        <v>0</v>
      </c>
      <c r="S365" s="3" t="s">
        <v>233</v>
      </c>
      <c r="T365" s="3" t="s">
        <v>370</v>
      </c>
      <c r="U365" s="3">
        <v>0</v>
      </c>
      <c r="V365" s="3">
        <v>23</v>
      </c>
      <c r="W365" s="3">
        <v>53</v>
      </c>
    </row>
    <row r="366" spans="1:23" ht="11.25" customHeight="1" x14ac:dyDescent="0.25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24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3204.7579999999998</v>
      </c>
      <c r="M366" s="4">
        <v>3204.7579999999998</v>
      </c>
      <c r="N366" s="4">
        <v>3204.7579999999998</v>
      </c>
      <c r="O366" s="4">
        <v>3204.7579999999998</v>
      </c>
      <c r="P366" s="4">
        <v>11071</v>
      </c>
      <c r="Q366" s="3" t="s">
        <v>26</v>
      </c>
      <c r="R366" s="3">
        <v>0</v>
      </c>
      <c r="S366" s="3" t="s">
        <v>234</v>
      </c>
      <c r="T366" s="3" t="s">
        <v>371</v>
      </c>
      <c r="U366" s="3">
        <v>0</v>
      </c>
      <c r="V366" s="3">
        <v>23</v>
      </c>
      <c r="W366" s="3">
        <v>53</v>
      </c>
    </row>
    <row r="367" spans="1:23" ht="11.25" customHeight="1" x14ac:dyDescent="0.25">
      <c r="A367" s="3" t="s">
        <v>27</v>
      </c>
      <c r="B367" s="3" t="s">
        <v>22</v>
      </c>
      <c r="C367" s="3" t="s">
        <v>23</v>
      </c>
      <c r="D367" s="3" t="s">
        <v>24</v>
      </c>
      <c r="E367" s="3" t="s">
        <v>24</v>
      </c>
      <c r="F367" s="3" t="s">
        <v>25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-6.5839999999999996</v>
      </c>
      <c r="M367" s="4">
        <v>-6.5839999999999996</v>
      </c>
      <c r="N367" s="4">
        <v>-6.5839999999999996</v>
      </c>
      <c r="O367" s="4">
        <v>-6.5839999999999996</v>
      </c>
      <c r="P367" s="4">
        <v>0</v>
      </c>
      <c r="Q367" s="3" t="s">
        <v>26</v>
      </c>
      <c r="R367" s="3">
        <v>0</v>
      </c>
      <c r="S367" s="3" t="s">
        <v>234</v>
      </c>
      <c r="T367" s="3" t="s">
        <v>371</v>
      </c>
      <c r="U367" s="3">
        <v>0</v>
      </c>
      <c r="V367" s="3">
        <v>23</v>
      </c>
      <c r="W367" s="3">
        <v>53</v>
      </c>
    </row>
    <row r="368" spans="1:23" ht="11.25" customHeight="1" x14ac:dyDescent="0.25">
      <c r="A368" s="3" t="s">
        <v>28</v>
      </c>
      <c r="B368" s="3" t="s">
        <v>22</v>
      </c>
      <c r="C368" s="3" t="s">
        <v>23</v>
      </c>
      <c r="D368" s="3" t="s">
        <v>24</v>
      </c>
      <c r="E368" s="3" t="s">
        <v>24</v>
      </c>
      <c r="F368" s="3" t="s">
        <v>25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42.773000000000003</v>
      </c>
      <c r="M368" s="4">
        <v>42.773000000000003</v>
      </c>
      <c r="N368" s="4">
        <v>42.773000000000003</v>
      </c>
      <c r="O368" s="4">
        <v>42.773000000000003</v>
      </c>
      <c r="P368" s="4">
        <v>304</v>
      </c>
      <c r="Q368" s="3" t="s">
        <v>26</v>
      </c>
      <c r="R368" s="3">
        <v>0</v>
      </c>
      <c r="S368" s="3" t="s">
        <v>234</v>
      </c>
      <c r="T368" s="3" t="s">
        <v>371</v>
      </c>
      <c r="U368" s="3">
        <v>0</v>
      </c>
      <c r="V368" s="3">
        <v>23</v>
      </c>
      <c r="W368" s="3">
        <v>53</v>
      </c>
    </row>
    <row r="369" spans="1:23" ht="11.25" customHeight="1" x14ac:dyDescent="0.25">
      <c r="A369" s="3" t="s">
        <v>21</v>
      </c>
      <c r="B369" s="3" t="s">
        <v>22</v>
      </c>
      <c r="C369" s="3" t="s">
        <v>23</v>
      </c>
      <c r="D369" s="3" t="s">
        <v>24</v>
      </c>
      <c r="E369" s="3" t="s">
        <v>24</v>
      </c>
      <c r="F369" s="3" t="s">
        <v>25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3548.9490000000001</v>
      </c>
      <c r="M369" s="4">
        <v>3548.9490000000001</v>
      </c>
      <c r="N369" s="4">
        <v>3548.9490000000001</v>
      </c>
      <c r="O369" s="4">
        <v>3548.9490000000001</v>
      </c>
      <c r="P369" s="4">
        <v>11009</v>
      </c>
      <c r="Q369" s="3" t="s">
        <v>26</v>
      </c>
      <c r="R369" s="3">
        <v>0</v>
      </c>
      <c r="S369" s="3" t="s">
        <v>235</v>
      </c>
      <c r="T369" s="3" t="s">
        <v>372</v>
      </c>
      <c r="U369" s="3">
        <v>0</v>
      </c>
      <c r="V369" s="3">
        <v>23</v>
      </c>
      <c r="W369" s="3">
        <v>53</v>
      </c>
    </row>
    <row r="370" spans="1:23" ht="11.25" customHeight="1" x14ac:dyDescent="0.25">
      <c r="A370" s="3" t="s">
        <v>27</v>
      </c>
      <c r="B370" s="3" t="s">
        <v>22</v>
      </c>
      <c r="C370" s="3" t="s">
        <v>23</v>
      </c>
      <c r="D370" s="3" t="s">
        <v>24</v>
      </c>
      <c r="E370" s="3" t="s">
        <v>24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-0.85099999999999998</v>
      </c>
      <c r="M370" s="4">
        <v>-0.85099999999999998</v>
      </c>
      <c r="N370" s="4">
        <v>-0.85099999999999998</v>
      </c>
      <c r="O370" s="4">
        <v>-0.85099999999999998</v>
      </c>
      <c r="P370" s="4">
        <v>0</v>
      </c>
      <c r="Q370" s="3" t="s">
        <v>26</v>
      </c>
      <c r="R370" s="3">
        <v>0</v>
      </c>
      <c r="S370" s="3" t="s">
        <v>235</v>
      </c>
      <c r="T370" s="3" t="s">
        <v>372</v>
      </c>
      <c r="U370" s="3">
        <v>0</v>
      </c>
      <c r="V370" s="3">
        <v>23</v>
      </c>
      <c r="W370" s="3">
        <v>53</v>
      </c>
    </row>
    <row r="371" spans="1:23" ht="11.25" customHeight="1" x14ac:dyDescent="0.25">
      <c r="A371" s="3" t="s">
        <v>28</v>
      </c>
      <c r="B371" s="3" t="s">
        <v>22</v>
      </c>
      <c r="C371" s="3" t="s">
        <v>23</v>
      </c>
      <c r="D371" s="3" t="s">
        <v>24</v>
      </c>
      <c r="E371" s="3" t="s">
        <v>24</v>
      </c>
      <c r="F371" s="3" t="s">
        <v>25</v>
      </c>
      <c r="G371" s="3" t="s">
        <v>25</v>
      </c>
      <c r="H371" s="3" t="s">
        <v>25</v>
      </c>
      <c r="I371" s="6">
        <v>44593</v>
      </c>
      <c r="J371" s="4">
        <v>0</v>
      </c>
      <c r="K371" s="4">
        <v>0</v>
      </c>
      <c r="L371" s="4">
        <v>54.786000000000001</v>
      </c>
      <c r="M371" s="4">
        <v>54.786000000000001</v>
      </c>
      <c r="N371" s="4">
        <v>54.786000000000001</v>
      </c>
      <c r="O371" s="4">
        <v>54.786000000000001</v>
      </c>
      <c r="P371" s="4">
        <v>315</v>
      </c>
      <c r="Q371" s="3" t="s">
        <v>26</v>
      </c>
      <c r="R371" s="3">
        <v>0</v>
      </c>
      <c r="S371" s="3" t="s">
        <v>235</v>
      </c>
      <c r="T371" s="3" t="s">
        <v>372</v>
      </c>
      <c r="U371" s="3">
        <v>0</v>
      </c>
      <c r="V371" s="3">
        <v>23</v>
      </c>
      <c r="W371" s="3">
        <v>53</v>
      </c>
    </row>
    <row r="372" spans="1:23" ht="11.25" customHeight="1" x14ac:dyDescent="0.25">
      <c r="A372" s="3" t="s">
        <v>21</v>
      </c>
      <c r="B372" s="3" t="s">
        <v>22</v>
      </c>
      <c r="C372" s="3" t="s">
        <v>23</v>
      </c>
      <c r="D372" s="3" t="s">
        <v>24</v>
      </c>
      <c r="E372" s="3" t="s">
        <v>24</v>
      </c>
      <c r="F372" s="3" t="s">
        <v>25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3130.4110000000001</v>
      </c>
      <c r="M372" s="4">
        <v>3130.4110000000001</v>
      </c>
      <c r="N372" s="4">
        <v>3130.4110000000001</v>
      </c>
      <c r="O372" s="4">
        <v>3130.4110000000001</v>
      </c>
      <c r="P372" s="4">
        <v>10989</v>
      </c>
      <c r="Q372" s="3" t="s">
        <v>26</v>
      </c>
      <c r="R372" s="3">
        <v>0</v>
      </c>
      <c r="S372" s="3" t="s">
        <v>236</v>
      </c>
      <c r="T372" s="3" t="s">
        <v>373</v>
      </c>
      <c r="U372" s="3">
        <v>0</v>
      </c>
      <c r="V372" s="3">
        <v>23</v>
      </c>
      <c r="W372" s="3">
        <v>53</v>
      </c>
    </row>
    <row r="373" spans="1:23" ht="11.25" customHeight="1" x14ac:dyDescent="0.25">
      <c r="A373" s="3" t="s">
        <v>27</v>
      </c>
      <c r="B373" s="3" t="s">
        <v>22</v>
      </c>
      <c r="C373" s="3" t="s">
        <v>23</v>
      </c>
      <c r="D373" s="3" t="s">
        <v>24</v>
      </c>
      <c r="E373" s="3" t="s">
        <v>24</v>
      </c>
      <c r="F373" s="3" t="s">
        <v>25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-1.18</v>
      </c>
      <c r="M373" s="4">
        <v>-1.18</v>
      </c>
      <c r="N373" s="4">
        <v>-1.18</v>
      </c>
      <c r="O373" s="4">
        <v>-1.18</v>
      </c>
      <c r="P373" s="4">
        <v>0</v>
      </c>
      <c r="Q373" s="3" t="s">
        <v>26</v>
      </c>
      <c r="R373" s="3">
        <v>0</v>
      </c>
      <c r="S373" s="3" t="s">
        <v>236</v>
      </c>
      <c r="T373" s="3" t="s">
        <v>373</v>
      </c>
      <c r="U373" s="3">
        <v>0</v>
      </c>
      <c r="V373" s="3">
        <v>23</v>
      </c>
      <c r="W373" s="3">
        <v>53</v>
      </c>
    </row>
    <row r="374" spans="1:23" ht="11.25" customHeight="1" x14ac:dyDescent="0.25">
      <c r="A374" s="3" t="s">
        <v>28</v>
      </c>
      <c r="B374" s="3" t="s">
        <v>22</v>
      </c>
      <c r="C374" s="3" t="s">
        <v>23</v>
      </c>
      <c r="D374" s="3" t="s">
        <v>24</v>
      </c>
      <c r="E374" s="3" t="s">
        <v>24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4">
        <v>0</v>
      </c>
      <c r="L374" s="4">
        <v>56.368000000000002</v>
      </c>
      <c r="M374" s="4">
        <v>56.368000000000002</v>
      </c>
      <c r="N374" s="4">
        <v>56.368000000000002</v>
      </c>
      <c r="O374" s="4">
        <v>56.368000000000002</v>
      </c>
      <c r="P374" s="4">
        <v>329</v>
      </c>
      <c r="Q374" s="3" t="s">
        <v>26</v>
      </c>
      <c r="R374" s="3">
        <v>0</v>
      </c>
      <c r="S374" s="3" t="s">
        <v>236</v>
      </c>
      <c r="T374" s="3" t="s">
        <v>373</v>
      </c>
      <c r="U374" s="3">
        <v>0</v>
      </c>
      <c r="V374" s="3">
        <v>23</v>
      </c>
      <c r="W374" s="3">
        <v>53</v>
      </c>
    </row>
    <row r="375" spans="1:23" ht="11.25" customHeight="1" x14ac:dyDescent="0.25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24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2557.107</v>
      </c>
      <c r="M375" s="4">
        <v>2557.107</v>
      </c>
      <c r="N375" s="4">
        <v>2557.107</v>
      </c>
      <c r="O375" s="4">
        <v>2557.107</v>
      </c>
      <c r="P375" s="4">
        <v>10988</v>
      </c>
      <c r="Q375" s="3" t="s">
        <v>26</v>
      </c>
      <c r="R375" s="3">
        <v>0</v>
      </c>
      <c r="S375" s="3" t="s">
        <v>237</v>
      </c>
      <c r="T375" s="3" t="s">
        <v>374</v>
      </c>
      <c r="U375" s="3">
        <v>0</v>
      </c>
      <c r="V375" s="3">
        <v>23</v>
      </c>
      <c r="W375" s="3">
        <v>53</v>
      </c>
    </row>
    <row r="376" spans="1:23" ht="11.25" customHeight="1" x14ac:dyDescent="0.25">
      <c r="A376" s="3" t="s">
        <v>27</v>
      </c>
      <c r="B376" s="3" t="s">
        <v>22</v>
      </c>
      <c r="C376" s="3" t="s">
        <v>23</v>
      </c>
      <c r="D376" s="3" t="s">
        <v>24</v>
      </c>
      <c r="E376" s="3" t="s">
        <v>24</v>
      </c>
      <c r="F376" s="3" t="s">
        <v>25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-0.435</v>
      </c>
      <c r="M376" s="4">
        <v>-0.435</v>
      </c>
      <c r="N376" s="4">
        <v>-0.435</v>
      </c>
      <c r="O376" s="4">
        <v>-0.435</v>
      </c>
      <c r="P376" s="4">
        <v>0</v>
      </c>
      <c r="Q376" s="3" t="s">
        <v>26</v>
      </c>
      <c r="R376" s="3">
        <v>0</v>
      </c>
      <c r="S376" s="3" t="s">
        <v>237</v>
      </c>
      <c r="T376" s="3" t="s">
        <v>374</v>
      </c>
      <c r="U376" s="3">
        <v>0</v>
      </c>
      <c r="V376" s="3">
        <v>23</v>
      </c>
      <c r="W376" s="3">
        <v>53</v>
      </c>
    </row>
    <row r="377" spans="1:23" ht="11.25" customHeight="1" x14ac:dyDescent="0.25">
      <c r="A377" s="3" t="s">
        <v>28</v>
      </c>
      <c r="B377" s="3" t="s">
        <v>22</v>
      </c>
      <c r="C377" s="3" t="s">
        <v>23</v>
      </c>
      <c r="D377" s="3" t="s">
        <v>24</v>
      </c>
      <c r="E377" s="3" t="s">
        <v>24</v>
      </c>
      <c r="F377" s="3" t="s">
        <v>25</v>
      </c>
      <c r="G377" s="3" t="s">
        <v>25</v>
      </c>
      <c r="H377" s="3" t="s">
        <v>25</v>
      </c>
      <c r="I377" s="6">
        <v>44652</v>
      </c>
      <c r="J377" s="4">
        <v>0</v>
      </c>
      <c r="K377" s="4">
        <v>0</v>
      </c>
      <c r="L377" s="4">
        <v>48.286999999999999</v>
      </c>
      <c r="M377" s="4">
        <v>48.286999999999999</v>
      </c>
      <c r="N377" s="4">
        <v>48.286999999999999</v>
      </c>
      <c r="O377" s="4">
        <v>48.286999999999999</v>
      </c>
      <c r="P377" s="4">
        <v>347</v>
      </c>
      <c r="Q377" s="3" t="s">
        <v>26</v>
      </c>
      <c r="R377" s="3">
        <v>0</v>
      </c>
      <c r="S377" s="3" t="s">
        <v>237</v>
      </c>
      <c r="T377" s="3" t="s">
        <v>374</v>
      </c>
      <c r="U377" s="3">
        <v>0</v>
      </c>
      <c r="V377" s="3">
        <v>23</v>
      </c>
      <c r="W377" s="3">
        <v>53</v>
      </c>
    </row>
    <row r="378" spans="1:23" ht="11.25" customHeight="1" x14ac:dyDescent="0.25">
      <c r="A378" s="3" t="s">
        <v>21</v>
      </c>
      <c r="B378" s="3" t="s">
        <v>22</v>
      </c>
      <c r="C378" s="3" t="s">
        <v>23</v>
      </c>
      <c r="D378" s="3" t="s">
        <v>24</v>
      </c>
      <c r="E378" s="3" t="s">
        <v>24</v>
      </c>
      <c r="F378" s="3" t="s">
        <v>25</v>
      </c>
      <c r="G378" s="3" t="s">
        <v>25</v>
      </c>
      <c r="H378" s="3" t="s">
        <v>25</v>
      </c>
      <c r="I378" s="6">
        <v>44682</v>
      </c>
      <c r="J378" s="4">
        <v>0</v>
      </c>
      <c r="K378" s="4">
        <v>0</v>
      </c>
      <c r="L378" s="4">
        <v>2333.1010000000001</v>
      </c>
      <c r="M378" s="4">
        <v>2333.1010000000001</v>
      </c>
      <c r="N378" s="4">
        <v>2333.1010000000001</v>
      </c>
      <c r="O378" s="4">
        <v>2333.1010000000001</v>
      </c>
      <c r="P378" s="4">
        <v>10999</v>
      </c>
      <c r="Q378" s="3" t="s">
        <v>26</v>
      </c>
      <c r="R378" s="3">
        <v>0</v>
      </c>
      <c r="S378" s="3" t="s">
        <v>238</v>
      </c>
      <c r="T378" s="3" t="s">
        <v>375</v>
      </c>
      <c r="U378" s="3">
        <v>0</v>
      </c>
      <c r="V378" s="3">
        <v>23</v>
      </c>
      <c r="W378" s="3">
        <v>53</v>
      </c>
    </row>
    <row r="379" spans="1:23" ht="11.25" customHeight="1" x14ac:dyDescent="0.25">
      <c r="A379" s="3" t="s">
        <v>27</v>
      </c>
      <c r="B379" s="3" t="s">
        <v>22</v>
      </c>
      <c r="C379" s="3" t="s">
        <v>23</v>
      </c>
      <c r="D379" s="3" t="s">
        <v>24</v>
      </c>
      <c r="E379" s="3" t="s">
        <v>24</v>
      </c>
      <c r="F379" s="3" t="s">
        <v>25</v>
      </c>
      <c r="G379" s="3" t="s">
        <v>25</v>
      </c>
      <c r="H379" s="3" t="s">
        <v>25</v>
      </c>
      <c r="I379" s="6">
        <v>44682</v>
      </c>
      <c r="J379" s="4">
        <v>0</v>
      </c>
      <c r="K379" s="4">
        <v>0</v>
      </c>
      <c r="L379" s="4">
        <v>-0.79900000000000004</v>
      </c>
      <c r="M379" s="4">
        <v>-0.79900000000000004</v>
      </c>
      <c r="N379" s="4">
        <v>-0.79900000000000004</v>
      </c>
      <c r="O379" s="4">
        <v>-0.79900000000000004</v>
      </c>
      <c r="P379" s="4">
        <v>0</v>
      </c>
      <c r="Q379" s="3" t="s">
        <v>26</v>
      </c>
      <c r="R379" s="3">
        <v>0</v>
      </c>
      <c r="S379" s="3" t="s">
        <v>238</v>
      </c>
      <c r="T379" s="3" t="s">
        <v>375</v>
      </c>
      <c r="U379" s="3">
        <v>0</v>
      </c>
      <c r="V379" s="3">
        <v>23</v>
      </c>
      <c r="W379" s="3">
        <v>53</v>
      </c>
    </row>
    <row r="380" spans="1:23" ht="11.25" customHeight="1" x14ac:dyDescent="0.25">
      <c r="A380" s="3" t="s">
        <v>28</v>
      </c>
      <c r="B380" s="3" t="s">
        <v>22</v>
      </c>
      <c r="C380" s="3" t="s">
        <v>23</v>
      </c>
      <c r="D380" s="3" t="s">
        <v>24</v>
      </c>
      <c r="E380" s="3" t="s">
        <v>24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47.963000000000001</v>
      </c>
      <c r="M380" s="4">
        <v>47.963000000000001</v>
      </c>
      <c r="N380" s="4">
        <v>47.963000000000001</v>
      </c>
      <c r="O380" s="4">
        <v>47.963000000000001</v>
      </c>
      <c r="P380" s="4">
        <v>356</v>
      </c>
      <c r="Q380" s="3" t="s">
        <v>26</v>
      </c>
      <c r="R380" s="3">
        <v>0</v>
      </c>
      <c r="S380" s="3" t="s">
        <v>238</v>
      </c>
      <c r="T380" s="3" t="s">
        <v>375</v>
      </c>
      <c r="U380" s="3">
        <v>0</v>
      </c>
      <c r="V380" s="3">
        <v>23</v>
      </c>
      <c r="W380" s="3">
        <v>53</v>
      </c>
    </row>
    <row r="381" spans="1:23" ht="11.25" customHeight="1" x14ac:dyDescent="0.25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24</v>
      </c>
      <c r="F381" s="3" t="s">
        <v>25</v>
      </c>
      <c r="G381" s="3" t="s">
        <v>25</v>
      </c>
      <c r="H381" s="3" t="s">
        <v>25</v>
      </c>
      <c r="I381" s="6">
        <v>44713</v>
      </c>
      <c r="J381" s="4">
        <v>0</v>
      </c>
      <c r="K381" s="4">
        <v>0</v>
      </c>
      <c r="L381" s="4">
        <v>2665.902</v>
      </c>
      <c r="M381" s="4">
        <v>2665.902</v>
      </c>
      <c r="N381" s="4">
        <v>2665.902</v>
      </c>
      <c r="O381" s="4">
        <v>2665.902</v>
      </c>
      <c r="P381" s="4">
        <v>11078</v>
      </c>
      <c r="Q381" s="3" t="s">
        <v>26</v>
      </c>
      <c r="R381" s="3">
        <v>0</v>
      </c>
      <c r="S381" s="3" t="s">
        <v>239</v>
      </c>
      <c r="T381" s="3" t="s">
        <v>376</v>
      </c>
      <c r="U381" s="3">
        <v>0</v>
      </c>
      <c r="V381" s="3">
        <v>23</v>
      </c>
      <c r="W381" s="3">
        <v>53</v>
      </c>
    </row>
    <row r="382" spans="1:23" ht="11.25" customHeight="1" x14ac:dyDescent="0.25">
      <c r="A382" s="3" t="s">
        <v>27</v>
      </c>
      <c r="B382" s="3" t="s">
        <v>22</v>
      </c>
      <c r="C382" s="3" t="s">
        <v>23</v>
      </c>
      <c r="D382" s="3" t="s">
        <v>24</v>
      </c>
      <c r="E382" s="3" t="s">
        <v>24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-1.8360000000000001</v>
      </c>
      <c r="M382" s="4">
        <v>-1.8360000000000001</v>
      </c>
      <c r="N382" s="4">
        <v>-1.8360000000000001</v>
      </c>
      <c r="O382" s="4">
        <v>-1.8360000000000001</v>
      </c>
      <c r="P382" s="4">
        <v>0</v>
      </c>
      <c r="Q382" s="3" t="s">
        <v>26</v>
      </c>
      <c r="R382" s="3">
        <v>0</v>
      </c>
      <c r="S382" s="3" t="s">
        <v>239</v>
      </c>
      <c r="T382" s="3" t="s">
        <v>376</v>
      </c>
      <c r="U382" s="3">
        <v>0</v>
      </c>
      <c r="V382" s="3">
        <v>23</v>
      </c>
      <c r="W382" s="3">
        <v>53</v>
      </c>
    </row>
    <row r="383" spans="1:23" ht="11.25" customHeight="1" x14ac:dyDescent="0.25">
      <c r="A383" s="3" t="s">
        <v>28</v>
      </c>
      <c r="B383" s="3" t="s">
        <v>22</v>
      </c>
      <c r="C383" s="3" t="s">
        <v>23</v>
      </c>
      <c r="D383" s="3" t="s">
        <v>24</v>
      </c>
      <c r="E383" s="3" t="s">
        <v>24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80.448999999999998</v>
      </c>
      <c r="M383" s="4">
        <v>80.448999999999998</v>
      </c>
      <c r="N383" s="4">
        <v>80.448999999999998</v>
      </c>
      <c r="O383" s="4">
        <v>80.448999999999998</v>
      </c>
      <c r="P383" s="4">
        <v>371</v>
      </c>
      <c r="Q383" s="3" t="s">
        <v>26</v>
      </c>
      <c r="R383" s="3">
        <v>0</v>
      </c>
      <c r="S383" s="3" t="s">
        <v>239</v>
      </c>
      <c r="T383" s="3" t="s">
        <v>376</v>
      </c>
      <c r="U383" s="3">
        <v>0</v>
      </c>
      <c r="V383" s="3">
        <v>23</v>
      </c>
      <c r="W383" s="3">
        <v>53</v>
      </c>
    </row>
    <row r="384" spans="1:23" ht="11.25" customHeight="1" x14ac:dyDescent="0.25">
      <c r="A384" s="3" t="s">
        <v>21</v>
      </c>
      <c r="B384" s="3" t="s">
        <v>22</v>
      </c>
      <c r="C384" s="3" t="s">
        <v>23</v>
      </c>
      <c r="D384" s="3" t="s">
        <v>24</v>
      </c>
      <c r="E384" s="3" t="s">
        <v>24</v>
      </c>
      <c r="F384" s="3" t="s">
        <v>25</v>
      </c>
      <c r="G384" s="3" t="s">
        <v>25</v>
      </c>
      <c r="H384" s="3" t="s">
        <v>25</v>
      </c>
      <c r="I384" s="6">
        <v>44743</v>
      </c>
      <c r="J384" s="4">
        <v>0</v>
      </c>
      <c r="K384" s="4">
        <v>0</v>
      </c>
      <c r="L384" s="4">
        <v>2566.4490000000001</v>
      </c>
      <c r="M384" s="4">
        <v>2566.4490000000001</v>
      </c>
      <c r="N384" s="4">
        <v>2566.4490000000001</v>
      </c>
      <c r="O384" s="4">
        <v>2566.4490000000001</v>
      </c>
      <c r="P384" s="4">
        <v>11107</v>
      </c>
      <c r="Q384" s="3" t="s">
        <v>26</v>
      </c>
      <c r="R384" s="3">
        <v>0</v>
      </c>
      <c r="S384" s="3" t="s">
        <v>240</v>
      </c>
      <c r="T384" s="3" t="s">
        <v>377</v>
      </c>
      <c r="U384" s="3">
        <v>0</v>
      </c>
      <c r="V384" s="3">
        <v>23</v>
      </c>
      <c r="W384" s="3">
        <v>53</v>
      </c>
    </row>
    <row r="385" spans="1:23" ht="11.25" customHeight="1" x14ac:dyDescent="0.25">
      <c r="A385" s="3" t="s">
        <v>27</v>
      </c>
      <c r="B385" s="3" t="s">
        <v>22</v>
      </c>
      <c r="C385" s="3" t="s">
        <v>23</v>
      </c>
      <c r="D385" s="3" t="s">
        <v>24</v>
      </c>
      <c r="E385" s="3" t="s">
        <v>24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2.4750000000000001</v>
      </c>
      <c r="M385" s="4">
        <v>2.4750000000000001</v>
      </c>
      <c r="N385" s="4">
        <v>2.4750000000000001</v>
      </c>
      <c r="O385" s="4">
        <v>2.4750000000000001</v>
      </c>
      <c r="P385" s="4">
        <v>0</v>
      </c>
      <c r="Q385" s="3" t="s">
        <v>26</v>
      </c>
      <c r="R385" s="3">
        <v>0</v>
      </c>
      <c r="S385" s="3" t="s">
        <v>240</v>
      </c>
      <c r="T385" s="3" t="s">
        <v>377</v>
      </c>
      <c r="U385" s="3">
        <v>0</v>
      </c>
      <c r="V385" s="3">
        <v>23</v>
      </c>
      <c r="W385" s="3">
        <v>53</v>
      </c>
    </row>
    <row r="386" spans="1:23" ht="11.25" customHeight="1" x14ac:dyDescent="0.25">
      <c r="A386" s="3" t="s">
        <v>21</v>
      </c>
      <c r="B386" s="3" t="s">
        <v>22</v>
      </c>
      <c r="C386" s="3" t="s">
        <v>23</v>
      </c>
      <c r="D386" s="3" t="s">
        <v>24</v>
      </c>
      <c r="E386" s="3" t="s">
        <v>24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2597.7139999999999</v>
      </c>
      <c r="M386" s="4">
        <v>2597.7139999999999</v>
      </c>
      <c r="N386" s="4">
        <v>2597.7139999999999</v>
      </c>
      <c r="O386" s="4">
        <v>2597.7139999999999</v>
      </c>
      <c r="P386" s="4">
        <v>11055</v>
      </c>
      <c r="Q386" s="3" t="s">
        <v>26</v>
      </c>
      <c r="R386" s="3">
        <v>0</v>
      </c>
      <c r="S386" s="3" t="s">
        <v>241</v>
      </c>
      <c r="T386" s="3" t="s">
        <v>378</v>
      </c>
      <c r="U386" s="3">
        <v>0</v>
      </c>
      <c r="V386" s="3">
        <v>23</v>
      </c>
      <c r="W386" s="3">
        <v>53</v>
      </c>
    </row>
    <row r="387" spans="1:23" ht="11.25" customHeight="1" x14ac:dyDescent="0.25">
      <c r="A387" s="3" t="s">
        <v>28</v>
      </c>
      <c r="B387" s="3" t="s">
        <v>22</v>
      </c>
      <c r="C387" s="3" t="s">
        <v>23</v>
      </c>
      <c r="D387" s="3" t="s">
        <v>24</v>
      </c>
      <c r="E387" s="3" t="s">
        <v>24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66.066000000000003</v>
      </c>
      <c r="M387" s="4">
        <v>66.066000000000003</v>
      </c>
      <c r="N387" s="4">
        <v>66.066000000000003</v>
      </c>
      <c r="O387" s="4">
        <v>66.066000000000003</v>
      </c>
      <c r="P387" s="4">
        <v>390</v>
      </c>
      <c r="Q387" s="3" t="s">
        <v>26</v>
      </c>
      <c r="R387" s="3">
        <v>0</v>
      </c>
      <c r="S387" s="3" t="s">
        <v>241</v>
      </c>
      <c r="T387" s="3" t="s">
        <v>378</v>
      </c>
      <c r="U387" s="3">
        <v>0</v>
      </c>
      <c r="V387" s="3">
        <v>23</v>
      </c>
      <c r="W387" s="3">
        <v>53</v>
      </c>
    </row>
    <row r="388" spans="1:23" ht="11.25" customHeight="1" x14ac:dyDescent="0.25">
      <c r="A388" s="3" t="s">
        <v>21</v>
      </c>
      <c r="B388" s="3" t="s">
        <v>22</v>
      </c>
      <c r="C388" s="3" t="s">
        <v>23</v>
      </c>
      <c r="D388" s="3" t="s">
        <v>24</v>
      </c>
      <c r="E388" s="3" t="s">
        <v>29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11.91</v>
      </c>
      <c r="M388" s="4">
        <v>11.91</v>
      </c>
      <c r="N388" s="4">
        <v>11.91</v>
      </c>
      <c r="O388" s="4">
        <v>11.91</v>
      </c>
      <c r="P388" s="4">
        <v>13</v>
      </c>
      <c r="Q388" s="3" t="s">
        <v>26</v>
      </c>
      <c r="R388" s="3">
        <v>0</v>
      </c>
      <c r="S388" s="3" t="s">
        <v>242</v>
      </c>
      <c r="T388" s="3" t="s">
        <v>379</v>
      </c>
      <c r="U388" s="3">
        <v>0</v>
      </c>
      <c r="V388" s="3">
        <v>21</v>
      </c>
      <c r="W388" s="3">
        <v>36</v>
      </c>
    </row>
    <row r="389" spans="1:23" ht="11.25" customHeight="1" x14ac:dyDescent="0.25">
      <c r="A389" s="3" t="s">
        <v>21</v>
      </c>
      <c r="B389" s="3" t="s">
        <v>22</v>
      </c>
      <c r="C389" s="3" t="s">
        <v>23</v>
      </c>
      <c r="D389" s="3" t="s">
        <v>24</v>
      </c>
      <c r="E389" s="3" t="s">
        <v>29</v>
      </c>
      <c r="F389" s="3" t="s">
        <v>25</v>
      </c>
      <c r="G389" s="3" t="s">
        <v>25</v>
      </c>
      <c r="H389" s="3" t="s">
        <v>25</v>
      </c>
      <c r="I389" s="6">
        <v>44470</v>
      </c>
      <c r="J389" s="4">
        <v>0</v>
      </c>
      <c r="K389" s="4">
        <v>0</v>
      </c>
      <c r="L389" s="4">
        <v>12.12</v>
      </c>
      <c r="M389" s="4">
        <v>12.12</v>
      </c>
      <c r="N389" s="4">
        <v>12.12</v>
      </c>
      <c r="O389" s="4">
        <v>12.12</v>
      </c>
      <c r="P389" s="4">
        <v>14</v>
      </c>
      <c r="Q389" s="3" t="s">
        <v>26</v>
      </c>
      <c r="R389" s="3">
        <v>0</v>
      </c>
      <c r="S389" s="3" t="s">
        <v>243</v>
      </c>
      <c r="T389" s="3" t="s">
        <v>380</v>
      </c>
      <c r="U389" s="3">
        <v>0</v>
      </c>
      <c r="V389" s="3">
        <v>21</v>
      </c>
      <c r="W389" s="3">
        <v>36</v>
      </c>
    </row>
    <row r="390" spans="1:23" ht="11.25" customHeight="1" x14ac:dyDescent="0.25">
      <c r="A390" s="3" t="s">
        <v>21</v>
      </c>
      <c r="B390" s="3" t="s">
        <v>22</v>
      </c>
      <c r="C390" s="3" t="s">
        <v>23</v>
      </c>
      <c r="D390" s="3" t="s">
        <v>24</v>
      </c>
      <c r="E390" s="3" t="s">
        <v>29</v>
      </c>
      <c r="F390" s="3" t="s">
        <v>25</v>
      </c>
      <c r="G390" s="3" t="s">
        <v>25</v>
      </c>
      <c r="H390" s="3" t="s">
        <v>25</v>
      </c>
      <c r="I390" s="6">
        <v>44501</v>
      </c>
      <c r="J390" s="4">
        <v>0</v>
      </c>
      <c r="K390" s="4">
        <v>0</v>
      </c>
      <c r="L390" s="4">
        <v>12.3</v>
      </c>
      <c r="M390" s="4">
        <v>12.3</v>
      </c>
      <c r="N390" s="4">
        <v>12.3</v>
      </c>
      <c r="O390" s="4">
        <v>12.3</v>
      </c>
      <c r="P390" s="4">
        <v>11</v>
      </c>
      <c r="Q390" s="3" t="s">
        <v>26</v>
      </c>
      <c r="R390" s="3">
        <v>0</v>
      </c>
      <c r="S390" s="3" t="s">
        <v>244</v>
      </c>
      <c r="T390" s="3" t="s">
        <v>381</v>
      </c>
      <c r="U390" s="3">
        <v>0</v>
      </c>
      <c r="V390" s="3">
        <v>21</v>
      </c>
      <c r="W390" s="3">
        <v>36</v>
      </c>
    </row>
    <row r="391" spans="1:23" ht="11.25" customHeight="1" x14ac:dyDescent="0.25">
      <c r="A391" s="3" t="s">
        <v>21</v>
      </c>
      <c r="B391" s="3" t="s">
        <v>22</v>
      </c>
      <c r="C391" s="3" t="s">
        <v>23</v>
      </c>
      <c r="D391" s="3" t="s">
        <v>24</v>
      </c>
      <c r="E391" s="3" t="s">
        <v>29</v>
      </c>
      <c r="F391" s="3" t="s">
        <v>25</v>
      </c>
      <c r="G391" s="3" t="s">
        <v>25</v>
      </c>
      <c r="H391" s="3" t="s">
        <v>25</v>
      </c>
      <c r="I391" s="6">
        <v>44531</v>
      </c>
      <c r="J391" s="4">
        <v>0</v>
      </c>
      <c r="K391" s="4">
        <v>0</v>
      </c>
      <c r="L391" s="4">
        <v>12.24</v>
      </c>
      <c r="M391" s="4">
        <v>12.24</v>
      </c>
      <c r="N391" s="4">
        <v>12.24</v>
      </c>
      <c r="O391" s="4">
        <v>12.24</v>
      </c>
      <c r="P391" s="4">
        <v>9</v>
      </c>
      <c r="Q391" s="3" t="s">
        <v>26</v>
      </c>
      <c r="R391" s="3">
        <v>0</v>
      </c>
      <c r="S391" s="3" t="s">
        <v>245</v>
      </c>
      <c r="T391" s="3" t="s">
        <v>382</v>
      </c>
      <c r="U391" s="3">
        <v>0</v>
      </c>
      <c r="V391" s="3">
        <v>21</v>
      </c>
      <c r="W391" s="3">
        <v>36</v>
      </c>
    </row>
    <row r="392" spans="1:23" ht="11.25" customHeight="1" x14ac:dyDescent="0.25">
      <c r="A392" s="3" t="s">
        <v>21</v>
      </c>
      <c r="B392" s="3" t="s">
        <v>22</v>
      </c>
      <c r="C392" s="3" t="s">
        <v>23</v>
      </c>
      <c r="D392" s="3" t="s">
        <v>24</v>
      </c>
      <c r="E392" s="3" t="s">
        <v>29</v>
      </c>
      <c r="F392" s="3" t="s">
        <v>25</v>
      </c>
      <c r="G392" s="3" t="s">
        <v>25</v>
      </c>
      <c r="H392" s="3" t="s">
        <v>25</v>
      </c>
      <c r="I392" s="6">
        <v>44562</v>
      </c>
      <c r="J392" s="4">
        <v>0</v>
      </c>
      <c r="K392" s="4">
        <v>0</v>
      </c>
      <c r="L392" s="4">
        <v>13.32</v>
      </c>
      <c r="M392" s="4">
        <v>13.32</v>
      </c>
      <c r="N392" s="4">
        <v>13.32</v>
      </c>
      <c r="O392" s="4">
        <v>13.32</v>
      </c>
      <c r="P392" s="4">
        <v>9</v>
      </c>
      <c r="Q392" s="3" t="s">
        <v>26</v>
      </c>
      <c r="R392" s="3">
        <v>0</v>
      </c>
      <c r="S392" s="3" t="s">
        <v>246</v>
      </c>
      <c r="T392" s="3" t="s">
        <v>383</v>
      </c>
      <c r="U392" s="3">
        <v>0</v>
      </c>
      <c r="V392" s="3">
        <v>21</v>
      </c>
      <c r="W392" s="3">
        <v>36</v>
      </c>
    </row>
    <row r="393" spans="1:23" ht="11.25" customHeight="1" x14ac:dyDescent="0.25">
      <c r="A393" s="3" t="s">
        <v>21</v>
      </c>
      <c r="B393" s="3" t="s">
        <v>22</v>
      </c>
      <c r="C393" s="3" t="s">
        <v>23</v>
      </c>
      <c r="D393" s="3" t="s">
        <v>24</v>
      </c>
      <c r="E393" s="3" t="s">
        <v>29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16.02</v>
      </c>
      <c r="M393" s="4">
        <v>16.02</v>
      </c>
      <c r="N393" s="4">
        <v>16.02</v>
      </c>
      <c r="O393" s="4">
        <v>16.02</v>
      </c>
      <c r="P393" s="4">
        <v>10</v>
      </c>
      <c r="Q393" s="3" t="s">
        <v>26</v>
      </c>
      <c r="R393" s="3">
        <v>0</v>
      </c>
      <c r="S393" s="3" t="s">
        <v>247</v>
      </c>
      <c r="T393" s="3" t="s">
        <v>384</v>
      </c>
      <c r="U393" s="3">
        <v>0</v>
      </c>
      <c r="V393" s="3">
        <v>21</v>
      </c>
      <c r="W393" s="3">
        <v>36</v>
      </c>
    </row>
    <row r="394" spans="1:23" ht="11.25" customHeight="1" x14ac:dyDescent="0.25">
      <c r="A394" s="3" t="s">
        <v>21</v>
      </c>
      <c r="B394" s="3" t="s">
        <v>22</v>
      </c>
      <c r="C394" s="3" t="s">
        <v>23</v>
      </c>
      <c r="D394" s="3" t="s">
        <v>24</v>
      </c>
      <c r="E394" s="3" t="s">
        <v>29</v>
      </c>
      <c r="F394" s="3" t="s">
        <v>25</v>
      </c>
      <c r="G394" s="3" t="s">
        <v>25</v>
      </c>
      <c r="H394" s="3" t="s">
        <v>25</v>
      </c>
      <c r="I394" s="6">
        <v>44621</v>
      </c>
      <c r="J394" s="4">
        <v>0</v>
      </c>
      <c r="K394" s="4">
        <v>0</v>
      </c>
      <c r="L394" s="4">
        <v>16.68</v>
      </c>
      <c r="M394" s="4">
        <v>16.68</v>
      </c>
      <c r="N394" s="4">
        <v>16.68</v>
      </c>
      <c r="O394" s="4">
        <v>16.68</v>
      </c>
      <c r="P394" s="4">
        <v>11</v>
      </c>
      <c r="Q394" s="3" t="s">
        <v>26</v>
      </c>
      <c r="R394" s="3">
        <v>0</v>
      </c>
      <c r="S394" s="3" t="s">
        <v>248</v>
      </c>
      <c r="T394" s="3" t="s">
        <v>385</v>
      </c>
      <c r="U394" s="3">
        <v>0</v>
      </c>
      <c r="V394" s="3">
        <v>21</v>
      </c>
      <c r="W394" s="3">
        <v>36</v>
      </c>
    </row>
    <row r="395" spans="1:23" ht="11.25" customHeight="1" x14ac:dyDescent="0.25">
      <c r="A395" s="3" t="s">
        <v>21</v>
      </c>
      <c r="B395" s="3" t="s">
        <v>22</v>
      </c>
      <c r="C395" s="3" t="s">
        <v>23</v>
      </c>
      <c r="D395" s="3" t="s">
        <v>24</v>
      </c>
      <c r="E395" s="3" t="s">
        <v>29</v>
      </c>
      <c r="F395" s="3" t="s">
        <v>25</v>
      </c>
      <c r="G395" s="3" t="s">
        <v>25</v>
      </c>
      <c r="H395" s="3" t="s">
        <v>25</v>
      </c>
      <c r="I395" s="6">
        <v>44652</v>
      </c>
      <c r="J395" s="4">
        <v>0</v>
      </c>
      <c r="K395" s="4">
        <v>0</v>
      </c>
      <c r="L395" s="4">
        <v>16.829999999999998</v>
      </c>
      <c r="M395" s="4">
        <v>16.829999999999998</v>
      </c>
      <c r="N395" s="4">
        <v>16.829999999999998</v>
      </c>
      <c r="O395" s="4">
        <v>16.829999999999998</v>
      </c>
      <c r="P395" s="4">
        <v>13</v>
      </c>
      <c r="Q395" s="3" t="s">
        <v>26</v>
      </c>
      <c r="R395" s="3">
        <v>0</v>
      </c>
      <c r="S395" s="3" t="s">
        <v>249</v>
      </c>
      <c r="T395" s="3" t="s">
        <v>386</v>
      </c>
      <c r="U395" s="3">
        <v>0</v>
      </c>
      <c r="V395" s="3">
        <v>21</v>
      </c>
      <c r="W395" s="3">
        <v>36</v>
      </c>
    </row>
    <row r="396" spans="1:23" ht="11.25" customHeight="1" x14ac:dyDescent="0.25">
      <c r="A396" s="3" t="s">
        <v>21</v>
      </c>
      <c r="B396" s="3" t="s">
        <v>22</v>
      </c>
      <c r="C396" s="3" t="s">
        <v>23</v>
      </c>
      <c r="D396" s="3" t="s">
        <v>24</v>
      </c>
      <c r="E396" s="3" t="s">
        <v>29</v>
      </c>
      <c r="F396" s="3" t="s">
        <v>25</v>
      </c>
      <c r="G396" s="3" t="s">
        <v>25</v>
      </c>
      <c r="H396" s="3" t="s">
        <v>25</v>
      </c>
      <c r="I396" s="6">
        <v>44682</v>
      </c>
      <c r="J396" s="4">
        <v>0</v>
      </c>
      <c r="K396" s="4">
        <v>0</v>
      </c>
      <c r="L396" s="4">
        <v>16.8</v>
      </c>
      <c r="M396" s="4">
        <v>16.8</v>
      </c>
      <c r="N396" s="4">
        <v>16.8</v>
      </c>
      <c r="O396" s="4">
        <v>16.8</v>
      </c>
      <c r="P396" s="4">
        <v>15</v>
      </c>
      <c r="Q396" s="3" t="s">
        <v>26</v>
      </c>
      <c r="R396" s="3">
        <v>0</v>
      </c>
      <c r="S396" s="3" t="s">
        <v>250</v>
      </c>
      <c r="T396" s="3" t="s">
        <v>387</v>
      </c>
      <c r="U396" s="3">
        <v>0</v>
      </c>
      <c r="V396" s="3">
        <v>21</v>
      </c>
      <c r="W396" s="3">
        <v>36</v>
      </c>
    </row>
    <row r="397" spans="1:23" ht="11.25" customHeight="1" x14ac:dyDescent="0.25">
      <c r="A397" s="3" t="s">
        <v>28</v>
      </c>
      <c r="B397" s="3" t="s">
        <v>22</v>
      </c>
      <c r="C397" s="3" t="s">
        <v>23</v>
      </c>
      <c r="D397" s="3" t="s">
        <v>24</v>
      </c>
      <c r="E397" s="3" t="s">
        <v>29</v>
      </c>
      <c r="F397" s="3" t="s">
        <v>25</v>
      </c>
      <c r="G397" s="3" t="s">
        <v>25</v>
      </c>
      <c r="H397" s="3" t="s">
        <v>25</v>
      </c>
      <c r="I397" s="6">
        <v>44682</v>
      </c>
      <c r="J397" s="4">
        <v>0</v>
      </c>
      <c r="K397" s="4">
        <v>0</v>
      </c>
      <c r="L397" s="4">
        <v>0.03</v>
      </c>
      <c r="M397" s="4">
        <v>1.0500000000000001E-2</v>
      </c>
      <c r="N397" s="4">
        <v>0.03</v>
      </c>
      <c r="O397" s="4">
        <v>1.0500000000000001E-2</v>
      </c>
      <c r="P397" s="4">
        <v>0</v>
      </c>
      <c r="Q397" s="3" t="s">
        <v>26</v>
      </c>
      <c r="R397" s="3">
        <v>0</v>
      </c>
      <c r="S397" s="3" t="s">
        <v>250</v>
      </c>
      <c r="T397" s="3" t="s">
        <v>387</v>
      </c>
      <c r="U397" s="3">
        <v>0</v>
      </c>
      <c r="V397" s="3">
        <v>21</v>
      </c>
      <c r="W397" s="3">
        <v>36</v>
      </c>
    </row>
    <row r="398" spans="1:23" ht="11.25" customHeight="1" x14ac:dyDescent="0.25">
      <c r="A398" s="3" t="s">
        <v>21</v>
      </c>
      <c r="B398" s="3" t="s">
        <v>22</v>
      </c>
      <c r="C398" s="3" t="s">
        <v>23</v>
      </c>
      <c r="D398" s="3" t="s">
        <v>24</v>
      </c>
      <c r="E398" s="3" t="s">
        <v>29</v>
      </c>
      <c r="F398" s="3" t="s">
        <v>25</v>
      </c>
      <c r="G398" s="3" t="s">
        <v>25</v>
      </c>
      <c r="H398" s="3" t="s">
        <v>25</v>
      </c>
      <c r="I398" s="6">
        <v>44713</v>
      </c>
      <c r="J398" s="4">
        <v>0</v>
      </c>
      <c r="K398" s="4">
        <v>0</v>
      </c>
      <c r="L398" s="4">
        <v>15.21</v>
      </c>
      <c r="M398" s="4">
        <v>15.21</v>
      </c>
      <c r="N398" s="4">
        <v>15.21</v>
      </c>
      <c r="O398" s="4">
        <v>15.21</v>
      </c>
      <c r="P398" s="4">
        <v>17</v>
      </c>
      <c r="Q398" s="3" t="s">
        <v>26</v>
      </c>
      <c r="R398" s="3">
        <v>0</v>
      </c>
      <c r="S398" s="3" t="s">
        <v>251</v>
      </c>
      <c r="T398" s="3" t="s">
        <v>388</v>
      </c>
      <c r="U398" s="3">
        <v>0</v>
      </c>
      <c r="V398" s="3">
        <v>21</v>
      </c>
      <c r="W398" s="3">
        <v>36</v>
      </c>
    </row>
    <row r="399" spans="1:23" ht="11.25" customHeight="1" x14ac:dyDescent="0.25">
      <c r="A399" s="3" t="s">
        <v>21</v>
      </c>
      <c r="B399" s="3" t="s">
        <v>22</v>
      </c>
      <c r="C399" s="3" t="s">
        <v>23</v>
      </c>
      <c r="D399" s="3" t="s">
        <v>24</v>
      </c>
      <c r="E399" s="3" t="s">
        <v>29</v>
      </c>
      <c r="F399" s="3" t="s">
        <v>25</v>
      </c>
      <c r="G399" s="3" t="s">
        <v>25</v>
      </c>
      <c r="H399" s="3" t="s">
        <v>25</v>
      </c>
      <c r="I399" s="6">
        <v>44743</v>
      </c>
      <c r="J399" s="4">
        <v>0</v>
      </c>
      <c r="K399" s="4">
        <v>0</v>
      </c>
      <c r="L399" s="4">
        <v>14.97</v>
      </c>
      <c r="M399" s="4">
        <v>14.97</v>
      </c>
      <c r="N399" s="4">
        <v>14.97</v>
      </c>
      <c r="O399" s="4">
        <v>14.97</v>
      </c>
      <c r="P399" s="4">
        <v>19</v>
      </c>
      <c r="Q399" s="3" t="s">
        <v>26</v>
      </c>
      <c r="R399" s="3">
        <v>0</v>
      </c>
      <c r="S399" s="3" t="s">
        <v>252</v>
      </c>
      <c r="T399" s="3" t="s">
        <v>389</v>
      </c>
      <c r="U399" s="3">
        <v>0</v>
      </c>
      <c r="V399" s="3">
        <v>21</v>
      </c>
      <c r="W399" s="3">
        <v>36</v>
      </c>
    </row>
    <row r="400" spans="1:23" ht="11.25" customHeight="1" x14ac:dyDescent="0.25">
      <c r="A400" s="3" t="s">
        <v>21</v>
      </c>
      <c r="B400" s="3" t="s">
        <v>22</v>
      </c>
      <c r="C400" s="3" t="s">
        <v>23</v>
      </c>
      <c r="D400" s="3" t="s">
        <v>24</v>
      </c>
      <c r="E400" s="3" t="s">
        <v>29</v>
      </c>
      <c r="F400" s="3" t="s">
        <v>25</v>
      </c>
      <c r="G400" s="3" t="s">
        <v>25</v>
      </c>
      <c r="H400" s="3" t="s">
        <v>25</v>
      </c>
      <c r="I400" s="6">
        <v>44774</v>
      </c>
      <c r="J400" s="4">
        <v>0</v>
      </c>
      <c r="K400" s="4">
        <v>0</v>
      </c>
      <c r="L400" s="4">
        <v>16.2</v>
      </c>
      <c r="M400" s="4">
        <v>16.2</v>
      </c>
      <c r="N400" s="4">
        <v>16.2</v>
      </c>
      <c r="O400" s="4">
        <v>16.2</v>
      </c>
      <c r="P400" s="4">
        <v>17</v>
      </c>
      <c r="Q400" s="3" t="s">
        <v>26</v>
      </c>
      <c r="R400" s="3">
        <v>0</v>
      </c>
      <c r="S400" s="3" t="s">
        <v>253</v>
      </c>
      <c r="T400" s="3" t="s">
        <v>390</v>
      </c>
      <c r="U400" s="3">
        <v>0</v>
      </c>
      <c r="V400" s="3">
        <v>21</v>
      </c>
      <c r="W400" s="3">
        <v>36</v>
      </c>
    </row>
    <row r="401" spans="1:23" ht="11.25" customHeight="1" x14ac:dyDescent="0.25">
      <c r="A401" s="3" t="s">
        <v>21</v>
      </c>
      <c r="B401" s="3" t="s">
        <v>22</v>
      </c>
      <c r="C401" s="3" t="s">
        <v>23</v>
      </c>
      <c r="D401" s="3" t="s">
        <v>24</v>
      </c>
      <c r="E401" s="3" t="s">
        <v>30</v>
      </c>
      <c r="F401" s="3" t="s">
        <v>25</v>
      </c>
      <c r="G401" s="3" t="s">
        <v>25</v>
      </c>
      <c r="H401" s="3" t="s">
        <v>25</v>
      </c>
      <c r="I401" s="6">
        <v>44440</v>
      </c>
      <c r="J401" s="4">
        <v>0</v>
      </c>
      <c r="K401" s="4">
        <v>0</v>
      </c>
      <c r="L401" s="4">
        <v>25.515000000000001</v>
      </c>
      <c r="M401" s="4">
        <v>25.515000000000001</v>
      </c>
      <c r="N401" s="4">
        <v>25.515000000000001</v>
      </c>
      <c r="O401" s="4">
        <v>25.515000000000001</v>
      </c>
      <c r="P401" s="4">
        <v>49</v>
      </c>
      <c r="Q401" s="3" t="s">
        <v>26</v>
      </c>
      <c r="R401" s="3">
        <v>0</v>
      </c>
      <c r="S401" s="3" t="s">
        <v>254</v>
      </c>
      <c r="T401" s="3" t="s">
        <v>391</v>
      </c>
      <c r="U401" s="3">
        <v>0</v>
      </c>
      <c r="V401" s="3">
        <v>17</v>
      </c>
      <c r="W401" s="3">
        <v>48</v>
      </c>
    </row>
    <row r="402" spans="1:23" ht="11.25" customHeight="1" x14ac:dyDescent="0.25">
      <c r="A402" s="3" t="s">
        <v>21</v>
      </c>
      <c r="B402" s="3" t="s">
        <v>22</v>
      </c>
      <c r="C402" s="3" t="s">
        <v>23</v>
      </c>
      <c r="D402" s="3" t="s">
        <v>24</v>
      </c>
      <c r="E402" s="3" t="s">
        <v>30</v>
      </c>
      <c r="F402" s="3" t="s">
        <v>25</v>
      </c>
      <c r="G402" s="3" t="s">
        <v>25</v>
      </c>
      <c r="H402" s="3" t="s">
        <v>25</v>
      </c>
      <c r="I402" s="6">
        <v>44470</v>
      </c>
      <c r="J402" s="4">
        <v>0</v>
      </c>
      <c r="K402" s="4">
        <v>0</v>
      </c>
      <c r="L402" s="4">
        <v>25.896000000000001</v>
      </c>
      <c r="M402" s="4">
        <v>25.896000000000001</v>
      </c>
      <c r="N402" s="4">
        <v>25.896000000000001</v>
      </c>
      <c r="O402" s="4">
        <v>25.896000000000001</v>
      </c>
      <c r="P402" s="4">
        <v>45</v>
      </c>
      <c r="Q402" s="3" t="s">
        <v>26</v>
      </c>
      <c r="R402" s="3">
        <v>0</v>
      </c>
      <c r="S402" s="3" t="s">
        <v>255</v>
      </c>
      <c r="T402" s="3" t="s">
        <v>392</v>
      </c>
      <c r="U402" s="3">
        <v>0</v>
      </c>
      <c r="V402" s="3">
        <v>17</v>
      </c>
      <c r="W402" s="3">
        <v>48</v>
      </c>
    </row>
    <row r="403" spans="1:23" ht="11.25" customHeight="1" x14ac:dyDescent="0.25">
      <c r="A403" s="3" t="s">
        <v>21</v>
      </c>
      <c r="B403" s="3" t="s">
        <v>22</v>
      </c>
      <c r="C403" s="3" t="s">
        <v>23</v>
      </c>
      <c r="D403" s="3" t="s">
        <v>24</v>
      </c>
      <c r="E403" s="3" t="s">
        <v>30</v>
      </c>
      <c r="F403" s="3" t="s">
        <v>25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26.738</v>
      </c>
      <c r="M403" s="4">
        <v>26.738</v>
      </c>
      <c r="N403" s="4">
        <v>26.738</v>
      </c>
      <c r="O403" s="4">
        <v>26.738</v>
      </c>
      <c r="P403" s="4">
        <v>51</v>
      </c>
      <c r="Q403" s="3" t="s">
        <v>26</v>
      </c>
      <c r="R403" s="3">
        <v>0</v>
      </c>
      <c r="S403" s="3" t="s">
        <v>256</v>
      </c>
      <c r="T403" s="3" t="s">
        <v>393</v>
      </c>
      <c r="U403" s="3">
        <v>0</v>
      </c>
      <c r="V403" s="3">
        <v>17</v>
      </c>
      <c r="W403" s="3">
        <v>48</v>
      </c>
    </row>
    <row r="404" spans="1:23" ht="11.25" customHeight="1" x14ac:dyDescent="0.25">
      <c r="A404" s="3" t="s">
        <v>21</v>
      </c>
      <c r="B404" s="3" t="s">
        <v>22</v>
      </c>
      <c r="C404" s="3" t="s">
        <v>23</v>
      </c>
      <c r="D404" s="3" t="s">
        <v>24</v>
      </c>
      <c r="E404" s="3" t="s">
        <v>30</v>
      </c>
      <c r="F404" s="3" t="s">
        <v>25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26.849</v>
      </c>
      <c r="M404" s="4">
        <v>26.849</v>
      </c>
      <c r="N404" s="4">
        <v>26.849</v>
      </c>
      <c r="O404" s="4">
        <v>26.849</v>
      </c>
      <c r="P404" s="4">
        <v>41</v>
      </c>
      <c r="Q404" s="3" t="s">
        <v>26</v>
      </c>
      <c r="R404" s="3">
        <v>0</v>
      </c>
      <c r="S404" s="3" t="s">
        <v>257</v>
      </c>
      <c r="T404" s="3" t="s">
        <v>394</v>
      </c>
      <c r="U404" s="3">
        <v>0</v>
      </c>
      <c r="V404" s="3">
        <v>17</v>
      </c>
      <c r="W404" s="3">
        <v>48</v>
      </c>
    </row>
    <row r="405" spans="1:23" ht="11.25" customHeight="1" x14ac:dyDescent="0.25">
      <c r="A405" s="3" t="s">
        <v>21</v>
      </c>
      <c r="B405" s="3" t="s">
        <v>22</v>
      </c>
      <c r="C405" s="3" t="s">
        <v>23</v>
      </c>
      <c r="D405" s="3" t="s">
        <v>24</v>
      </c>
      <c r="E405" s="3" t="s">
        <v>30</v>
      </c>
      <c r="F405" s="3" t="s">
        <v>25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29.689</v>
      </c>
      <c r="M405" s="4">
        <v>29.689</v>
      </c>
      <c r="N405" s="4">
        <v>29.689</v>
      </c>
      <c r="O405" s="4">
        <v>29.689</v>
      </c>
      <c r="P405" s="4">
        <v>32</v>
      </c>
      <c r="Q405" s="3" t="s">
        <v>26</v>
      </c>
      <c r="R405" s="3">
        <v>0</v>
      </c>
      <c r="S405" s="3" t="s">
        <v>258</v>
      </c>
      <c r="T405" s="3" t="s">
        <v>395</v>
      </c>
      <c r="U405" s="3">
        <v>0</v>
      </c>
      <c r="V405" s="3">
        <v>17</v>
      </c>
      <c r="W405" s="3">
        <v>48</v>
      </c>
    </row>
    <row r="406" spans="1:23" ht="11.25" customHeight="1" x14ac:dyDescent="0.25">
      <c r="A406" s="3" t="s">
        <v>21</v>
      </c>
      <c r="B406" s="3" t="s">
        <v>22</v>
      </c>
      <c r="C406" s="3" t="s">
        <v>23</v>
      </c>
      <c r="D406" s="3" t="s">
        <v>24</v>
      </c>
      <c r="E406" s="3" t="s">
        <v>30</v>
      </c>
      <c r="F406" s="3" t="s">
        <v>25</v>
      </c>
      <c r="G406" s="3" t="s">
        <v>25</v>
      </c>
      <c r="H406" s="3" t="s">
        <v>25</v>
      </c>
      <c r="I406" s="6">
        <v>44593</v>
      </c>
      <c r="J406" s="4">
        <v>0</v>
      </c>
      <c r="K406" s="4">
        <v>0</v>
      </c>
      <c r="L406" s="4">
        <v>35.854999999999997</v>
      </c>
      <c r="M406" s="4">
        <v>35.854999999999997</v>
      </c>
      <c r="N406" s="4">
        <v>35.854999999999997</v>
      </c>
      <c r="O406" s="4">
        <v>35.854999999999997</v>
      </c>
      <c r="P406" s="4">
        <v>37</v>
      </c>
      <c r="Q406" s="3" t="s">
        <v>26</v>
      </c>
      <c r="R406" s="3">
        <v>0</v>
      </c>
      <c r="S406" s="3" t="s">
        <v>259</v>
      </c>
      <c r="T406" s="3" t="s">
        <v>396</v>
      </c>
      <c r="U406" s="3">
        <v>0</v>
      </c>
      <c r="V406" s="3">
        <v>17</v>
      </c>
      <c r="W406" s="3">
        <v>48</v>
      </c>
    </row>
    <row r="407" spans="1:23" ht="11.25" customHeight="1" x14ac:dyDescent="0.25">
      <c r="A407" s="3" t="s">
        <v>21</v>
      </c>
      <c r="B407" s="3" t="s">
        <v>22</v>
      </c>
      <c r="C407" s="3" t="s">
        <v>23</v>
      </c>
      <c r="D407" s="3" t="s">
        <v>24</v>
      </c>
      <c r="E407" s="3" t="s">
        <v>30</v>
      </c>
      <c r="F407" s="3" t="s">
        <v>25</v>
      </c>
      <c r="G407" s="3" t="s">
        <v>25</v>
      </c>
      <c r="H407" s="3" t="s">
        <v>25</v>
      </c>
      <c r="I407" s="6">
        <v>44621</v>
      </c>
      <c r="J407" s="4">
        <v>0</v>
      </c>
      <c r="K407" s="4">
        <v>0</v>
      </c>
      <c r="L407" s="4">
        <v>37.210999999999999</v>
      </c>
      <c r="M407" s="4">
        <v>37.210999999999999</v>
      </c>
      <c r="N407" s="4">
        <v>37.210999999999999</v>
      </c>
      <c r="O407" s="4">
        <v>37.210999999999999</v>
      </c>
      <c r="P407" s="4">
        <v>42</v>
      </c>
      <c r="Q407" s="3" t="s">
        <v>26</v>
      </c>
      <c r="R407" s="3">
        <v>0</v>
      </c>
      <c r="S407" s="3" t="s">
        <v>260</v>
      </c>
      <c r="T407" s="3" t="s">
        <v>397</v>
      </c>
      <c r="U407" s="3">
        <v>0</v>
      </c>
      <c r="V407" s="3">
        <v>17</v>
      </c>
      <c r="W407" s="3">
        <v>48</v>
      </c>
    </row>
    <row r="408" spans="1:23" ht="11.25" customHeight="1" x14ac:dyDescent="0.25">
      <c r="A408" s="3" t="s">
        <v>21</v>
      </c>
      <c r="B408" s="3" t="s">
        <v>22</v>
      </c>
      <c r="C408" s="3" t="s">
        <v>23</v>
      </c>
      <c r="D408" s="3" t="s">
        <v>24</v>
      </c>
      <c r="E408" s="3" t="s">
        <v>30</v>
      </c>
      <c r="F408" s="3" t="s">
        <v>25</v>
      </c>
      <c r="G408" s="3" t="s">
        <v>25</v>
      </c>
      <c r="H408" s="3" t="s">
        <v>25</v>
      </c>
      <c r="I408" s="6">
        <v>44652</v>
      </c>
      <c r="J408" s="4">
        <v>0</v>
      </c>
      <c r="K408" s="4">
        <v>0</v>
      </c>
      <c r="L408" s="4">
        <v>36.758000000000003</v>
      </c>
      <c r="M408" s="4">
        <v>36.758000000000003</v>
      </c>
      <c r="N408" s="4">
        <v>36.758000000000003</v>
      </c>
      <c r="O408" s="4">
        <v>36.758000000000003</v>
      </c>
      <c r="P408" s="4">
        <v>65</v>
      </c>
      <c r="Q408" s="3" t="s">
        <v>26</v>
      </c>
      <c r="R408" s="3">
        <v>0</v>
      </c>
      <c r="S408" s="3" t="s">
        <v>261</v>
      </c>
      <c r="T408" s="3" t="s">
        <v>398</v>
      </c>
      <c r="U408" s="3">
        <v>0</v>
      </c>
      <c r="V408" s="3">
        <v>17</v>
      </c>
      <c r="W408" s="3">
        <v>48</v>
      </c>
    </row>
    <row r="409" spans="1:23" ht="11.25" customHeight="1" x14ac:dyDescent="0.25">
      <c r="A409" s="3" t="s">
        <v>21</v>
      </c>
      <c r="B409" s="3" t="s">
        <v>22</v>
      </c>
      <c r="C409" s="3" t="s">
        <v>23</v>
      </c>
      <c r="D409" s="3" t="s">
        <v>24</v>
      </c>
      <c r="E409" s="3" t="s">
        <v>30</v>
      </c>
      <c r="F409" s="3" t="s">
        <v>25</v>
      </c>
      <c r="G409" s="3" t="s">
        <v>25</v>
      </c>
      <c r="H409" s="3" t="s">
        <v>25</v>
      </c>
      <c r="I409" s="6">
        <v>44682</v>
      </c>
      <c r="J409" s="4">
        <v>0</v>
      </c>
      <c r="K409" s="4">
        <v>0</v>
      </c>
      <c r="L409" s="4">
        <v>36.078000000000003</v>
      </c>
      <c r="M409" s="4">
        <v>36.078000000000003</v>
      </c>
      <c r="N409" s="4">
        <v>36.078000000000003</v>
      </c>
      <c r="O409" s="4">
        <v>36.078000000000003</v>
      </c>
      <c r="P409" s="4">
        <v>88</v>
      </c>
      <c r="Q409" s="3" t="s">
        <v>26</v>
      </c>
      <c r="R409" s="3">
        <v>0</v>
      </c>
      <c r="S409" s="3" t="s">
        <v>262</v>
      </c>
      <c r="T409" s="3" t="s">
        <v>399</v>
      </c>
      <c r="U409" s="3">
        <v>0</v>
      </c>
      <c r="V409" s="3">
        <v>17</v>
      </c>
      <c r="W409" s="3">
        <v>48</v>
      </c>
    </row>
    <row r="410" spans="1:23" ht="11.25" customHeight="1" x14ac:dyDescent="0.25">
      <c r="A410" s="3" t="s">
        <v>28</v>
      </c>
      <c r="B410" s="3" t="s">
        <v>22</v>
      </c>
      <c r="C410" s="3" t="s">
        <v>23</v>
      </c>
      <c r="D410" s="3" t="s">
        <v>24</v>
      </c>
      <c r="E410" s="3" t="s">
        <v>30</v>
      </c>
      <c r="F410" s="3" t="s">
        <v>25</v>
      </c>
      <c r="G410" s="3" t="s">
        <v>25</v>
      </c>
      <c r="H410" s="3" t="s">
        <v>25</v>
      </c>
      <c r="I410" s="6">
        <v>44682</v>
      </c>
      <c r="J410" s="4">
        <v>0</v>
      </c>
      <c r="K410" s="4">
        <v>0</v>
      </c>
      <c r="L410" s="4">
        <v>7.0000000000000007E-2</v>
      </c>
      <c r="M410" s="4">
        <v>4.2000000000000003E-2</v>
      </c>
      <c r="N410" s="4">
        <v>7.0000000000000007E-2</v>
      </c>
      <c r="O410" s="4">
        <v>4.2000000000000003E-2</v>
      </c>
      <c r="P410" s="4">
        <v>0</v>
      </c>
      <c r="Q410" s="3" t="s">
        <v>26</v>
      </c>
      <c r="R410" s="3">
        <v>0</v>
      </c>
      <c r="S410" s="3" t="s">
        <v>262</v>
      </c>
      <c r="T410" s="3" t="s">
        <v>399</v>
      </c>
      <c r="U410" s="3">
        <v>0</v>
      </c>
      <c r="V410" s="3">
        <v>17</v>
      </c>
      <c r="W410" s="3">
        <v>48</v>
      </c>
    </row>
    <row r="411" spans="1:23" ht="11.25" customHeight="1" x14ac:dyDescent="0.25">
      <c r="A411" s="3" t="s">
        <v>21</v>
      </c>
      <c r="B411" s="3" t="s">
        <v>22</v>
      </c>
      <c r="C411" s="3" t="s">
        <v>23</v>
      </c>
      <c r="D411" s="3" t="s">
        <v>24</v>
      </c>
      <c r="E411" s="3" t="s">
        <v>30</v>
      </c>
      <c r="F411" s="3" t="s">
        <v>25</v>
      </c>
      <c r="G411" s="3" t="s">
        <v>25</v>
      </c>
      <c r="H411" s="3" t="s">
        <v>25</v>
      </c>
      <c r="I411" s="6">
        <v>44713</v>
      </c>
      <c r="J411" s="4">
        <v>0</v>
      </c>
      <c r="K411" s="4">
        <v>0</v>
      </c>
      <c r="L411" s="4">
        <v>32.643999999999998</v>
      </c>
      <c r="M411" s="4">
        <v>32.643999999999998</v>
      </c>
      <c r="N411" s="4">
        <v>32.643999999999998</v>
      </c>
      <c r="O411" s="4">
        <v>32.643999999999998</v>
      </c>
      <c r="P411" s="4">
        <v>62</v>
      </c>
      <c r="Q411" s="3" t="s">
        <v>26</v>
      </c>
      <c r="R411" s="3">
        <v>0</v>
      </c>
      <c r="S411" s="3" t="s">
        <v>263</v>
      </c>
      <c r="T411" s="3" t="s">
        <v>400</v>
      </c>
      <c r="U411" s="3">
        <v>0</v>
      </c>
      <c r="V411" s="3">
        <v>17</v>
      </c>
      <c r="W411" s="3">
        <v>48</v>
      </c>
    </row>
    <row r="412" spans="1:23" ht="11.25" customHeight="1" x14ac:dyDescent="0.25">
      <c r="A412" s="3" t="s">
        <v>21</v>
      </c>
      <c r="B412" s="3" t="s">
        <v>22</v>
      </c>
      <c r="C412" s="3" t="s">
        <v>23</v>
      </c>
      <c r="D412" s="3" t="s">
        <v>24</v>
      </c>
      <c r="E412" s="3" t="s">
        <v>30</v>
      </c>
      <c r="F412" s="3" t="s">
        <v>25</v>
      </c>
      <c r="G412" s="3" t="s">
        <v>25</v>
      </c>
      <c r="H412" s="3" t="s">
        <v>25</v>
      </c>
      <c r="I412" s="6">
        <v>44743</v>
      </c>
      <c r="J412" s="4">
        <v>0</v>
      </c>
      <c r="K412" s="4">
        <v>0</v>
      </c>
      <c r="L412" s="4">
        <v>32.027999999999999</v>
      </c>
      <c r="M412" s="4">
        <v>32.027999999999999</v>
      </c>
      <c r="N412" s="4">
        <v>32.027999999999999</v>
      </c>
      <c r="O412" s="4">
        <v>32.027999999999999</v>
      </c>
      <c r="P412" s="4">
        <v>66</v>
      </c>
      <c r="Q412" s="3" t="s">
        <v>26</v>
      </c>
      <c r="R412" s="3">
        <v>0</v>
      </c>
      <c r="S412" s="3" t="s">
        <v>264</v>
      </c>
      <c r="T412" s="3" t="s">
        <v>401</v>
      </c>
      <c r="U412" s="3">
        <v>0</v>
      </c>
      <c r="V412" s="3">
        <v>17</v>
      </c>
      <c r="W412" s="3">
        <v>48</v>
      </c>
    </row>
    <row r="413" spans="1:23" ht="11.25" customHeight="1" x14ac:dyDescent="0.25">
      <c r="A413" s="3" t="s">
        <v>21</v>
      </c>
      <c r="B413" s="3" t="s">
        <v>22</v>
      </c>
      <c r="C413" s="3" t="s">
        <v>23</v>
      </c>
      <c r="D413" s="3" t="s">
        <v>24</v>
      </c>
      <c r="E413" s="3" t="s">
        <v>30</v>
      </c>
      <c r="F413" s="3" t="s">
        <v>25</v>
      </c>
      <c r="G413" s="3" t="s">
        <v>25</v>
      </c>
      <c r="H413" s="3" t="s">
        <v>25</v>
      </c>
      <c r="I413" s="6">
        <v>44774</v>
      </c>
      <c r="J413" s="4">
        <v>0</v>
      </c>
      <c r="K413" s="4">
        <v>0</v>
      </c>
      <c r="L413" s="4">
        <v>36.630000000000003</v>
      </c>
      <c r="M413" s="4">
        <v>36.630000000000003</v>
      </c>
      <c r="N413" s="4">
        <v>36.630000000000003</v>
      </c>
      <c r="O413" s="4">
        <v>36.630000000000003</v>
      </c>
      <c r="P413" s="4">
        <v>60</v>
      </c>
      <c r="Q413" s="3" t="s">
        <v>26</v>
      </c>
      <c r="R413" s="3">
        <v>0</v>
      </c>
      <c r="S413" s="3" t="s">
        <v>265</v>
      </c>
      <c r="T413" s="3" t="s">
        <v>402</v>
      </c>
      <c r="U413" s="3">
        <v>0</v>
      </c>
      <c r="V413" s="3">
        <v>17</v>
      </c>
      <c r="W413" s="3">
        <v>48</v>
      </c>
    </row>
    <row r="414" spans="1:23" ht="11.25" customHeight="1" x14ac:dyDescent="0.25">
      <c r="A414" s="3" t="s">
        <v>21</v>
      </c>
      <c r="B414" s="3" t="s">
        <v>22</v>
      </c>
      <c r="C414" s="3" t="s">
        <v>23</v>
      </c>
      <c r="D414" s="3" t="s">
        <v>24</v>
      </c>
      <c r="E414" s="3" t="s">
        <v>31</v>
      </c>
      <c r="F414" s="3" t="s">
        <v>25</v>
      </c>
      <c r="G414" s="3" t="s">
        <v>25</v>
      </c>
      <c r="H414" s="3" t="s">
        <v>25</v>
      </c>
      <c r="I414" s="6">
        <v>44440</v>
      </c>
      <c r="J414" s="4">
        <v>0</v>
      </c>
      <c r="K414" s="4">
        <v>0</v>
      </c>
      <c r="L414" s="4">
        <v>30.728999999999999</v>
      </c>
      <c r="M414" s="4">
        <v>30.728999999999999</v>
      </c>
      <c r="N414" s="4">
        <v>30.728999999999999</v>
      </c>
      <c r="O414" s="4">
        <v>30.728999999999999</v>
      </c>
      <c r="P414" s="4">
        <v>178</v>
      </c>
      <c r="Q414" s="3" t="s">
        <v>26</v>
      </c>
      <c r="R414" s="3">
        <v>0</v>
      </c>
      <c r="S414" s="3" t="s">
        <v>266</v>
      </c>
      <c r="T414" s="3" t="s">
        <v>403</v>
      </c>
      <c r="U414" s="3">
        <v>0</v>
      </c>
      <c r="V414" s="3">
        <v>18</v>
      </c>
      <c r="W414" s="3">
        <v>55</v>
      </c>
    </row>
    <row r="415" spans="1:23" ht="11.25" customHeight="1" x14ac:dyDescent="0.25">
      <c r="A415" s="3" t="s">
        <v>21</v>
      </c>
      <c r="B415" s="3" t="s">
        <v>22</v>
      </c>
      <c r="C415" s="3" t="s">
        <v>23</v>
      </c>
      <c r="D415" s="3" t="s">
        <v>24</v>
      </c>
      <c r="E415" s="3" t="s">
        <v>31</v>
      </c>
      <c r="F415" s="3" t="s">
        <v>25</v>
      </c>
      <c r="G415" s="3" t="s">
        <v>25</v>
      </c>
      <c r="H415" s="3" t="s">
        <v>25</v>
      </c>
      <c r="I415" s="6">
        <v>44470</v>
      </c>
      <c r="J415" s="4">
        <v>0</v>
      </c>
      <c r="K415" s="4">
        <v>0</v>
      </c>
      <c r="L415" s="4">
        <v>31.2</v>
      </c>
      <c r="M415" s="4">
        <v>31.2</v>
      </c>
      <c r="N415" s="4">
        <v>31.2</v>
      </c>
      <c r="O415" s="4">
        <v>31.2</v>
      </c>
      <c r="P415" s="4">
        <v>172</v>
      </c>
      <c r="Q415" s="3" t="s">
        <v>26</v>
      </c>
      <c r="R415" s="3">
        <v>0</v>
      </c>
      <c r="S415" s="3" t="s">
        <v>267</v>
      </c>
      <c r="T415" s="3" t="s">
        <v>404</v>
      </c>
      <c r="U415" s="3">
        <v>0</v>
      </c>
      <c r="V415" s="3">
        <v>18</v>
      </c>
      <c r="W415" s="3">
        <v>55</v>
      </c>
    </row>
    <row r="416" spans="1:23" ht="11.25" customHeight="1" x14ac:dyDescent="0.25">
      <c r="A416" s="3" t="s">
        <v>21</v>
      </c>
      <c r="B416" s="3" t="s">
        <v>22</v>
      </c>
      <c r="C416" s="3" t="s">
        <v>23</v>
      </c>
      <c r="D416" s="3" t="s">
        <v>24</v>
      </c>
      <c r="E416" s="3" t="s">
        <v>31</v>
      </c>
      <c r="F416" s="3" t="s">
        <v>25</v>
      </c>
      <c r="G416" s="3" t="s">
        <v>25</v>
      </c>
      <c r="H416" s="3" t="s">
        <v>25</v>
      </c>
      <c r="I416" s="6">
        <v>44501</v>
      </c>
      <c r="J416" s="4">
        <v>0</v>
      </c>
      <c r="K416" s="4">
        <v>0</v>
      </c>
      <c r="L416" s="4">
        <v>32.558</v>
      </c>
      <c r="M416" s="4">
        <v>32.558</v>
      </c>
      <c r="N416" s="4">
        <v>32.558</v>
      </c>
      <c r="O416" s="4">
        <v>32.558</v>
      </c>
      <c r="P416" s="4">
        <v>175</v>
      </c>
      <c r="Q416" s="3" t="s">
        <v>26</v>
      </c>
      <c r="R416" s="3">
        <v>0</v>
      </c>
      <c r="S416" s="3" t="s">
        <v>268</v>
      </c>
      <c r="T416" s="3" t="s">
        <v>405</v>
      </c>
      <c r="U416" s="3">
        <v>0</v>
      </c>
      <c r="V416" s="3">
        <v>18</v>
      </c>
      <c r="W416" s="3">
        <v>55</v>
      </c>
    </row>
    <row r="417" spans="1:23" ht="11.25" customHeight="1" x14ac:dyDescent="0.25">
      <c r="A417" s="3" t="s">
        <v>21</v>
      </c>
      <c r="B417" s="3" t="s">
        <v>22</v>
      </c>
      <c r="C417" s="3" t="s">
        <v>23</v>
      </c>
      <c r="D417" s="3" t="s">
        <v>24</v>
      </c>
      <c r="E417" s="3" t="s">
        <v>31</v>
      </c>
      <c r="F417" s="3" t="s">
        <v>25</v>
      </c>
      <c r="G417" s="3" t="s">
        <v>25</v>
      </c>
      <c r="H417" s="3" t="s">
        <v>25</v>
      </c>
      <c r="I417" s="6">
        <v>44531</v>
      </c>
      <c r="J417" s="4">
        <v>0</v>
      </c>
      <c r="K417" s="4">
        <v>0</v>
      </c>
      <c r="L417" s="4">
        <v>33.174999999999997</v>
      </c>
      <c r="M417" s="4">
        <v>33.174999999999997</v>
      </c>
      <c r="N417" s="4">
        <v>33.174999999999997</v>
      </c>
      <c r="O417" s="4">
        <v>33.174999999999997</v>
      </c>
      <c r="P417" s="4">
        <v>170</v>
      </c>
      <c r="Q417" s="3" t="s">
        <v>26</v>
      </c>
      <c r="R417" s="3">
        <v>0</v>
      </c>
      <c r="S417" s="3" t="s">
        <v>269</v>
      </c>
      <c r="T417" s="3" t="s">
        <v>406</v>
      </c>
      <c r="U417" s="3">
        <v>0</v>
      </c>
      <c r="V417" s="3">
        <v>18</v>
      </c>
      <c r="W417" s="3">
        <v>55</v>
      </c>
    </row>
    <row r="418" spans="1:23" ht="11.25" customHeight="1" x14ac:dyDescent="0.25">
      <c r="A418" s="3" t="s">
        <v>21</v>
      </c>
      <c r="B418" s="3" t="s">
        <v>22</v>
      </c>
      <c r="C418" s="3" t="s">
        <v>23</v>
      </c>
      <c r="D418" s="3" t="s">
        <v>24</v>
      </c>
      <c r="E418" s="3" t="s">
        <v>31</v>
      </c>
      <c r="F418" s="3" t="s">
        <v>25</v>
      </c>
      <c r="G418" s="3" t="s">
        <v>25</v>
      </c>
      <c r="H418" s="3" t="s">
        <v>25</v>
      </c>
      <c r="I418" s="6">
        <v>44562</v>
      </c>
      <c r="J418" s="4">
        <v>0</v>
      </c>
      <c r="K418" s="4">
        <v>0</v>
      </c>
      <c r="L418" s="4">
        <v>40.127000000000002</v>
      </c>
      <c r="M418" s="4">
        <v>40.127000000000002</v>
      </c>
      <c r="N418" s="4">
        <v>40.127000000000002</v>
      </c>
      <c r="O418" s="4">
        <v>40.127000000000002</v>
      </c>
      <c r="P418" s="4">
        <v>154</v>
      </c>
      <c r="Q418" s="3" t="s">
        <v>26</v>
      </c>
      <c r="R418" s="3">
        <v>0</v>
      </c>
      <c r="S418" s="3" t="s">
        <v>270</v>
      </c>
      <c r="T418" s="3" t="s">
        <v>407</v>
      </c>
      <c r="U418" s="3">
        <v>0</v>
      </c>
      <c r="V418" s="3">
        <v>18</v>
      </c>
      <c r="W418" s="3">
        <v>55</v>
      </c>
    </row>
    <row r="419" spans="1:23" ht="11.25" customHeight="1" x14ac:dyDescent="0.25">
      <c r="A419" s="3" t="s">
        <v>21</v>
      </c>
      <c r="B419" s="3" t="s">
        <v>22</v>
      </c>
      <c r="C419" s="3" t="s">
        <v>23</v>
      </c>
      <c r="D419" s="3" t="s">
        <v>24</v>
      </c>
      <c r="E419" s="3" t="s">
        <v>31</v>
      </c>
      <c r="F419" s="3" t="s">
        <v>25</v>
      </c>
      <c r="G419" s="3" t="s">
        <v>25</v>
      </c>
      <c r="H419" s="3" t="s">
        <v>25</v>
      </c>
      <c r="I419" s="6">
        <v>44593</v>
      </c>
      <c r="J419" s="4">
        <v>0</v>
      </c>
      <c r="K419" s="4">
        <v>0</v>
      </c>
      <c r="L419" s="4">
        <v>48.387</v>
      </c>
      <c r="M419" s="4">
        <v>48.387</v>
      </c>
      <c r="N419" s="4">
        <v>48.387</v>
      </c>
      <c r="O419" s="4">
        <v>48.387</v>
      </c>
      <c r="P419" s="4">
        <v>172</v>
      </c>
      <c r="Q419" s="3" t="s">
        <v>26</v>
      </c>
      <c r="R419" s="3">
        <v>0</v>
      </c>
      <c r="S419" s="3" t="s">
        <v>271</v>
      </c>
      <c r="T419" s="3" t="s">
        <v>408</v>
      </c>
      <c r="U419" s="3">
        <v>0</v>
      </c>
      <c r="V419" s="3">
        <v>18</v>
      </c>
      <c r="W419" s="3">
        <v>55</v>
      </c>
    </row>
    <row r="420" spans="1:23" ht="11.25" customHeight="1" x14ac:dyDescent="0.25">
      <c r="A420" s="3" t="s">
        <v>21</v>
      </c>
      <c r="B420" s="3" t="s">
        <v>22</v>
      </c>
      <c r="C420" s="3" t="s">
        <v>23</v>
      </c>
      <c r="D420" s="3" t="s">
        <v>24</v>
      </c>
      <c r="E420" s="3" t="s">
        <v>31</v>
      </c>
      <c r="F420" s="3" t="s">
        <v>25</v>
      </c>
      <c r="G420" s="3" t="s">
        <v>25</v>
      </c>
      <c r="H420" s="3" t="s">
        <v>25</v>
      </c>
      <c r="I420" s="6">
        <v>44621</v>
      </c>
      <c r="J420" s="4">
        <v>0</v>
      </c>
      <c r="K420" s="4">
        <v>0</v>
      </c>
      <c r="L420" s="4">
        <v>48.087000000000003</v>
      </c>
      <c r="M420" s="4">
        <v>48.087000000000003</v>
      </c>
      <c r="N420" s="4">
        <v>48.087000000000003</v>
      </c>
      <c r="O420" s="4">
        <v>48.087000000000003</v>
      </c>
      <c r="P420" s="4">
        <v>204</v>
      </c>
      <c r="Q420" s="3" t="s">
        <v>26</v>
      </c>
      <c r="R420" s="3">
        <v>0</v>
      </c>
      <c r="S420" s="3" t="s">
        <v>272</v>
      </c>
      <c r="T420" s="3" t="s">
        <v>409</v>
      </c>
      <c r="U420" s="3">
        <v>0</v>
      </c>
      <c r="V420" s="3">
        <v>18</v>
      </c>
      <c r="W420" s="3">
        <v>55</v>
      </c>
    </row>
    <row r="421" spans="1:23" ht="11.25" customHeight="1" x14ac:dyDescent="0.25">
      <c r="A421" s="3" t="s">
        <v>21</v>
      </c>
      <c r="B421" s="3" t="s">
        <v>22</v>
      </c>
      <c r="C421" s="3" t="s">
        <v>23</v>
      </c>
      <c r="D421" s="3" t="s">
        <v>24</v>
      </c>
      <c r="E421" s="3" t="s">
        <v>31</v>
      </c>
      <c r="F421" s="3" t="s">
        <v>25</v>
      </c>
      <c r="G421" s="3" t="s">
        <v>25</v>
      </c>
      <c r="H421" s="3" t="s">
        <v>25</v>
      </c>
      <c r="I421" s="6">
        <v>44652</v>
      </c>
      <c r="J421" s="4">
        <v>0</v>
      </c>
      <c r="K421" s="4">
        <v>0</v>
      </c>
      <c r="L421" s="4">
        <v>44.235999999999997</v>
      </c>
      <c r="M421" s="4">
        <v>44.235999999999997</v>
      </c>
      <c r="N421" s="4">
        <v>44.235999999999997</v>
      </c>
      <c r="O421" s="4">
        <v>44.235999999999997</v>
      </c>
      <c r="P421" s="4">
        <v>242</v>
      </c>
      <c r="Q421" s="3" t="s">
        <v>26</v>
      </c>
      <c r="R421" s="3">
        <v>0</v>
      </c>
      <c r="S421" s="3" t="s">
        <v>273</v>
      </c>
      <c r="T421" s="3" t="s">
        <v>410</v>
      </c>
      <c r="U421" s="3">
        <v>0</v>
      </c>
      <c r="V421" s="3">
        <v>18</v>
      </c>
      <c r="W421" s="3">
        <v>55</v>
      </c>
    </row>
    <row r="422" spans="1:23" ht="11.25" customHeight="1" x14ac:dyDescent="0.25">
      <c r="A422" s="3" t="s">
        <v>21</v>
      </c>
      <c r="B422" s="3" t="s">
        <v>22</v>
      </c>
      <c r="C422" s="3" t="s">
        <v>23</v>
      </c>
      <c r="D422" s="3" t="s">
        <v>24</v>
      </c>
      <c r="E422" s="3" t="s">
        <v>31</v>
      </c>
      <c r="F422" s="3" t="s">
        <v>25</v>
      </c>
      <c r="G422" s="3" t="s">
        <v>25</v>
      </c>
      <c r="H422" s="3" t="s">
        <v>25</v>
      </c>
      <c r="I422" s="6">
        <v>44682</v>
      </c>
      <c r="J422" s="4">
        <v>0</v>
      </c>
      <c r="K422" s="4">
        <v>0</v>
      </c>
      <c r="L422" s="4">
        <v>39.134999999999998</v>
      </c>
      <c r="M422" s="4">
        <v>39.134999999999998</v>
      </c>
      <c r="N422" s="4">
        <v>39.134999999999998</v>
      </c>
      <c r="O422" s="4">
        <v>39.134999999999998</v>
      </c>
      <c r="P422" s="4">
        <v>259</v>
      </c>
      <c r="Q422" s="3" t="s">
        <v>26</v>
      </c>
      <c r="R422" s="3">
        <v>0</v>
      </c>
      <c r="S422" s="3" t="s">
        <v>274</v>
      </c>
      <c r="T422" s="3" t="s">
        <v>411</v>
      </c>
      <c r="U422" s="3">
        <v>0</v>
      </c>
      <c r="V422" s="3">
        <v>18</v>
      </c>
      <c r="W422" s="3">
        <v>55</v>
      </c>
    </row>
    <row r="423" spans="1:23" ht="11.25" customHeight="1" x14ac:dyDescent="0.25">
      <c r="A423" s="3" t="s">
        <v>28</v>
      </c>
      <c r="B423" s="3" t="s">
        <v>22</v>
      </c>
      <c r="C423" s="3" t="s">
        <v>23</v>
      </c>
      <c r="D423" s="3" t="s">
        <v>24</v>
      </c>
      <c r="E423" s="3" t="s">
        <v>31</v>
      </c>
      <c r="F423" s="3" t="s">
        <v>25</v>
      </c>
      <c r="G423" s="3" t="s">
        <v>25</v>
      </c>
      <c r="H423" s="3" t="s">
        <v>25</v>
      </c>
      <c r="I423" s="6">
        <v>44682</v>
      </c>
      <c r="J423" s="4">
        <v>0</v>
      </c>
      <c r="K423" s="4">
        <v>0</v>
      </c>
      <c r="L423" s="4">
        <v>3.3000000000000002E-2</v>
      </c>
      <c r="M423" s="4">
        <v>2.9700000000000001E-2</v>
      </c>
      <c r="N423" s="4">
        <v>3.3000000000000002E-2</v>
      </c>
      <c r="O423" s="4">
        <v>2.9700000000000001E-2</v>
      </c>
      <c r="P423" s="4">
        <v>1</v>
      </c>
      <c r="Q423" s="3" t="s">
        <v>26</v>
      </c>
      <c r="R423" s="3">
        <v>0</v>
      </c>
      <c r="S423" s="3" t="s">
        <v>274</v>
      </c>
      <c r="T423" s="3" t="s">
        <v>411</v>
      </c>
      <c r="U423" s="3">
        <v>0</v>
      </c>
      <c r="V423" s="3">
        <v>18</v>
      </c>
      <c r="W423" s="3">
        <v>55</v>
      </c>
    </row>
    <row r="424" spans="1:23" ht="11.25" customHeight="1" x14ac:dyDescent="0.25">
      <c r="A424" s="3" t="s">
        <v>21</v>
      </c>
      <c r="B424" s="3" t="s">
        <v>22</v>
      </c>
      <c r="C424" s="3" t="s">
        <v>23</v>
      </c>
      <c r="D424" s="3" t="s">
        <v>24</v>
      </c>
      <c r="E424" s="3" t="s">
        <v>31</v>
      </c>
      <c r="F424" s="3" t="s">
        <v>25</v>
      </c>
      <c r="G424" s="3" t="s">
        <v>25</v>
      </c>
      <c r="H424" s="3" t="s">
        <v>25</v>
      </c>
      <c r="I424" s="6">
        <v>44713</v>
      </c>
      <c r="J424" s="4">
        <v>0</v>
      </c>
      <c r="K424" s="4">
        <v>0</v>
      </c>
      <c r="L424" s="4">
        <v>39.506</v>
      </c>
      <c r="M424" s="4">
        <v>39.506</v>
      </c>
      <c r="N424" s="4">
        <v>39.506</v>
      </c>
      <c r="O424" s="4">
        <v>39.506</v>
      </c>
      <c r="P424" s="4">
        <v>198</v>
      </c>
      <c r="Q424" s="3" t="s">
        <v>26</v>
      </c>
      <c r="R424" s="3">
        <v>0</v>
      </c>
      <c r="S424" s="3" t="s">
        <v>275</v>
      </c>
      <c r="T424" s="3" t="s">
        <v>412</v>
      </c>
      <c r="U424" s="3">
        <v>0</v>
      </c>
      <c r="V424" s="3">
        <v>18</v>
      </c>
      <c r="W424" s="3">
        <v>55</v>
      </c>
    </row>
    <row r="425" spans="1:23" ht="11.25" customHeight="1" x14ac:dyDescent="0.25">
      <c r="A425" s="3" t="s">
        <v>21</v>
      </c>
      <c r="B425" s="3" t="s">
        <v>22</v>
      </c>
      <c r="C425" s="3" t="s">
        <v>23</v>
      </c>
      <c r="D425" s="3" t="s">
        <v>24</v>
      </c>
      <c r="E425" s="3" t="s">
        <v>31</v>
      </c>
      <c r="F425" s="3" t="s">
        <v>25</v>
      </c>
      <c r="G425" s="3" t="s">
        <v>25</v>
      </c>
      <c r="H425" s="3" t="s">
        <v>25</v>
      </c>
      <c r="I425" s="6">
        <v>44743</v>
      </c>
      <c r="J425" s="4">
        <v>0</v>
      </c>
      <c r="K425" s="4">
        <v>0</v>
      </c>
      <c r="L425" s="4">
        <v>37.194000000000003</v>
      </c>
      <c r="M425" s="4">
        <v>37.194000000000003</v>
      </c>
      <c r="N425" s="4">
        <v>37.194000000000003</v>
      </c>
      <c r="O425" s="4">
        <v>37.194000000000003</v>
      </c>
      <c r="P425" s="4">
        <v>198</v>
      </c>
      <c r="Q425" s="3" t="s">
        <v>26</v>
      </c>
      <c r="R425" s="3">
        <v>0</v>
      </c>
      <c r="S425" s="3" t="s">
        <v>276</v>
      </c>
      <c r="T425" s="3" t="s">
        <v>413</v>
      </c>
      <c r="U425" s="3">
        <v>0</v>
      </c>
      <c r="V425" s="3">
        <v>18</v>
      </c>
      <c r="W425" s="3">
        <v>55</v>
      </c>
    </row>
    <row r="426" spans="1:23" ht="11.25" customHeight="1" x14ac:dyDescent="0.25">
      <c r="A426" s="3" t="s">
        <v>21</v>
      </c>
      <c r="B426" s="3" t="s">
        <v>22</v>
      </c>
      <c r="C426" s="3" t="s">
        <v>23</v>
      </c>
      <c r="D426" s="3" t="s">
        <v>24</v>
      </c>
      <c r="E426" s="3" t="s">
        <v>31</v>
      </c>
      <c r="F426" s="3" t="s">
        <v>25</v>
      </c>
      <c r="G426" s="3" t="s">
        <v>25</v>
      </c>
      <c r="H426" s="3" t="s">
        <v>25</v>
      </c>
      <c r="I426" s="6">
        <v>44774</v>
      </c>
      <c r="J426" s="4">
        <v>0</v>
      </c>
      <c r="K426" s="4">
        <v>0</v>
      </c>
      <c r="L426" s="4">
        <v>41.235999999999997</v>
      </c>
      <c r="M426" s="4">
        <v>41.235999999999997</v>
      </c>
      <c r="N426" s="4">
        <v>41.235999999999997</v>
      </c>
      <c r="O426" s="4">
        <v>41.235999999999997</v>
      </c>
      <c r="P426" s="4">
        <v>222</v>
      </c>
      <c r="Q426" s="3" t="s">
        <v>26</v>
      </c>
      <c r="R426" s="3">
        <v>0</v>
      </c>
      <c r="S426" s="3" t="s">
        <v>277</v>
      </c>
      <c r="T426" s="3" t="s">
        <v>414</v>
      </c>
      <c r="U426" s="3">
        <v>0</v>
      </c>
      <c r="V426" s="3">
        <v>18</v>
      </c>
      <c r="W426" s="3">
        <v>55</v>
      </c>
    </row>
    <row r="427" spans="1:23" ht="11.25" customHeight="1" x14ac:dyDescent="0.25">
      <c r="A427" s="3" t="s">
        <v>21</v>
      </c>
      <c r="B427" s="3" t="s">
        <v>22</v>
      </c>
      <c r="C427" s="3" t="s">
        <v>23</v>
      </c>
      <c r="D427" s="3" t="s">
        <v>24</v>
      </c>
      <c r="E427" s="3" t="s">
        <v>32</v>
      </c>
      <c r="F427" s="3" t="s">
        <v>25</v>
      </c>
      <c r="G427" s="3" t="s">
        <v>25</v>
      </c>
      <c r="H427" s="3" t="s">
        <v>25</v>
      </c>
      <c r="I427" s="6">
        <v>44440</v>
      </c>
      <c r="J427" s="4">
        <v>0</v>
      </c>
      <c r="K427" s="4">
        <v>0</v>
      </c>
      <c r="L427" s="4">
        <v>16.521999999999998</v>
      </c>
      <c r="M427" s="4">
        <v>16.521999999999998</v>
      </c>
      <c r="N427" s="4">
        <v>16.521999999999998</v>
      </c>
      <c r="O427" s="4">
        <v>16.521999999999998</v>
      </c>
      <c r="P427" s="4">
        <v>157</v>
      </c>
      <c r="Q427" s="3" t="s">
        <v>26</v>
      </c>
      <c r="R427" s="3">
        <v>0</v>
      </c>
      <c r="S427" s="3" t="s">
        <v>278</v>
      </c>
      <c r="T427" s="3" t="s">
        <v>415</v>
      </c>
      <c r="U427" s="3">
        <v>0</v>
      </c>
      <c r="V427" s="3">
        <v>44</v>
      </c>
      <c r="W427" s="3">
        <v>60</v>
      </c>
    </row>
    <row r="428" spans="1:23" ht="11.25" customHeight="1" x14ac:dyDescent="0.25">
      <c r="A428" s="3" t="s">
        <v>21</v>
      </c>
      <c r="B428" s="3" t="s">
        <v>22</v>
      </c>
      <c r="C428" s="3" t="s">
        <v>23</v>
      </c>
      <c r="D428" s="3" t="s">
        <v>24</v>
      </c>
      <c r="E428" s="3" t="s">
        <v>32</v>
      </c>
      <c r="F428" s="3" t="s">
        <v>25</v>
      </c>
      <c r="G428" s="3" t="s">
        <v>25</v>
      </c>
      <c r="H428" s="3" t="s">
        <v>25</v>
      </c>
      <c r="I428" s="6">
        <v>44470</v>
      </c>
      <c r="J428" s="4">
        <v>0</v>
      </c>
      <c r="K428" s="4">
        <v>0</v>
      </c>
      <c r="L428" s="4">
        <v>17.109000000000002</v>
      </c>
      <c r="M428" s="4">
        <v>17.109000000000002</v>
      </c>
      <c r="N428" s="4">
        <v>17.109000000000002</v>
      </c>
      <c r="O428" s="4">
        <v>17.109000000000002</v>
      </c>
      <c r="P428" s="4">
        <v>171</v>
      </c>
      <c r="Q428" s="3" t="s">
        <v>26</v>
      </c>
      <c r="R428" s="3">
        <v>0</v>
      </c>
      <c r="S428" s="3" t="s">
        <v>279</v>
      </c>
      <c r="T428" s="3" t="s">
        <v>416</v>
      </c>
      <c r="U428" s="3">
        <v>0</v>
      </c>
      <c r="V428" s="3">
        <v>44</v>
      </c>
      <c r="W428" s="3">
        <v>60</v>
      </c>
    </row>
    <row r="429" spans="1:23" ht="11.25" customHeight="1" x14ac:dyDescent="0.25">
      <c r="A429" s="3" t="s">
        <v>21</v>
      </c>
      <c r="B429" s="3" t="s">
        <v>22</v>
      </c>
      <c r="C429" s="3" t="s">
        <v>23</v>
      </c>
      <c r="D429" s="3" t="s">
        <v>24</v>
      </c>
      <c r="E429" s="3" t="s">
        <v>32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18.899000000000001</v>
      </c>
      <c r="M429" s="4">
        <v>18.899000000000001</v>
      </c>
      <c r="N429" s="4">
        <v>18.899000000000001</v>
      </c>
      <c r="O429" s="4">
        <v>18.899000000000001</v>
      </c>
      <c r="P429" s="4">
        <v>173</v>
      </c>
      <c r="Q429" s="3" t="s">
        <v>26</v>
      </c>
      <c r="R429" s="3">
        <v>0</v>
      </c>
      <c r="S429" s="3" t="s">
        <v>280</v>
      </c>
      <c r="T429" s="3" t="s">
        <v>417</v>
      </c>
      <c r="U429" s="3">
        <v>0</v>
      </c>
      <c r="V429" s="3">
        <v>44</v>
      </c>
      <c r="W429" s="3">
        <v>60</v>
      </c>
    </row>
    <row r="430" spans="1:23" ht="11.25" customHeight="1" x14ac:dyDescent="0.25">
      <c r="A430" s="3" t="s">
        <v>21</v>
      </c>
      <c r="B430" s="3" t="s">
        <v>22</v>
      </c>
      <c r="C430" s="3" t="s">
        <v>23</v>
      </c>
      <c r="D430" s="3" t="s">
        <v>24</v>
      </c>
      <c r="E430" s="3" t="s">
        <v>32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21.431000000000001</v>
      </c>
      <c r="M430" s="4">
        <v>21.431000000000001</v>
      </c>
      <c r="N430" s="4">
        <v>21.431000000000001</v>
      </c>
      <c r="O430" s="4">
        <v>21.431000000000001</v>
      </c>
      <c r="P430" s="4">
        <v>188</v>
      </c>
      <c r="Q430" s="3" t="s">
        <v>26</v>
      </c>
      <c r="R430" s="3">
        <v>0</v>
      </c>
      <c r="S430" s="3" t="s">
        <v>281</v>
      </c>
      <c r="T430" s="3" t="s">
        <v>418</v>
      </c>
      <c r="U430" s="3">
        <v>0</v>
      </c>
      <c r="V430" s="3">
        <v>44</v>
      </c>
      <c r="W430" s="3">
        <v>60</v>
      </c>
    </row>
    <row r="431" spans="1:23" ht="11.25" customHeight="1" x14ac:dyDescent="0.25">
      <c r="A431" s="3" t="s">
        <v>21</v>
      </c>
      <c r="B431" s="3" t="s">
        <v>22</v>
      </c>
      <c r="C431" s="3" t="s">
        <v>23</v>
      </c>
      <c r="D431" s="3" t="s">
        <v>24</v>
      </c>
      <c r="E431" s="3" t="s">
        <v>32</v>
      </c>
      <c r="F431" s="3" t="s">
        <v>25</v>
      </c>
      <c r="G431" s="3" t="s">
        <v>25</v>
      </c>
      <c r="H431" s="3" t="s">
        <v>25</v>
      </c>
      <c r="I431" s="6">
        <v>44562</v>
      </c>
      <c r="J431" s="4">
        <v>0</v>
      </c>
      <c r="K431" s="4">
        <v>0</v>
      </c>
      <c r="L431" s="4">
        <v>33.978999999999999</v>
      </c>
      <c r="M431" s="4">
        <v>33.978999999999999</v>
      </c>
      <c r="N431" s="4">
        <v>33.978999999999999</v>
      </c>
      <c r="O431" s="4">
        <v>33.978999999999999</v>
      </c>
      <c r="P431" s="4">
        <v>248</v>
      </c>
      <c r="Q431" s="3" t="s">
        <v>26</v>
      </c>
      <c r="R431" s="3">
        <v>0</v>
      </c>
      <c r="S431" s="3" t="s">
        <v>282</v>
      </c>
      <c r="T431" s="3" t="s">
        <v>419</v>
      </c>
      <c r="U431" s="3">
        <v>0</v>
      </c>
      <c r="V431" s="3">
        <v>44</v>
      </c>
      <c r="W431" s="3">
        <v>60</v>
      </c>
    </row>
    <row r="432" spans="1:23" ht="11.25" customHeight="1" x14ac:dyDescent="0.25">
      <c r="A432" s="3" t="s">
        <v>21</v>
      </c>
      <c r="B432" s="3" t="s">
        <v>22</v>
      </c>
      <c r="C432" s="3" t="s">
        <v>23</v>
      </c>
      <c r="D432" s="3" t="s">
        <v>24</v>
      </c>
      <c r="E432" s="3" t="s">
        <v>32</v>
      </c>
      <c r="F432" s="3" t="s">
        <v>25</v>
      </c>
      <c r="G432" s="3" t="s">
        <v>25</v>
      </c>
      <c r="H432" s="3" t="s">
        <v>25</v>
      </c>
      <c r="I432" s="6">
        <v>44593</v>
      </c>
      <c r="J432" s="4">
        <v>0</v>
      </c>
      <c r="K432" s="4">
        <v>0</v>
      </c>
      <c r="L432" s="4">
        <v>50.307000000000002</v>
      </c>
      <c r="M432" s="4">
        <v>50.307000000000002</v>
      </c>
      <c r="N432" s="4">
        <v>50.307000000000002</v>
      </c>
      <c r="O432" s="4">
        <v>50.307000000000002</v>
      </c>
      <c r="P432" s="4">
        <v>315</v>
      </c>
      <c r="Q432" s="3" t="s">
        <v>26</v>
      </c>
      <c r="R432" s="3">
        <v>0</v>
      </c>
      <c r="S432" s="3" t="s">
        <v>283</v>
      </c>
      <c r="T432" s="3" t="s">
        <v>420</v>
      </c>
      <c r="U432" s="3">
        <v>0</v>
      </c>
      <c r="V432" s="3">
        <v>44</v>
      </c>
      <c r="W432" s="3">
        <v>60</v>
      </c>
    </row>
    <row r="433" spans="1:23" ht="11.25" customHeight="1" x14ac:dyDescent="0.25">
      <c r="A433" s="3" t="s">
        <v>21</v>
      </c>
      <c r="B433" s="3" t="s">
        <v>22</v>
      </c>
      <c r="C433" s="3" t="s">
        <v>23</v>
      </c>
      <c r="D433" s="3" t="s">
        <v>24</v>
      </c>
      <c r="E433" s="3" t="s">
        <v>32</v>
      </c>
      <c r="F433" s="3" t="s">
        <v>25</v>
      </c>
      <c r="G433" s="3" t="s">
        <v>25</v>
      </c>
      <c r="H433" s="3" t="s">
        <v>25</v>
      </c>
      <c r="I433" s="6">
        <v>44621</v>
      </c>
      <c r="J433" s="4">
        <v>0</v>
      </c>
      <c r="K433" s="4">
        <v>0</v>
      </c>
      <c r="L433" s="4">
        <v>38.713999999999999</v>
      </c>
      <c r="M433" s="4">
        <v>38.713999999999999</v>
      </c>
      <c r="N433" s="4">
        <v>38.713999999999999</v>
      </c>
      <c r="O433" s="4">
        <v>38.713999999999999</v>
      </c>
      <c r="P433" s="4">
        <v>299</v>
      </c>
      <c r="Q433" s="3" t="s">
        <v>26</v>
      </c>
      <c r="R433" s="3">
        <v>0</v>
      </c>
      <c r="S433" s="3" t="s">
        <v>284</v>
      </c>
      <c r="T433" s="3" t="s">
        <v>421</v>
      </c>
      <c r="U433" s="3">
        <v>0</v>
      </c>
      <c r="V433" s="3">
        <v>44</v>
      </c>
      <c r="W433" s="3">
        <v>60</v>
      </c>
    </row>
    <row r="434" spans="1:23" ht="11.25" customHeight="1" x14ac:dyDescent="0.25">
      <c r="A434" s="3" t="s">
        <v>21</v>
      </c>
      <c r="B434" s="3" t="s">
        <v>22</v>
      </c>
      <c r="C434" s="3" t="s">
        <v>23</v>
      </c>
      <c r="D434" s="3" t="s">
        <v>24</v>
      </c>
      <c r="E434" s="3" t="s">
        <v>32</v>
      </c>
      <c r="F434" s="3" t="s">
        <v>25</v>
      </c>
      <c r="G434" s="3" t="s">
        <v>25</v>
      </c>
      <c r="H434" s="3" t="s">
        <v>25</v>
      </c>
      <c r="I434" s="6">
        <v>44652</v>
      </c>
      <c r="J434" s="4">
        <v>0</v>
      </c>
      <c r="K434" s="4">
        <v>0</v>
      </c>
      <c r="L434" s="4">
        <v>23.859000000000002</v>
      </c>
      <c r="M434" s="4">
        <v>23.859000000000002</v>
      </c>
      <c r="N434" s="4">
        <v>23.859000000000002</v>
      </c>
      <c r="O434" s="4">
        <v>23.859000000000002</v>
      </c>
      <c r="P434" s="4">
        <v>241</v>
      </c>
      <c r="Q434" s="3" t="s">
        <v>26</v>
      </c>
      <c r="R434" s="3">
        <v>0</v>
      </c>
      <c r="S434" s="3" t="s">
        <v>285</v>
      </c>
      <c r="T434" s="3" t="s">
        <v>422</v>
      </c>
      <c r="U434" s="3">
        <v>0</v>
      </c>
      <c r="V434" s="3">
        <v>44</v>
      </c>
      <c r="W434" s="3">
        <v>60</v>
      </c>
    </row>
    <row r="435" spans="1:23" ht="11.25" customHeight="1" x14ac:dyDescent="0.25">
      <c r="A435" s="3" t="s">
        <v>21</v>
      </c>
      <c r="B435" s="3" t="s">
        <v>22</v>
      </c>
      <c r="C435" s="3" t="s">
        <v>23</v>
      </c>
      <c r="D435" s="3" t="s">
        <v>24</v>
      </c>
      <c r="E435" s="3" t="s">
        <v>32</v>
      </c>
      <c r="F435" s="3" t="s">
        <v>25</v>
      </c>
      <c r="G435" s="3" t="s">
        <v>25</v>
      </c>
      <c r="H435" s="3" t="s">
        <v>25</v>
      </c>
      <c r="I435" s="6">
        <v>44682</v>
      </c>
      <c r="J435" s="4">
        <v>0</v>
      </c>
      <c r="K435" s="4">
        <v>0</v>
      </c>
      <c r="L435" s="4">
        <v>18.257999999999999</v>
      </c>
      <c r="M435" s="4">
        <v>18.257999999999999</v>
      </c>
      <c r="N435" s="4">
        <v>18.257999999999999</v>
      </c>
      <c r="O435" s="4">
        <v>18.257999999999999</v>
      </c>
      <c r="P435" s="4">
        <v>198</v>
      </c>
      <c r="Q435" s="3" t="s">
        <v>26</v>
      </c>
      <c r="R435" s="3">
        <v>0</v>
      </c>
      <c r="S435" s="3" t="s">
        <v>286</v>
      </c>
      <c r="T435" s="3" t="s">
        <v>423</v>
      </c>
      <c r="U435" s="3">
        <v>0</v>
      </c>
      <c r="V435" s="3">
        <v>44</v>
      </c>
      <c r="W435" s="3">
        <v>60</v>
      </c>
    </row>
    <row r="436" spans="1:23" ht="11.25" customHeight="1" x14ac:dyDescent="0.25">
      <c r="A436" s="3" t="s">
        <v>21</v>
      </c>
      <c r="B436" s="3" t="s">
        <v>22</v>
      </c>
      <c r="C436" s="3" t="s">
        <v>23</v>
      </c>
      <c r="D436" s="3" t="s">
        <v>24</v>
      </c>
      <c r="E436" s="3" t="s">
        <v>32</v>
      </c>
      <c r="F436" s="3" t="s">
        <v>25</v>
      </c>
      <c r="G436" s="3" t="s">
        <v>25</v>
      </c>
      <c r="H436" s="3" t="s">
        <v>25</v>
      </c>
      <c r="I436" s="6">
        <v>44713</v>
      </c>
      <c r="J436" s="4">
        <v>0</v>
      </c>
      <c r="K436" s="4">
        <v>0</v>
      </c>
      <c r="L436" s="4">
        <v>26.19</v>
      </c>
      <c r="M436" s="4">
        <v>26.19</v>
      </c>
      <c r="N436" s="4">
        <v>26.19</v>
      </c>
      <c r="O436" s="4">
        <v>26.19</v>
      </c>
      <c r="P436" s="4">
        <v>230</v>
      </c>
      <c r="Q436" s="3" t="s">
        <v>26</v>
      </c>
      <c r="R436" s="3">
        <v>0</v>
      </c>
      <c r="S436" s="3" t="s">
        <v>287</v>
      </c>
      <c r="T436" s="3" t="s">
        <v>424</v>
      </c>
      <c r="U436" s="3">
        <v>0</v>
      </c>
      <c r="V436" s="3">
        <v>44</v>
      </c>
      <c r="W436" s="3">
        <v>60</v>
      </c>
    </row>
    <row r="437" spans="1:23" ht="11.25" customHeight="1" x14ac:dyDescent="0.25">
      <c r="A437" s="3" t="s">
        <v>21</v>
      </c>
      <c r="B437" s="3" t="s">
        <v>22</v>
      </c>
      <c r="C437" s="3" t="s">
        <v>23</v>
      </c>
      <c r="D437" s="3" t="s">
        <v>24</v>
      </c>
      <c r="E437" s="3" t="s">
        <v>32</v>
      </c>
      <c r="F437" s="3" t="s">
        <v>25</v>
      </c>
      <c r="G437" s="3" t="s">
        <v>25</v>
      </c>
      <c r="H437" s="3" t="s">
        <v>25</v>
      </c>
      <c r="I437" s="6">
        <v>44743</v>
      </c>
      <c r="J437" s="4">
        <v>0</v>
      </c>
      <c r="K437" s="4">
        <v>0</v>
      </c>
      <c r="L437" s="4">
        <v>23.417000000000002</v>
      </c>
      <c r="M437" s="4">
        <v>23.417000000000002</v>
      </c>
      <c r="N437" s="4">
        <v>23.417000000000002</v>
      </c>
      <c r="O437" s="4">
        <v>23.417000000000002</v>
      </c>
      <c r="P437" s="4">
        <v>215</v>
      </c>
      <c r="Q437" s="3" t="s">
        <v>26</v>
      </c>
      <c r="R437" s="3">
        <v>0</v>
      </c>
      <c r="S437" s="3" t="s">
        <v>288</v>
      </c>
      <c r="T437" s="3" t="s">
        <v>425</v>
      </c>
      <c r="U437" s="3">
        <v>0</v>
      </c>
      <c r="V437" s="3">
        <v>44</v>
      </c>
      <c r="W437" s="3">
        <v>60</v>
      </c>
    </row>
    <row r="438" spans="1:23" ht="11.25" customHeight="1" x14ac:dyDescent="0.25">
      <c r="A438" s="3" t="s">
        <v>21</v>
      </c>
      <c r="B438" s="3" t="s">
        <v>22</v>
      </c>
      <c r="C438" s="3" t="s">
        <v>23</v>
      </c>
      <c r="D438" s="3" t="s">
        <v>24</v>
      </c>
      <c r="E438" s="3" t="s">
        <v>32</v>
      </c>
      <c r="F438" s="3" t="s">
        <v>25</v>
      </c>
      <c r="G438" s="3" t="s">
        <v>25</v>
      </c>
      <c r="H438" s="3" t="s">
        <v>25</v>
      </c>
      <c r="I438" s="6">
        <v>44774</v>
      </c>
      <c r="J438" s="4">
        <v>0</v>
      </c>
      <c r="K438" s="4">
        <v>0</v>
      </c>
      <c r="L438" s="4">
        <v>28.462</v>
      </c>
      <c r="M438" s="4">
        <v>28.462</v>
      </c>
      <c r="N438" s="4">
        <v>28.462</v>
      </c>
      <c r="O438" s="4">
        <v>28.462</v>
      </c>
      <c r="P438" s="4">
        <v>236</v>
      </c>
      <c r="Q438" s="3" t="s">
        <v>26</v>
      </c>
      <c r="R438" s="3">
        <v>0</v>
      </c>
      <c r="S438" s="3" t="s">
        <v>289</v>
      </c>
      <c r="T438" s="3" t="s">
        <v>426</v>
      </c>
      <c r="U438" s="3">
        <v>0</v>
      </c>
      <c r="V438" s="3">
        <v>44</v>
      </c>
      <c r="W438" s="3">
        <v>60</v>
      </c>
    </row>
    <row r="439" spans="1:23" ht="11.25" customHeight="1" x14ac:dyDescent="0.25">
      <c r="A439" s="3" t="s">
        <v>21</v>
      </c>
      <c r="B439" s="3" t="s">
        <v>40</v>
      </c>
      <c r="C439" s="3" t="s">
        <v>23</v>
      </c>
      <c r="D439" s="3" t="s">
        <v>41</v>
      </c>
      <c r="E439" s="3" t="s">
        <v>50</v>
      </c>
      <c r="F439" s="3" t="s">
        <v>51</v>
      </c>
      <c r="G439" s="3" t="s">
        <v>25</v>
      </c>
      <c r="H439" s="3" t="s">
        <v>25</v>
      </c>
      <c r="I439" s="6">
        <v>44440</v>
      </c>
      <c r="J439" s="4">
        <v>0</v>
      </c>
      <c r="K439" s="4">
        <v>0</v>
      </c>
      <c r="L439" s="4">
        <v>0.73099999999999998</v>
      </c>
      <c r="M439" s="4">
        <v>0.73099999999999998</v>
      </c>
      <c r="N439" s="4">
        <v>0.73099999999999998</v>
      </c>
      <c r="O439" s="4">
        <v>0.73099999999999998</v>
      </c>
      <c r="P439" s="4">
        <v>0</v>
      </c>
      <c r="Q439" s="3" t="s">
        <v>26</v>
      </c>
      <c r="R439" s="3">
        <v>0</v>
      </c>
      <c r="S439" s="3" t="s">
        <v>290</v>
      </c>
      <c r="T439" s="3" t="s">
        <v>427</v>
      </c>
      <c r="U439" s="3">
        <v>0</v>
      </c>
      <c r="V439" s="3">
        <v>24</v>
      </c>
      <c r="W439" s="3">
        <v>63</v>
      </c>
    </row>
    <row r="440" spans="1:23" ht="11.25" customHeight="1" x14ac:dyDescent="0.25">
      <c r="A440" s="3" t="s">
        <v>21</v>
      </c>
      <c r="B440" s="3" t="s">
        <v>40</v>
      </c>
      <c r="C440" s="3" t="s">
        <v>23</v>
      </c>
      <c r="D440" s="3" t="s">
        <v>41</v>
      </c>
      <c r="E440" s="3" t="s">
        <v>50</v>
      </c>
      <c r="F440" s="3" t="s">
        <v>51</v>
      </c>
      <c r="G440" s="3" t="s">
        <v>25</v>
      </c>
      <c r="H440" s="3" t="s">
        <v>25</v>
      </c>
      <c r="I440" s="6">
        <v>44470</v>
      </c>
      <c r="J440" s="4">
        <v>0</v>
      </c>
      <c r="K440" s="4">
        <v>0</v>
      </c>
      <c r="L440" s="4">
        <v>0.50800000000000001</v>
      </c>
      <c r="M440" s="4">
        <v>0.50800000000000001</v>
      </c>
      <c r="N440" s="4">
        <v>0.50800000000000001</v>
      </c>
      <c r="O440" s="4">
        <v>0.50800000000000001</v>
      </c>
      <c r="P440" s="4">
        <v>0</v>
      </c>
      <c r="Q440" s="3" t="s">
        <v>26</v>
      </c>
      <c r="R440" s="3">
        <v>0</v>
      </c>
      <c r="S440" s="3" t="s">
        <v>291</v>
      </c>
      <c r="T440" s="3" t="s">
        <v>428</v>
      </c>
      <c r="U440" s="3">
        <v>0</v>
      </c>
      <c r="V440" s="3">
        <v>24</v>
      </c>
      <c r="W440" s="3">
        <v>63</v>
      </c>
    </row>
    <row r="441" spans="1:23" ht="11.25" customHeight="1" x14ac:dyDescent="0.25">
      <c r="A441" s="3" t="s">
        <v>21</v>
      </c>
      <c r="B441" s="3" t="s">
        <v>40</v>
      </c>
      <c r="C441" s="3" t="s">
        <v>23</v>
      </c>
      <c r="D441" s="3" t="s">
        <v>41</v>
      </c>
      <c r="E441" s="3" t="s">
        <v>50</v>
      </c>
      <c r="F441" s="3" t="s">
        <v>51</v>
      </c>
      <c r="G441" s="3" t="s">
        <v>25</v>
      </c>
      <c r="H441" s="3" t="s">
        <v>25</v>
      </c>
      <c r="I441" s="6">
        <v>44501</v>
      </c>
      <c r="J441" s="4">
        <v>0</v>
      </c>
      <c r="K441" s="4">
        <v>0</v>
      </c>
      <c r="L441" s="4">
        <v>1.038</v>
      </c>
      <c r="M441" s="4">
        <v>1.038</v>
      </c>
      <c r="N441" s="4">
        <v>1.038</v>
      </c>
      <c r="O441" s="4">
        <v>1.038</v>
      </c>
      <c r="P441" s="4">
        <v>0</v>
      </c>
      <c r="Q441" s="3" t="s">
        <v>26</v>
      </c>
      <c r="R441" s="3">
        <v>0</v>
      </c>
      <c r="S441" s="3" t="s">
        <v>292</v>
      </c>
      <c r="T441" s="3" t="s">
        <v>429</v>
      </c>
      <c r="U441" s="3">
        <v>0</v>
      </c>
      <c r="V441" s="3">
        <v>24</v>
      </c>
      <c r="W441" s="3">
        <v>63</v>
      </c>
    </row>
    <row r="442" spans="1:23" ht="11.25" customHeight="1" x14ac:dyDescent="0.25">
      <c r="A442" s="3" t="s">
        <v>21</v>
      </c>
      <c r="B442" s="3" t="s">
        <v>40</v>
      </c>
      <c r="C442" s="3" t="s">
        <v>23</v>
      </c>
      <c r="D442" s="3" t="s">
        <v>41</v>
      </c>
      <c r="E442" s="3" t="s">
        <v>50</v>
      </c>
      <c r="F442" s="3" t="s">
        <v>51</v>
      </c>
      <c r="G442" s="3" t="s">
        <v>25</v>
      </c>
      <c r="H442" s="3" t="s">
        <v>25</v>
      </c>
      <c r="I442" s="6">
        <v>44531</v>
      </c>
      <c r="J442" s="4">
        <v>0</v>
      </c>
      <c r="K442" s="4">
        <v>0</v>
      </c>
      <c r="L442" s="4">
        <v>1.57</v>
      </c>
      <c r="M442" s="4">
        <v>1.57</v>
      </c>
      <c r="N442" s="4">
        <v>1.57</v>
      </c>
      <c r="O442" s="4">
        <v>1.57</v>
      </c>
      <c r="P442" s="4">
        <v>0</v>
      </c>
      <c r="Q442" s="3" t="s">
        <v>26</v>
      </c>
      <c r="R442" s="3">
        <v>0</v>
      </c>
      <c r="S442" s="3" t="s">
        <v>293</v>
      </c>
      <c r="T442" s="3" t="s">
        <v>430</v>
      </c>
      <c r="U442" s="3">
        <v>0</v>
      </c>
      <c r="V442" s="3">
        <v>24</v>
      </c>
      <c r="W442" s="3">
        <v>63</v>
      </c>
    </row>
    <row r="443" spans="1:23" ht="11.25" customHeight="1" x14ac:dyDescent="0.25">
      <c r="A443" s="3" t="s">
        <v>21</v>
      </c>
      <c r="B443" s="3" t="s">
        <v>40</v>
      </c>
      <c r="C443" s="3" t="s">
        <v>23</v>
      </c>
      <c r="D443" s="3" t="s">
        <v>41</v>
      </c>
      <c r="E443" s="3" t="s">
        <v>50</v>
      </c>
      <c r="F443" s="3" t="s">
        <v>51</v>
      </c>
      <c r="G443" s="3" t="s">
        <v>25</v>
      </c>
      <c r="H443" s="3" t="s">
        <v>25</v>
      </c>
      <c r="I443" s="6">
        <v>44562</v>
      </c>
      <c r="J443" s="4">
        <v>0</v>
      </c>
      <c r="K443" s="4">
        <v>0</v>
      </c>
      <c r="L443" s="4">
        <v>2.165</v>
      </c>
      <c r="M443" s="4">
        <v>2.165</v>
      </c>
      <c r="N443" s="4">
        <v>2.165</v>
      </c>
      <c r="O443" s="4">
        <v>2.165</v>
      </c>
      <c r="P443" s="4">
        <v>0</v>
      </c>
      <c r="Q443" s="3" t="s">
        <v>26</v>
      </c>
      <c r="R443" s="3">
        <v>0</v>
      </c>
      <c r="S443" s="3" t="s">
        <v>294</v>
      </c>
      <c r="T443" s="3" t="s">
        <v>431</v>
      </c>
      <c r="U443" s="3">
        <v>0</v>
      </c>
      <c r="V443" s="3">
        <v>24</v>
      </c>
      <c r="W443" s="3">
        <v>63</v>
      </c>
    </row>
    <row r="444" spans="1:23" ht="11.25" customHeight="1" x14ac:dyDescent="0.25">
      <c r="A444" s="3" t="s">
        <v>21</v>
      </c>
      <c r="B444" s="3" t="s">
        <v>40</v>
      </c>
      <c r="C444" s="3" t="s">
        <v>23</v>
      </c>
      <c r="D444" s="3" t="s">
        <v>41</v>
      </c>
      <c r="E444" s="3" t="s">
        <v>50</v>
      </c>
      <c r="F444" s="3" t="s">
        <v>51</v>
      </c>
      <c r="G444" s="3" t="s">
        <v>25</v>
      </c>
      <c r="H444" s="3" t="s">
        <v>25</v>
      </c>
      <c r="I444" s="6">
        <v>44593</v>
      </c>
      <c r="J444" s="4">
        <v>0</v>
      </c>
      <c r="K444" s="4">
        <v>0</v>
      </c>
      <c r="L444" s="4">
        <v>1.4279999999999999</v>
      </c>
      <c r="M444" s="4">
        <v>1.4279999999999999</v>
      </c>
      <c r="N444" s="4">
        <v>1.4279999999999999</v>
      </c>
      <c r="O444" s="4">
        <v>1.4279999999999999</v>
      </c>
      <c r="P444" s="4">
        <v>0</v>
      </c>
      <c r="Q444" s="3" t="s">
        <v>26</v>
      </c>
      <c r="R444" s="3">
        <v>0</v>
      </c>
      <c r="S444" s="3" t="s">
        <v>295</v>
      </c>
      <c r="T444" s="3" t="s">
        <v>432</v>
      </c>
      <c r="U444" s="3">
        <v>0</v>
      </c>
      <c r="V444" s="3">
        <v>24</v>
      </c>
      <c r="W444" s="3">
        <v>63</v>
      </c>
    </row>
    <row r="445" spans="1:23" ht="11.25" customHeight="1" x14ac:dyDescent="0.25">
      <c r="A445" s="3" t="s">
        <v>21</v>
      </c>
      <c r="B445" s="3" t="s">
        <v>40</v>
      </c>
      <c r="C445" s="3" t="s">
        <v>23</v>
      </c>
      <c r="D445" s="3" t="s">
        <v>41</v>
      </c>
      <c r="E445" s="3" t="s">
        <v>50</v>
      </c>
      <c r="F445" s="3" t="s">
        <v>51</v>
      </c>
      <c r="G445" s="3" t="s">
        <v>25</v>
      </c>
      <c r="H445" s="3" t="s">
        <v>25</v>
      </c>
      <c r="I445" s="6">
        <v>44621</v>
      </c>
      <c r="J445" s="4">
        <v>0</v>
      </c>
      <c r="K445" s="4">
        <v>0</v>
      </c>
      <c r="L445" s="4">
        <v>0.57299999999999995</v>
      </c>
      <c r="M445" s="4">
        <v>0.57299999999999995</v>
      </c>
      <c r="N445" s="4">
        <v>0.57299999999999995</v>
      </c>
      <c r="O445" s="4">
        <v>0.57299999999999995</v>
      </c>
      <c r="P445" s="4">
        <v>0</v>
      </c>
      <c r="Q445" s="3" t="s">
        <v>26</v>
      </c>
      <c r="R445" s="3">
        <v>0</v>
      </c>
      <c r="S445" s="3" t="s">
        <v>296</v>
      </c>
      <c r="T445" s="3" t="s">
        <v>433</v>
      </c>
      <c r="U445" s="3">
        <v>0</v>
      </c>
      <c r="V445" s="3">
        <v>24</v>
      </c>
      <c r="W445" s="3">
        <v>63</v>
      </c>
    </row>
    <row r="446" spans="1:23" ht="11.25" customHeight="1" x14ac:dyDescent="0.25">
      <c r="A446" s="3" t="s">
        <v>21</v>
      </c>
      <c r="B446" s="3" t="s">
        <v>40</v>
      </c>
      <c r="C446" s="3" t="s">
        <v>23</v>
      </c>
      <c r="D446" s="3" t="s">
        <v>41</v>
      </c>
      <c r="E446" s="3" t="s">
        <v>50</v>
      </c>
      <c r="F446" s="3" t="s">
        <v>51</v>
      </c>
      <c r="G446" s="3" t="s">
        <v>25</v>
      </c>
      <c r="H446" s="3" t="s">
        <v>25</v>
      </c>
      <c r="I446" s="6">
        <v>44652</v>
      </c>
      <c r="J446" s="4">
        <v>0</v>
      </c>
      <c r="K446" s="4">
        <v>0</v>
      </c>
      <c r="L446" s="4">
        <v>0.623</v>
      </c>
      <c r="M446" s="4">
        <v>0.623</v>
      </c>
      <c r="N446" s="4">
        <v>0.623</v>
      </c>
      <c r="O446" s="4">
        <v>0.623</v>
      </c>
      <c r="P446" s="4">
        <v>0</v>
      </c>
      <c r="Q446" s="3" t="s">
        <v>26</v>
      </c>
      <c r="R446" s="3">
        <v>0</v>
      </c>
      <c r="S446" s="3" t="s">
        <v>297</v>
      </c>
      <c r="T446" s="3" t="s">
        <v>434</v>
      </c>
      <c r="U446" s="3">
        <v>0</v>
      </c>
      <c r="V446" s="3">
        <v>24</v>
      </c>
      <c r="W446" s="3">
        <v>63</v>
      </c>
    </row>
    <row r="447" spans="1:23" ht="11.25" customHeight="1" x14ac:dyDescent="0.25">
      <c r="A447" s="3" t="s">
        <v>21</v>
      </c>
      <c r="B447" s="3" t="s">
        <v>40</v>
      </c>
      <c r="C447" s="3" t="s">
        <v>23</v>
      </c>
      <c r="D447" s="3" t="s">
        <v>41</v>
      </c>
      <c r="E447" s="3" t="s">
        <v>50</v>
      </c>
      <c r="F447" s="3" t="s">
        <v>51</v>
      </c>
      <c r="G447" s="3" t="s">
        <v>25</v>
      </c>
      <c r="H447" s="3" t="s">
        <v>25</v>
      </c>
      <c r="I447" s="6">
        <v>44682</v>
      </c>
      <c r="J447" s="4">
        <v>0</v>
      </c>
      <c r="K447" s="4">
        <v>0</v>
      </c>
      <c r="L447" s="4">
        <v>0.71699999999999997</v>
      </c>
      <c r="M447" s="4">
        <v>0.71699999999999997</v>
      </c>
      <c r="N447" s="4">
        <v>0.71699999999999997</v>
      </c>
      <c r="O447" s="4">
        <v>0.71699999999999997</v>
      </c>
      <c r="P447" s="4">
        <v>0</v>
      </c>
      <c r="Q447" s="3" t="s">
        <v>26</v>
      </c>
      <c r="R447" s="3">
        <v>0</v>
      </c>
      <c r="S447" s="3" t="s">
        <v>298</v>
      </c>
      <c r="T447" s="3" t="s">
        <v>435</v>
      </c>
      <c r="U447" s="3">
        <v>0</v>
      </c>
      <c r="V447" s="3">
        <v>24</v>
      </c>
      <c r="W447" s="3">
        <v>63</v>
      </c>
    </row>
    <row r="448" spans="1:23" ht="11.25" customHeight="1" x14ac:dyDescent="0.25">
      <c r="A448" s="3" t="s">
        <v>21</v>
      </c>
      <c r="B448" s="3" t="s">
        <v>40</v>
      </c>
      <c r="C448" s="3" t="s">
        <v>23</v>
      </c>
      <c r="D448" s="3" t="s">
        <v>41</v>
      </c>
      <c r="E448" s="3" t="s">
        <v>50</v>
      </c>
      <c r="F448" s="3" t="s">
        <v>51</v>
      </c>
      <c r="G448" s="3" t="s">
        <v>25</v>
      </c>
      <c r="H448" s="3" t="s">
        <v>25</v>
      </c>
      <c r="I448" s="6">
        <v>44713</v>
      </c>
      <c r="J448" s="4">
        <v>0</v>
      </c>
      <c r="K448" s="4">
        <v>0</v>
      </c>
      <c r="L448" s="4">
        <v>0.83799999999999997</v>
      </c>
      <c r="M448" s="4">
        <v>0.83799999999999997</v>
      </c>
      <c r="N448" s="4">
        <v>0.83799999999999997</v>
      </c>
      <c r="O448" s="4">
        <v>0.83799999999999997</v>
      </c>
      <c r="P448" s="4">
        <v>0</v>
      </c>
      <c r="Q448" s="3" t="s">
        <v>26</v>
      </c>
      <c r="R448" s="3">
        <v>0</v>
      </c>
      <c r="S448" s="3" t="s">
        <v>299</v>
      </c>
      <c r="T448" s="3" t="s">
        <v>436</v>
      </c>
      <c r="U448" s="3">
        <v>0</v>
      </c>
      <c r="V448" s="3">
        <v>24</v>
      </c>
      <c r="W448" s="3">
        <v>63</v>
      </c>
    </row>
    <row r="449" spans="1:23" ht="11.25" customHeight="1" x14ac:dyDescent="0.25">
      <c r="A449" s="3" t="s">
        <v>21</v>
      </c>
      <c r="B449" s="3" t="s">
        <v>40</v>
      </c>
      <c r="C449" s="3" t="s">
        <v>23</v>
      </c>
      <c r="D449" s="3" t="s">
        <v>41</v>
      </c>
      <c r="E449" s="3" t="s">
        <v>50</v>
      </c>
      <c r="F449" s="3" t="s">
        <v>51</v>
      </c>
      <c r="G449" s="3" t="s">
        <v>25</v>
      </c>
      <c r="H449" s="3" t="s">
        <v>25</v>
      </c>
      <c r="I449" s="6">
        <v>44743</v>
      </c>
      <c r="J449" s="4">
        <v>0</v>
      </c>
      <c r="K449" s="4">
        <v>0</v>
      </c>
      <c r="L449" s="4">
        <v>0.749</v>
      </c>
      <c r="M449" s="4">
        <v>0.749</v>
      </c>
      <c r="N449" s="4">
        <v>0.749</v>
      </c>
      <c r="O449" s="4">
        <v>0.749</v>
      </c>
      <c r="P449" s="4">
        <v>0</v>
      </c>
      <c r="Q449" s="3" t="s">
        <v>26</v>
      </c>
      <c r="R449" s="3">
        <v>0</v>
      </c>
      <c r="S449" s="3" t="s">
        <v>300</v>
      </c>
      <c r="T449" s="3" t="s">
        <v>437</v>
      </c>
      <c r="U449" s="3">
        <v>0</v>
      </c>
      <c r="V449" s="3">
        <v>24</v>
      </c>
      <c r="W449" s="3">
        <v>63</v>
      </c>
    </row>
    <row r="450" spans="1:23" ht="11.25" customHeight="1" x14ac:dyDescent="0.25">
      <c r="A450" s="3" t="s">
        <v>21</v>
      </c>
      <c r="B450" s="3" t="s">
        <v>40</v>
      </c>
      <c r="C450" s="3" t="s">
        <v>23</v>
      </c>
      <c r="D450" s="3" t="s">
        <v>41</v>
      </c>
      <c r="E450" s="3" t="s">
        <v>50</v>
      </c>
      <c r="F450" s="3" t="s">
        <v>51</v>
      </c>
      <c r="G450" s="3" t="s">
        <v>25</v>
      </c>
      <c r="H450" s="3" t="s">
        <v>25</v>
      </c>
      <c r="I450" s="6">
        <v>44774</v>
      </c>
      <c r="J450" s="4">
        <v>0</v>
      </c>
      <c r="K450" s="4">
        <v>0</v>
      </c>
      <c r="L450" s="4">
        <v>0.90300000000000002</v>
      </c>
      <c r="M450" s="4">
        <v>0.90300000000000002</v>
      </c>
      <c r="N450" s="4">
        <v>0.90300000000000002</v>
      </c>
      <c r="O450" s="4">
        <v>0.90300000000000002</v>
      </c>
      <c r="P450" s="4">
        <v>0</v>
      </c>
      <c r="Q450" s="3" t="s">
        <v>26</v>
      </c>
      <c r="R450" s="3">
        <v>0</v>
      </c>
      <c r="S450" s="3" t="s">
        <v>301</v>
      </c>
      <c r="T450" s="3" t="s">
        <v>438</v>
      </c>
      <c r="U450" s="3">
        <v>0</v>
      </c>
      <c r="V450" s="3">
        <v>24</v>
      </c>
      <c r="W450" s="3">
        <v>63</v>
      </c>
    </row>
    <row r="451" spans="1:23" ht="11.25" customHeight="1" x14ac:dyDescent="0.25">
      <c r="A451" s="3" t="s">
        <v>21</v>
      </c>
      <c r="B451" s="3" t="s">
        <v>40</v>
      </c>
      <c r="C451" s="3" t="s">
        <v>23</v>
      </c>
      <c r="D451" s="3" t="s">
        <v>41</v>
      </c>
      <c r="E451" s="3" t="s">
        <v>50</v>
      </c>
      <c r="F451" s="3" t="s">
        <v>52</v>
      </c>
      <c r="G451" s="3" t="s">
        <v>25</v>
      </c>
      <c r="H451" s="3" t="s">
        <v>25</v>
      </c>
      <c r="I451" s="6">
        <v>44440</v>
      </c>
      <c r="J451" s="4">
        <v>0</v>
      </c>
      <c r="K451" s="4">
        <v>0</v>
      </c>
      <c r="L451" s="4">
        <v>0.14299999999999999</v>
      </c>
      <c r="M451" s="4">
        <v>5.7200000000000001E-2</v>
      </c>
      <c r="N451" s="4">
        <v>0.14299999999999999</v>
      </c>
      <c r="O451" s="4">
        <v>5.7200000000000001E-2</v>
      </c>
      <c r="P451" s="4">
        <v>0</v>
      </c>
      <c r="Q451" s="3" t="s">
        <v>26</v>
      </c>
      <c r="R451" s="3">
        <v>0</v>
      </c>
      <c r="S451" s="3" t="s">
        <v>290</v>
      </c>
      <c r="T451" s="3" t="s">
        <v>427</v>
      </c>
      <c r="U451" s="3">
        <v>0</v>
      </c>
      <c r="V451" s="3">
        <v>24</v>
      </c>
      <c r="W451" s="3">
        <v>63</v>
      </c>
    </row>
    <row r="452" spans="1:23" ht="11.25" customHeight="1" x14ac:dyDescent="0.25">
      <c r="A452" s="3" t="s">
        <v>21</v>
      </c>
      <c r="B452" s="3" t="s">
        <v>40</v>
      </c>
      <c r="C452" s="3" t="s">
        <v>23</v>
      </c>
      <c r="D452" s="3" t="s">
        <v>41</v>
      </c>
      <c r="E452" s="3" t="s">
        <v>50</v>
      </c>
      <c r="F452" s="3" t="s">
        <v>52</v>
      </c>
      <c r="G452" s="3" t="s">
        <v>25</v>
      </c>
      <c r="H452" s="3" t="s">
        <v>25</v>
      </c>
      <c r="I452" s="6">
        <v>44470</v>
      </c>
      <c r="J452" s="4">
        <v>0</v>
      </c>
      <c r="K452" s="4">
        <v>0</v>
      </c>
      <c r="L452" s="4">
        <v>4.2999999999999997E-2</v>
      </c>
      <c r="M452" s="4">
        <v>1.72E-2</v>
      </c>
      <c r="N452" s="4">
        <v>4.2999999999999997E-2</v>
      </c>
      <c r="O452" s="4">
        <v>1.72E-2</v>
      </c>
      <c r="P452" s="4">
        <v>0</v>
      </c>
      <c r="Q452" s="3" t="s">
        <v>26</v>
      </c>
      <c r="R452" s="3">
        <v>0</v>
      </c>
      <c r="S452" s="3" t="s">
        <v>291</v>
      </c>
      <c r="T452" s="3" t="s">
        <v>428</v>
      </c>
      <c r="U452" s="3">
        <v>0</v>
      </c>
      <c r="V452" s="3">
        <v>24</v>
      </c>
      <c r="W452" s="3">
        <v>63</v>
      </c>
    </row>
    <row r="453" spans="1:23" ht="11.25" customHeight="1" x14ac:dyDescent="0.25">
      <c r="A453" s="3" t="s">
        <v>21</v>
      </c>
      <c r="B453" s="3" t="s">
        <v>40</v>
      </c>
      <c r="C453" s="3" t="s">
        <v>23</v>
      </c>
      <c r="D453" s="3" t="s">
        <v>41</v>
      </c>
      <c r="E453" s="3" t="s">
        <v>50</v>
      </c>
      <c r="F453" s="3" t="s">
        <v>52</v>
      </c>
      <c r="G453" s="3" t="s">
        <v>25</v>
      </c>
      <c r="H453" s="3" t="s">
        <v>25</v>
      </c>
      <c r="I453" s="6">
        <v>44501</v>
      </c>
      <c r="J453" s="4">
        <v>0</v>
      </c>
      <c r="K453" s="4">
        <v>0</v>
      </c>
      <c r="L453" s="4">
        <v>0.186</v>
      </c>
      <c r="M453" s="4">
        <v>7.4399999999999994E-2</v>
      </c>
      <c r="N453" s="4">
        <v>0.186</v>
      </c>
      <c r="O453" s="4">
        <v>7.4399999999999994E-2</v>
      </c>
      <c r="P453" s="4">
        <v>0</v>
      </c>
      <c r="Q453" s="3" t="s">
        <v>26</v>
      </c>
      <c r="R453" s="3">
        <v>0</v>
      </c>
      <c r="S453" s="3" t="s">
        <v>292</v>
      </c>
      <c r="T453" s="3" t="s">
        <v>429</v>
      </c>
      <c r="U453" s="3">
        <v>0</v>
      </c>
      <c r="V453" s="3">
        <v>24</v>
      </c>
      <c r="W453" s="3">
        <v>63</v>
      </c>
    </row>
    <row r="454" spans="1:23" ht="11.25" customHeight="1" x14ac:dyDescent="0.25">
      <c r="A454" s="3" t="s">
        <v>21</v>
      </c>
      <c r="B454" s="3" t="s">
        <v>40</v>
      </c>
      <c r="C454" s="3" t="s">
        <v>23</v>
      </c>
      <c r="D454" s="3" t="s">
        <v>41</v>
      </c>
      <c r="E454" s="3" t="s">
        <v>50</v>
      </c>
      <c r="F454" s="3" t="s">
        <v>52</v>
      </c>
      <c r="G454" s="3" t="s">
        <v>25</v>
      </c>
      <c r="H454" s="3" t="s">
        <v>25</v>
      </c>
      <c r="I454" s="6">
        <v>44531</v>
      </c>
      <c r="J454" s="4">
        <v>0</v>
      </c>
      <c r="K454" s="4">
        <v>0</v>
      </c>
      <c r="L454" s="4">
        <v>0.16300000000000001</v>
      </c>
      <c r="M454" s="4">
        <v>6.5199999999999994E-2</v>
      </c>
      <c r="N454" s="4">
        <v>0.16300000000000001</v>
      </c>
      <c r="O454" s="4">
        <v>6.5199999999999994E-2</v>
      </c>
      <c r="P454" s="4">
        <v>0</v>
      </c>
      <c r="Q454" s="3" t="s">
        <v>26</v>
      </c>
      <c r="R454" s="3">
        <v>0</v>
      </c>
      <c r="S454" s="3" t="s">
        <v>293</v>
      </c>
      <c r="T454" s="3" t="s">
        <v>430</v>
      </c>
      <c r="U454" s="3">
        <v>0</v>
      </c>
      <c r="V454" s="3">
        <v>24</v>
      </c>
      <c r="W454" s="3">
        <v>63</v>
      </c>
    </row>
    <row r="455" spans="1:23" ht="11.25" customHeight="1" x14ac:dyDescent="0.25">
      <c r="A455" s="3" t="s">
        <v>21</v>
      </c>
      <c r="B455" s="3" t="s">
        <v>40</v>
      </c>
      <c r="C455" s="3" t="s">
        <v>23</v>
      </c>
      <c r="D455" s="3" t="s">
        <v>41</v>
      </c>
      <c r="E455" s="3" t="s">
        <v>50</v>
      </c>
      <c r="F455" s="3" t="s">
        <v>52</v>
      </c>
      <c r="G455" s="3" t="s">
        <v>25</v>
      </c>
      <c r="H455" s="3" t="s">
        <v>25</v>
      </c>
      <c r="I455" s="6">
        <v>44562</v>
      </c>
      <c r="J455" s="4">
        <v>0</v>
      </c>
      <c r="K455" s="4">
        <v>0</v>
      </c>
      <c r="L455" s="4">
        <v>0.436</v>
      </c>
      <c r="M455" s="4">
        <v>0.1744</v>
      </c>
      <c r="N455" s="4">
        <v>0.436</v>
      </c>
      <c r="O455" s="4">
        <v>0.1744</v>
      </c>
      <c r="P455" s="4">
        <v>0</v>
      </c>
      <c r="Q455" s="3" t="s">
        <v>26</v>
      </c>
      <c r="R455" s="3">
        <v>0</v>
      </c>
      <c r="S455" s="3" t="s">
        <v>294</v>
      </c>
      <c r="T455" s="3" t="s">
        <v>431</v>
      </c>
      <c r="U455" s="3">
        <v>0</v>
      </c>
      <c r="V455" s="3">
        <v>24</v>
      </c>
      <c r="W455" s="3">
        <v>63</v>
      </c>
    </row>
    <row r="456" spans="1:23" ht="11.25" customHeight="1" x14ac:dyDescent="0.25">
      <c r="A456" s="3" t="s">
        <v>27</v>
      </c>
      <c r="B456" s="3" t="s">
        <v>40</v>
      </c>
      <c r="C456" s="3" t="s">
        <v>23</v>
      </c>
      <c r="D456" s="3" t="s">
        <v>41</v>
      </c>
      <c r="E456" s="3" t="s">
        <v>50</v>
      </c>
      <c r="F456" s="3" t="s">
        <v>52</v>
      </c>
      <c r="G456" s="3" t="s">
        <v>25</v>
      </c>
      <c r="H456" s="3" t="s">
        <v>25</v>
      </c>
      <c r="I456" s="6">
        <v>44562</v>
      </c>
      <c r="J456" s="4">
        <v>0</v>
      </c>
      <c r="K456" s="4">
        <v>0</v>
      </c>
      <c r="L456" s="4">
        <v>-0.90100000000000002</v>
      </c>
      <c r="M456" s="4">
        <v>-0.3604</v>
      </c>
      <c r="N456" s="4">
        <v>-0.90100000000000002</v>
      </c>
      <c r="O456" s="4">
        <v>-0.3604</v>
      </c>
      <c r="P456" s="4">
        <v>0</v>
      </c>
      <c r="Q456" s="3" t="s">
        <v>26</v>
      </c>
      <c r="R456" s="3">
        <v>0</v>
      </c>
      <c r="S456" s="3" t="s">
        <v>294</v>
      </c>
      <c r="T456" s="3" t="s">
        <v>431</v>
      </c>
      <c r="U456" s="3">
        <v>0</v>
      </c>
      <c r="V456" s="3">
        <v>24</v>
      </c>
      <c r="W456" s="3">
        <v>63</v>
      </c>
    </row>
    <row r="457" spans="1:23" ht="11.25" customHeight="1" x14ac:dyDescent="0.25">
      <c r="A457" s="3" t="s">
        <v>21</v>
      </c>
      <c r="B457" s="3" t="s">
        <v>40</v>
      </c>
      <c r="C457" s="3" t="s">
        <v>23</v>
      </c>
      <c r="D457" s="3" t="s">
        <v>41</v>
      </c>
      <c r="E457" s="3" t="s">
        <v>50</v>
      </c>
      <c r="F457" s="3" t="s">
        <v>52</v>
      </c>
      <c r="G457" s="3" t="s">
        <v>25</v>
      </c>
      <c r="H457" s="3" t="s">
        <v>25</v>
      </c>
      <c r="I457" s="6">
        <v>44593</v>
      </c>
      <c r="J457" s="4">
        <v>0</v>
      </c>
      <c r="K457" s="4">
        <v>0</v>
      </c>
      <c r="L457" s="4">
        <v>0.42699999999999999</v>
      </c>
      <c r="M457" s="4">
        <v>0.17080000000000001</v>
      </c>
      <c r="N457" s="4">
        <v>0.42699999999999999</v>
      </c>
      <c r="O457" s="4">
        <v>0.17080000000000001</v>
      </c>
      <c r="P457" s="4">
        <v>0</v>
      </c>
      <c r="Q457" s="3" t="s">
        <v>26</v>
      </c>
      <c r="R457" s="3">
        <v>0</v>
      </c>
      <c r="S457" s="3" t="s">
        <v>295</v>
      </c>
      <c r="T457" s="3" t="s">
        <v>432</v>
      </c>
      <c r="U457" s="3">
        <v>0</v>
      </c>
      <c r="V457" s="3">
        <v>24</v>
      </c>
      <c r="W457" s="3">
        <v>63</v>
      </c>
    </row>
    <row r="458" spans="1:23" ht="11.25" customHeight="1" x14ac:dyDescent="0.25">
      <c r="A458" s="3" t="s">
        <v>21</v>
      </c>
      <c r="B458" s="3" t="s">
        <v>40</v>
      </c>
      <c r="C458" s="3" t="s">
        <v>23</v>
      </c>
      <c r="D458" s="3" t="s">
        <v>41</v>
      </c>
      <c r="E458" s="3" t="s">
        <v>50</v>
      </c>
      <c r="F458" s="3" t="s">
        <v>52</v>
      </c>
      <c r="G458" s="3" t="s">
        <v>25</v>
      </c>
      <c r="H458" s="3" t="s">
        <v>25</v>
      </c>
      <c r="I458" s="6">
        <v>44621</v>
      </c>
      <c r="J458" s="4">
        <v>0</v>
      </c>
      <c r="K458" s="4">
        <v>0</v>
      </c>
      <c r="L458" s="4">
        <v>0.245</v>
      </c>
      <c r="M458" s="4">
        <v>9.8000000000000004E-2</v>
      </c>
      <c r="N458" s="4">
        <v>0.245</v>
      </c>
      <c r="O458" s="4">
        <v>9.8000000000000004E-2</v>
      </c>
      <c r="P458" s="4">
        <v>0</v>
      </c>
      <c r="Q458" s="3" t="s">
        <v>26</v>
      </c>
      <c r="R458" s="3">
        <v>0</v>
      </c>
      <c r="S458" s="3" t="s">
        <v>296</v>
      </c>
      <c r="T458" s="3" t="s">
        <v>433</v>
      </c>
      <c r="U458" s="3">
        <v>0</v>
      </c>
      <c r="V458" s="3">
        <v>24</v>
      </c>
      <c r="W458" s="3">
        <v>63</v>
      </c>
    </row>
    <row r="459" spans="1:23" ht="11.25" customHeight="1" x14ac:dyDescent="0.25">
      <c r="A459" s="3" t="s">
        <v>21</v>
      </c>
      <c r="B459" s="3" t="s">
        <v>40</v>
      </c>
      <c r="C459" s="3" t="s">
        <v>23</v>
      </c>
      <c r="D459" s="3" t="s">
        <v>41</v>
      </c>
      <c r="E459" s="3" t="s">
        <v>50</v>
      </c>
      <c r="F459" s="3" t="s">
        <v>52</v>
      </c>
      <c r="G459" s="3" t="s">
        <v>25</v>
      </c>
      <c r="H459" s="3" t="s">
        <v>25</v>
      </c>
      <c r="I459" s="6">
        <v>44652</v>
      </c>
      <c r="J459" s="4">
        <v>0</v>
      </c>
      <c r="K459" s="4">
        <v>0</v>
      </c>
      <c r="L459" s="4">
        <v>0.114</v>
      </c>
      <c r="M459" s="4">
        <v>4.5600000000000002E-2</v>
      </c>
      <c r="N459" s="4">
        <v>0.114</v>
      </c>
      <c r="O459" s="4">
        <v>4.5600000000000002E-2</v>
      </c>
      <c r="P459" s="4">
        <v>0</v>
      </c>
      <c r="Q459" s="3" t="s">
        <v>26</v>
      </c>
      <c r="R459" s="3">
        <v>0</v>
      </c>
      <c r="S459" s="3" t="s">
        <v>297</v>
      </c>
      <c r="T459" s="3" t="s">
        <v>434</v>
      </c>
      <c r="U459" s="3">
        <v>0</v>
      </c>
      <c r="V459" s="3">
        <v>24</v>
      </c>
      <c r="W459" s="3">
        <v>63</v>
      </c>
    </row>
    <row r="460" spans="1:23" ht="11.25" customHeight="1" x14ac:dyDescent="0.25">
      <c r="A460" s="3" t="s">
        <v>21</v>
      </c>
      <c r="B460" s="3" t="s">
        <v>40</v>
      </c>
      <c r="C460" s="3" t="s">
        <v>23</v>
      </c>
      <c r="D460" s="3" t="s">
        <v>41</v>
      </c>
      <c r="E460" s="3" t="s">
        <v>50</v>
      </c>
      <c r="F460" s="3" t="s">
        <v>52</v>
      </c>
      <c r="G460" s="3" t="s">
        <v>25</v>
      </c>
      <c r="H460" s="3" t="s">
        <v>25</v>
      </c>
      <c r="I460" s="6">
        <v>44682</v>
      </c>
      <c r="J460" s="4">
        <v>0</v>
      </c>
      <c r="K460" s="4">
        <v>0</v>
      </c>
      <c r="L460" s="4">
        <v>0.16500000000000001</v>
      </c>
      <c r="M460" s="4">
        <v>6.6000000000000003E-2</v>
      </c>
      <c r="N460" s="4">
        <v>0.16500000000000001</v>
      </c>
      <c r="O460" s="4">
        <v>6.6000000000000003E-2</v>
      </c>
      <c r="P460" s="4">
        <v>0</v>
      </c>
      <c r="Q460" s="3" t="s">
        <v>26</v>
      </c>
      <c r="R460" s="3">
        <v>0</v>
      </c>
      <c r="S460" s="3" t="s">
        <v>298</v>
      </c>
      <c r="T460" s="3" t="s">
        <v>435</v>
      </c>
      <c r="U460" s="3">
        <v>0</v>
      </c>
      <c r="V460" s="3">
        <v>24</v>
      </c>
      <c r="W460" s="3">
        <v>63</v>
      </c>
    </row>
    <row r="461" spans="1:23" ht="11.25" customHeight="1" x14ac:dyDescent="0.25">
      <c r="A461" s="3" t="s">
        <v>21</v>
      </c>
      <c r="B461" s="3" t="s">
        <v>40</v>
      </c>
      <c r="C461" s="3" t="s">
        <v>23</v>
      </c>
      <c r="D461" s="3" t="s">
        <v>41</v>
      </c>
      <c r="E461" s="3" t="s">
        <v>50</v>
      </c>
      <c r="F461" s="3" t="s">
        <v>52</v>
      </c>
      <c r="G461" s="3" t="s">
        <v>25</v>
      </c>
      <c r="H461" s="3" t="s">
        <v>25</v>
      </c>
      <c r="I461" s="6">
        <v>44713</v>
      </c>
      <c r="J461" s="4">
        <v>0</v>
      </c>
      <c r="K461" s="4">
        <v>0</v>
      </c>
      <c r="L461" s="4">
        <v>0.14899999999999999</v>
      </c>
      <c r="M461" s="4">
        <v>5.96E-2</v>
      </c>
      <c r="N461" s="4">
        <v>0.14899999999999999</v>
      </c>
      <c r="O461" s="4">
        <v>5.96E-2</v>
      </c>
      <c r="P461" s="4">
        <v>0</v>
      </c>
      <c r="Q461" s="3" t="s">
        <v>26</v>
      </c>
      <c r="R461" s="3">
        <v>0</v>
      </c>
      <c r="S461" s="3" t="s">
        <v>299</v>
      </c>
      <c r="T461" s="3" t="s">
        <v>436</v>
      </c>
      <c r="U461" s="3">
        <v>0</v>
      </c>
      <c r="V461" s="3">
        <v>24</v>
      </c>
      <c r="W461" s="3">
        <v>63</v>
      </c>
    </row>
    <row r="462" spans="1:23" ht="11.25" customHeight="1" x14ac:dyDescent="0.25">
      <c r="A462" s="3" t="s">
        <v>21</v>
      </c>
      <c r="B462" s="3" t="s">
        <v>40</v>
      </c>
      <c r="C462" s="3" t="s">
        <v>23</v>
      </c>
      <c r="D462" s="3" t="s">
        <v>41</v>
      </c>
      <c r="E462" s="3" t="s">
        <v>50</v>
      </c>
      <c r="F462" s="3" t="s">
        <v>52</v>
      </c>
      <c r="G462" s="3" t="s">
        <v>25</v>
      </c>
      <c r="H462" s="3" t="s">
        <v>25</v>
      </c>
      <c r="I462" s="6">
        <v>44743</v>
      </c>
      <c r="J462" s="4">
        <v>0</v>
      </c>
      <c r="K462" s="4">
        <v>0</v>
      </c>
      <c r="L462" s="4">
        <v>0.10199999999999999</v>
      </c>
      <c r="M462" s="4">
        <v>4.0800000000000003E-2</v>
      </c>
      <c r="N462" s="4">
        <v>0.10199999999999999</v>
      </c>
      <c r="O462" s="4">
        <v>4.0800000000000003E-2</v>
      </c>
      <c r="P462" s="4">
        <v>0</v>
      </c>
      <c r="Q462" s="3" t="s">
        <v>26</v>
      </c>
      <c r="R462" s="3">
        <v>0</v>
      </c>
      <c r="S462" s="3" t="s">
        <v>300</v>
      </c>
      <c r="T462" s="3" t="s">
        <v>437</v>
      </c>
      <c r="U462" s="3">
        <v>0</v>
      </c>
      <c r="V462" s="3">
        <v>24</v>
      </c>
      <c r="W462" s="3">
        <v>63</v>
      </c>
    </row>
    <row r="463" spans="1:23" ht="11.25" customHeight="1" x14ac:dyDescent="0.25">
      <c r="A463" s="3" t="s">
        <v>21</v>
      </c>
      <c r="B463" s="3" t="s">
        <v>40</v>
      </c>
      <c r="C463" s="3" t="s">
        <v>23</v>
      </c>
      <c r="D463" s="3" t="s">
        <v>41</v>
      </c>
      <c r="E463" s="3" t="s">
        <v>50</v>
      </c>
      <c r="F463" s="3" t="s">
        <v>52</v>
      </c>
      <c r="G463" s="3" t="s">
        <v>25</v>
      </c>
      <c r="H463" s="3" t="s">
        <v>25</v>
      </c>
      <c r="I463" s="6">
        <v>44774</v>
      </c>
      <c r="J463" s="4">
        <v>0</v>
      </c>
      <c r="K463" s="4">
        <v>0</v>
      </c>
      <c r="L463" s="4">
        <v>0.22600000000000001</v>
      </c>
      <c r="M463" s="4">
        <v>9.0399999999999994E-2</v>
      </c>
      <c r="N463" s="4">
        <v>0.22600000000000001</v>
      </c>
      <c r="O463" s="4">
        <v>9.0399999999999994E-2</v>
      </c>
      <c r="P463" s="4">
        <v>0</v>
      </c>
      <c r="Q463" s="3" t="s">
        <v>26</v>
      </c>
      <c r="R463" s="3">
        <v>0</v>
      </c>
      <c r="S463" s="3" t="s">
        <v>301</v>
      </c>
      <c r="T463" s="3" t="s">
        <v>438</v>
      </c>
      <c r="U463" s="3">
        <v>0</v>
      </c>
      <c r="V463" s="3">
        <v>24</v>
      </c>
      <c r="W463" s="3">
        <v>63</v>
      </c>
    </row>
    <row r="464" spans="1:23" ht="11.25" customHeight="1" x14ac:dyDescent="0.25">
      <c r="A464" s="3" t="s">
        <v>21</v>
      </c>
      <c r="B464" s="3" t="s">
        <v>40</v>
      </c>
      <c r="C464" s="3" t="s">
        <v>23</v>
      </c>
      <c r="D464" s="3" t="s">
        <v>41</v>
      </c>
      <c r="E464" s="3" t="s">
        <v>53</v>
      </c>
      <c r="F464" s="3" t="s">
        <v>51</v>
      </c>
      <c r="G464" s="3" t="s">
        <v>25</v>
      </c>
      <c r="H464" s="3" t="s">
        <v>25</v>
      </c>
      <c r="I464" s="6">
        <v>44440</v>
      </c>
      <c r="J464" s="4">
        <v>0</v>
      </c>
      <c r="K464" s="4">
        <v>0</v>
      </c>
      <c r="L464" s="4">
        <v>45.56</v>
      </c>
      <c r="M464" s="4">
        <v>45.56</v>
      </c>
      <c r="N464" s="4">
        <v>45.56</v>
      </c>
      <c r="O464" s="4">
        <v>45.56</v>
      </c>
      <c r="P464" s="4">
        <v>0</v>
      </c>
      <c r="Q464" s="3" t="s">
        <v>26</v>
      </c>
      <c r="R464" s="3">
        <v>0</v>
      </c>
      <c r="S464" s="3" t="s">
        <v>290</v>
      </c>
      <c r="T464" s="3" t="s">
        <v>427</v>
      </c>
      <c r="U464" s="3">
        <v>0</v>
      </c>
      <c r="V464" s="3">
        <v>24</v>
      </c>
      <c r="W464" s="3">
        <v>63</v>
      </c>
    </row>
    <row r="465" spans="1:23" ht="11.25" customHeight="1" x14ac:dyDescent="0.25">
      <c r="A465" s="3" t="s">
        <v>28</v>
      </c>
      <c r="B465" s="3" t="s">
        <v>40</v>
      </c>
      <c r="C465" s="3" t="s">
        <v>23</v>
      </c>
      <c r="D465" s="3" t="s">
        <v>41</v>
      </c>
      <c r="E465" s="3" t="s">
        <v>53</v>
      </c>
      <c r="F465" s="3" t="s">
        <v>51</v>
      </c>
      <c r="G465" s="3" t="s">
        <v>25</v>
      </c>
      <c r="H465" s="3" t="s">
        <v>25</v>
      </c>
      <c r="I465" s="6">
        <v>44440</v>
      </c>
      <c r="J465" s="4">
        <v>0</v>
      </c>
      <c r="K465" s="4">
        <v>0</v>
      </c>
      <c r="L465" s="4">
        <v>5.1130000000000004</v>
      </c>
      <c r="M465" s="4">
        <v>5.1130000000000004</v>
      </c>
      <c r="N465" s="4">
        <v>5.1130000000000004</v>
      </c>
      <c r="O465" s="4">
        <v>5.1130000000000004</v>
      </c>
      <c r="P465" s="4">
        <v>0</v>
      </c>
      <c r="Q465" s="3" t="s">
        <v>26</v>
      </c>
      <c r="R465" s="3">
        <v>0</v>
      </c>
      <c r="S465" s="3" t="s">
        <v>290</v>
      </c>
      <c r="T465" s="3" t="s">
        <v>427</v>
      </c>
      <c r="U465" s="3">
        <v>0</v>
      </c>
      <c r="V465" s="3">
        <v>24</v>
      </c>
      <c r="W465" s="3">
        <v>63</v>
      </c>
    </row>
    <row r="466" spans="1:23" ht="11.25" customHeight="1" x14ac:dyDescent="0.25">
      <c r="A466" s="3" t="s">
        <v>21</v>
      </c>
      <c r="B466" s="3" t="s">
        <v>40</v>
      </c>
      <c r="C466" s="3" t="s">
        <v>23</v>
      </c>
      <c r="D466" s="3" t="s">
        <v>41</v>
      </c>
      <c r="E466" s="3" t="s">
        <v>53</v>
      </c>
      <c r="F466" s="3" t="s">
        <v>51</v>
      </c>
      <c r="G466" s="3" t="s">
        <v>25</v>
      </c>
      <c r="H466" s="3" t="s">
        <v>25</v>
      </c>
      <c r="I466" s="6">
        <v>44470</v>
      </c>
      <c r="J466" s="4">
        <v>0</v>
      </c>
      <c r="K466" s="4">
        <v>0</v>
      </c>
      <c r="L466" s="4">
        <v>57.811</v>
      </c>
      <c r="M466" s="4">
        <v>57.811</v>
      </c>
      <c r="N466" s="4">
        <v>57.811</v>
      </c>
      <c r="O466" s="4">
        <v>57.811</v>
      </c>
      <c r="P466" s="4">
        <v>0</v>
      </c>
      <c r="Q466" s="3" t="s">
        <v>26</v>
      </c>
      <c r="R466" s="3">
        <v>0</v>
      </c>
      <c r="S466" s="3" t="s">
        <v>291</v>
      </c>
      <c r="T466" s="3" t="s">
        <v>428</v>
      </c>
      <c r="U466" s="3">
        <v>0</v>
      </c>
      <c r="V466" s="3">
        <v>24</v>
      </c>
      <c r="W466" s="3">
        <v>63</v>
      </c>
    </row>
    <row r="467" spans="1:23" ht="11.25" customHeight="1" x14ac:dyDescent="0.25">
      <c r="A467" s="3" t="s">
        <v>28</v>
      </c>
      <c r="B467" s="3" t="s">
        <v>40</v>
      </c>
      <c r="C467" s="3" t="s">
        <v>23</v>
      </c>
      <c r="D467" s="3" t="s">
        <v>41</v>
      </c>
      <c r="E467" s="3" t="s">
        <v>53</v>
      </c>
      <c r="F467" s="3" t="s">
        <v>51</v>
      </c>
      <c r="G467" s="3" t="s">
        <v>25</v>
      </c>
      <c r="H467" s="3" t="s">
        <v>25</v>
      </c>
      <c r="I467" s="6">
        <v>44470</v>
      </c>
      <c r="J467" s="4">
        <v>0</v>
      </c>
      <c r="K467" s="4">
        <v>0</v>
      </c>
      <c r="L467" s="4">
        <v>12.606999999999999</v>
      </c>
      <c r="M467" s="4">
        <v>12.606999999999999</v>
      </c>
      <c r="N467" s="4">
        <v>12.606999999999999</v>
      </c>
      <c r="O467" s="4">
        <v>12.606999999999999</v>
      </c>
      <c r="P467" s="4">
        <v>0</v>
      </c>
      <c r="Q467" s="3" t="s">
        <v>26</v>
      </c>
      <c r="R467" s="3">
        <v>0</v>
      </c>
      <c r="S467" s="3" t="s">
        <v>291</v>
      </c>
      <c r="T467" s="3" t="s">
        <v>428</v>
      </c>
      <c r="U467" s="3">
        <v>0</v>
      </c>
      <c r="V467" s="3">
        <v>24</v>
      </c>
      <c r="W467" s="3">
        <v>63</v>
      </c>
    </row>
    <row r="468" spans="1:23" ht="11.25" customHeight="1" x14ac:dyDescent="0.25">
      <c r="A468" s="3" t="s">
        <v>21</v>
      </c>
      <c r="B468" s="3" t="s">
        <v>40</v>
      </c>
      <c r="C468" s="3" t="s">
        <v>23</v>
      </c>
      <c r="D468" s="3" t="s">
        <v>41</v>
      </c>
      <c r="E468" s="3" t="s">
        <v>53</v>
      </c>
      <c r="F468" s="3" t="s">
        <v>51</v>
      </c>
      <c r="G468" s="3" t="s">
        <v>25</v>
      </c>
      <c r="H468" s="3" t="s">
        <v>25</v>
      </c>
      <c r="I468" s="6">
        <v>44501</v>
      </c>
      <c r="J468" s="4">
        <v>0</v>
      </c>
      <c r="K468" s="4">
        <v>0</v>
      </c>
      <c r="L468" s="4">
        <v>63.508000000000003</v>
      </c>
      <c r="M468" s="4">
        <v>63.508000000000003</v>
      </c>
      <c r="N468" s="4">
        <v>63.508000000000003</v>
      </c>
      <c r="O468" s="4">
        <v>63.508000000000003</v>
      </c>
      <c r="P468" s="4">
        <v>0</v>
      </c>
      <c r="Q468" s="3" t="s">
        <v>26</v>
      </c>
      <c r="R468" s="3">
        <v>0</v>
      </c>
      <c r="S468" s="3" t="s">
        <v>292</v>
      </c>
      <c r="T468" s="3" t="s">
        <v>429</v>
      </c>
      <c r="U468" s="3">
        <v>0</v>
      </c>
      <c r="V468" s="3">
        <v>24</v>
      </c>
      <c r="W468" s="3">
        <v>63</v>
      </c>
    </row>
    <row r="469" spans="1:23" ht="11.25" customHeight="1" x14ac:dyDescent="0.25">
      <c r="A469" s="3" t="s">
        <v>28</v>
      </c>
      <c r="B469" s="3" t="s">
        <v>40</v>
      </c>
      <c r="C469" s="3" t="s">
        <v>23</v>
      </c>
      <c r="D469" s="3" t="s">
        <v>41</v>
      </c>
      <c r="E469" s="3" t="s">
        <v>53</v>
      </c>
      <c r="F469" s="3" t="s">
        <v>51</v>
      </c>
      <c r="G469" s="3" t="s">
        <v>25</v>
      </c>
      <c r="H469" s="3" t="s">
        <v>25</v>
      </c>
      <c r="I469" s="6">
        <v>44501</v>
      </c>
      <c r="J469" s="4">
        <v>0</v>
      </c>
      <c r="K469" s="4">
        <v>0</v>
      </c>
      <c r="L469" s="4">
        <v>12.029</v>
      </c>
      <c r="M469" s="4">
        <v>12.029</v>
      </c>
      <c r="N469" s="4">
        <v>12.029</v>
      </c>
      <c r="O469" s="4">
        <v>12.029</v>
      </c>
      <c r="P469" s="4">
        <v>0</v>
      </c>
      <c r="Q469" s="3" t="s">
        <v>26</v>
      </c>
      <c r="R469" s="3">
        <v>0</v>
      </c>
      <c r="S469" s="3" t="s">
        <v>292</v>
      </c>
      <c r="T469" s="3" t="s">
        <v>429</v>
      </c>
      <c r="U469" s="3">
        <v>0</v>
      </c>
      <c r="V469" s="3">
        <v>24</v>
      </c>
      <c r="W469" s="3">
        <v>63</v>
      </c>
    </row>
    <row r="470" spans="1:23" ht="11.25" customHeight="1" x14ac:dyDescent="0.25">
      <c r="A470" s="3" t="s">
        <v>21</v>
      </c>
      <c r="B470" s="3" t="s">
        <v>40</v>
      </c>
      <c r="C470" s="3" t="s">
        <v>23</v>
      </c>
      <c r="D470" s="3" t="s">
        <v>41</v>
      </c>
      <c r="E470" s="3" t="s">
        <v>53</v>
      </c>
      <c r="F470" s="3" t="s">
        <v>51</v>
      </c>
      <c r="G470" s="3" t="s">
        <v>25</v>
      </c>
      <c r="H470" s="3" t="s">
        <v>25</v>
      </c>
      <c r="I470" s="6">
        <v>44531</v>
      </c>
      <c r="J470" s="4">
        <v>0</v>
      </c>
      <c r="K470" s="4">
        <v>0</v>
      </c>
      <c r="L470" s="4">
        <v>75.221999999999994</v>
      </c>
      <c r="M470" s="4">
        <v>75.221999999999994</v>
      </c>
      <c r="N470" s="4">
        <v>75.221999999999994</v>
      </c>
      <c r="O470" s="4">
        <v>75.221999999999994</v>
      </c>
      <c r="P470" s="4">
        <v>0</v>
      </c>
      <c r="Q470" s="3" t="s">
        <v>26</v>
      </c>
      <c r="R470" s="3">
        <v>0</v>
      </c>
      <c r="S470" s="3" t="s">
        <v>293</v>
      </c>
      <c r="T470" s="3" t="s">
        <v>430</v>
      </c>
      <c r="U470" s="3">
        <v>0</v>
      </c>
      <c r="V470" s="3">
        <v>24</v>
      </c>
      <c r="W470" s="3">
        <v>63</v>
      </c>
    </row>
    <row r="471" spans="1:23" ht="11.25" customHeight="1" x14ac:dyDescent="0.25">
      <c r="A471" s="3" t="s">
        <v>28</v>
      </c>
      <c r="B471" s="3" t="s">
        <v>40</v>
      </c>
      <c r="C471" s="3" t="s">
        <v>23</v>
      </c>
      <c r="D471" s="3" t="s">
        <v>41</v>
      </c>
      <c r="E471" s="3" t="s">
        <v>53</v>
      </c>
      <c r="F471" s="3" t="s">
        <v>51</v>
      </c>
      <c r="G471" s="3" t="s">
        <v>25</v>
      </c>
      <c r="H471" s="3" t="s">
        <v>25</v>
      </c>
      <c r="I471" s="6">
        <v>44531</v>
      </c>
      <c r="J471" s="4">
        <v>0</v>
      </c>
      <c r="K471" s="4">
        <v>0</v>
      </c>
      <c r="L471" s="4">
        <v>16.344999999999999</v>
      </c>
      <c r="M471" s="4">
        <v>16.344999999999999</v>
      </c>
      <c r="N471" s="4">
        <v>16.344999999999999</v>
      </c>
      <c r="O471" s="4">
        <v>16.344999999999999</v>
      </c>
      <c r="P471" s="4">
        <v>0</v>
      </c>
      <c r="Q471" s="3" t="s">
        <v>26</v>
      </c>
      <c r="R471" s="3">
        <v>0</v>
      </c>
      <c r="S471" s="3" t="s">
        <v>293</v>
      </c>
      <c r="T471" s="3" t="s">
        <v>430</v>
      </c>
      <c r="U471" s="3">
        <v>0</v>
      </c>
      <c r="V471" s="3">
        <v>24</v>
      </c>
      <c r="W471" s="3">
        <v>63</v>
      </c>
    </row>
    <row r="472" spans="1:23" ht="11.25" customHeight="1" x14ac:dyDescent="0.25">
      <c r="A472" s="3" t="s">
        <v>21</v>
      </c>
      <c r="B472" s="3" t="s">
        <v>40</v>
      </c>
      <c r="C472" s="3" t="s">
        <v>23</v>
      </c>
      <c r="D472" s="3" t="s">
        <v>41</v>
      </c>
      <c r="E472" s="3" t="s">
        <v>53</v>
      </c>
      <c r="F472" s="3" t="s">
        <v>51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82.271000000000001</v>
      </c>
      <c r="M472" s="4">
        <v>82.271000000000001</v>
      </c>
      <c r="N472" s="4">
        <v>82.271000000000001</v>
      </c>
      <c r="O472" s="4">
        <v>82.271000000000001</v>
      </c>
      <c r="P472" s="4">
        <v>0</v>
      </c>
      <c r="Q472" s="3" t="s">
        <v>26</v>
      </c>
      <c r="R472" s="3">
        <v>0</v>
      </c>
      <c r="S472" s="3" t="s">
        <v>294</v>
      </c>
      <c r="T472" s="3" t="s">
        <v>431</v>
      </c>
      <c r="U472" s="3">
        <v>0</v>
      </c>
      <c r="V472" s="3">
        <v>24</v>
      </c>
      <c r="W472" s="3">
        <v>63</v>
      </c>
    </row>
    <row r="473" spans="1:23" ht="11.25" customHeight="1" x14ac:dyDescent="0.25">
      <c r="A473" s="3" t="s">
        <v>28</v>
      </c>
      <c r="B473" s="3" t="s">
        <v>40</v>
      </c>
      <c r="C473" s="3" t="s">
        <v>23</v>
      </c>
      <c r="D473" s="3" t="s">
        <v>41</v>
      </c>
      <c r="E473" s="3" t="s">
        <v>53</v>
      </c>
      <c r="F473" s="3" t="s">
        <v>51</v>
      </c>
      <c r="G473" s="3" t="s">
        <v>25</v>
      </c>
      <c r="H473" s="3" t="s">
        <v>25</v>
      </c>
      <c r="I473" s="6">
        <v>44562</v>
      </c>
      <c r="J473" s="4">
        <v>0</v>
      </c>
      <c r="K473" s="4">
        <v>0</v>
      </c>
      <c r="L473" s="4">
        <v>19.469000000000001</v>
      </c>
      <c r="M473" s="4">
        <v>19.469000000000001</v>
      </c>
      <c r="N473" s="4">
        <v>19.469000000000001</v>
      </c>
      <c r="O473" s="4">
        <v>19.469000000000001</v>
      </c>
      <c r="P473" s="4">
        <v>0</v>
      </c>
      <c r="Q473" s="3" t="s">
        <v>26</v>
      </c>
      <c r="R473" s="3">
        <v>0</v>
      </c>
      <c r="S473" s="3" t="s">
        <v>294</v>
      </c>
      <c r="T473" s="3" t="s">
        <v>431</v>
      </c>
      <c r="U473" s="3">
        <v>0</v>
      </c>
      <c r="V473" s="3">
        <v>24</v>
      </c>
      <c r="W473" s="3">
        <v>63</v>
      </c>
    </row>
    <row r="474" spans="1:23" ht="11.25" customHeight="1" x14ac:dyDescent="0.25">
      <c r="A474" s="3" t="s">
        <v>21</v>
      </c>
      <c r="B474" s="3" t="s">
        <v>40</v>
      </c>
      <c r="C474" s="3" t="s">
        <v>23</v>
      </c>
      <c r="D474" s="3" t="s">
        <v>41</v>
      </c>
      <c r="E474" s="3" t="s">
        <v>53</v>
      </c>
      <c r="F474" s="3" t="s">
        <v>51</v>
      </c>
      <c r="G474" s="3" t="s">
        <v>25</v>
      </c>
      <c r="H474" s="3" t="s">
        <v>25</v>
      </c>
      <c r="I474" s="6">
        <v>44593</v>
      </c>
      <c r="J474" s="4">
        <v>0</v>
      </c>
      <c r="K474" s="4">
        <v>0</v>
      </c>
      <c r="L474" s="4">
        <v>84.971999999999994</v>
      </c>
      <c r="M474" s="4">
        <v>84.971999999999994</v>
      </c>
      <c r="N474" s="4">
        <v>84.971999999999994</v>
      </c>
      <c r="O474" s="4">
        <v>84.971999999999994</v>
      </c>
      <c r="P474" s="4">
        <v>0</v>
      </c>
      <c r="Q474" s="3" t="s">
        <v>26</v>
      </c>
      <c r="R474" s="3">
        <v>0</v>
      </c>
      <c r="S474" s="3" t="s">
        <v>295</v>
      </c>
      <c r="T474" s="3" t="s">
        <v>432</v>
      </c>
      <c r="U474" s="3">
        <v>0</v>
      </c>
      <c r="V474" s="3">
        <v>24</v>
      </c>
      <c r="W474" s="3">
        <v>63</v>
      </c>
    </row>
    <row r="475" spans="1:23" ht="11.25" customHeight="1" x14ac:dyDescent="0.25">
      <c r="A475" s="3" t="s">
        <v>27</v>
      </c>
      <c r="B475" s="3" t="s">
        <v>40</v>
      </c>
      <c r="C475" s="3" t="s">
        <v>23</v>
      </c>
      <c r="D475" s="3" t="s">
        <v>41</v>
      </c>
      <c r="E475" s="3" t="s">
        <v>53</v>
      </c>
      <c r="F475" s="3" t="s">
        <v>51</v>
      </c>
      <c r="G475" s="3" t="s">
        <v>25</v>
      </c>
      <c r="H475" s="3" t="s">
        <v>25</v>
      </c>
      <c r="I475" s="6">
        <v>44593</v>
      </c>
      <c r="J475" s="4">
        <v>0</v>
      </c>
      <c r="K475" s="4">
        <v>0</v>
      </c>
      <c r="L475" s="4">
        <v>-2</v>
      </c>
      <c r="M475" s="4">
        <v>-2</v>
      </c>
      <c r="N475" s="4">
        <v>-2</v>
      </c>
      <c r="O475" s="4">
        <v>-2</v>
      </c>
      <c r="P475" s="4">
        <v>0</v>
      </c>
      <c r="Q475" s="3" t="s">
        <v>26</v>
      </c>
      <c r="R475" s="3">
        <v>0</v>
      </c>
      <c r="S475" s="3" t="s">
        <v>295</v>
      </c>
      <c r="T475" s="3" t="s">
        <v>432</v>
      </c>
      <c r="U475" s="3">
        <v>0</v>
      </c>
      <c r="V475" s="3">
        <v>24</v>
      </c>
      <c r="W475" s="3">
        <v>63</v>
      </c>
    </row>
    <row r="476" spans="1:23" ht="11.25" customHeight="1" x14ac:dyDescent="0.25">
      <c r="A476" s="3" t="s">
        <v>28</v>
      </c>
      <c r="B476" s="3" t="s">
        <v>40</v>
      </c>
      <c r="C476" s="3" t="s">
        <v>23</v>
      </c>
      <c r="D476" s="3" t="s">
        <v>41</v>
      </c>
      <c r="E476" s="3" t="s">
        <v>53</v>
      </c>
      <c r="F476" s="3" t="s">
        <v>51</v>
      </c>
      <c r="G476" s="3" t="s">
        <v>25</v>
      </c>
      <c r="H476" s="3" t="s">
        <v>25</v>
      </c>
      <c r="I476" s="6">
        <v>44593</v>
      </c>
      <c r="J476" s="4">
        <v>0</v>
      </c>
      <c r="K476" s="4">
        <v>0</v>
      </c>
      <c r="L476" s="4">
        <v>17.23</v>
      </c>
      <c r="M476" s="4">
        <v>17.23</v>
      </c>
      <c r="N476" s="4">
        <v>17.23</v>
      </c>
      <c r="O476" s="4">
        <v>17.23</v>
      </c>
      <c r="P476" s="4">
        <v>0</v>
      </c>
      <c r="Q476" s="3" t="s">
        <v>26</v>
      </c>
      <c r="R476" s="3">
        <v>0</v>
      </c>
      <c r="S476" s="3" t="s">
        <v>295</v>
      </c>
      <c r="T476" s="3" t="s">
        <v>432</v>
      </c>
      <c r="U476" s="3">
        <v>0</v>
      </c>
      <c r="V476" s="3">
        <v>24</v>
      </c>
      <c r="W476" s="3">
        <v>63</v>
      </c>
    </row>
    <row r="477" spans="1:23" ht="11.25" customHeight="1" x14ac:dyDescent="0.25">
      <c r="A477" s="3" t="s">
        <v>21</v>
      </c>
      <c r="B477" s="3" t="s">
        <v>40</v>
      </c>
      <c r="C477" s="3" t="s">
        <v>23</v>
      </c>
      <c r="D477" s="3" t="s">
        <v>41</v>
      </c>
      <c r="E477" s="3" t="s">
        <v>53</v>
      </c>
      <c r="F477" s="3" t="s">
        <v>51</v>
      </c>
      <c r="G477" s="3" t="s">
        <v>25</v>
      </c>
      <c r="H477" s="3" t="s">
        <v>25</v>
      </c>
      <c r="I477" s="6">
        <v>44621</v>
      </c>
      <c r="J477" s="4">
        <v>0</v>
      </c>
      <c r="K477" s="4">
        <v>0</v>
      </c>
      <c r="L477" s="4">
        <v>82.183999999999997</v>
      </c>
      <c r="M477" s="4">
        <v>82.183999999999997</v>
      </c>
      <c r="N477" s="4">
        <v>82.183999999999997</v>
      </c>
      <c r="O477" s="4">
        <v>82.183999999999997</v>
      </c>
      <c r="P477" s="4">
        <v>0</v>
      </c>
      <c r="Q477" s="3" t="s">
        <v>26</v>
      </c>
      <c r="R477" s="3">
        <v>0</v>
      </c>
      <c r="S477" s="3" t="s">
        <v>296</v>
      </c>
      <c r="T477" s="3" t="s">
        <v>433</v>
      </c>
      <c r="U477" s="3">
        <v>0</v>
      </c>
      <c r="V477" s="3">
        <v>24</v>
      </c>
      <c r="W477" s="3">
        <v>63</v>
      </c>
    </row>
    <row r="478" spans="1:23" ht="11.25" customHeight="1" x14ac:dyDescent="0.25">
      <c r="A478" s="3" t="s">
        <v>28</v>
      </c>
      <c r="B478" s="3" t="s">
        <v>40</v>
      </c>
      <c r="C478" s="3" t="s">
        <v>23</v>
      </c>
      <c r="D478" s="3" t="s">
        <v>41</v>
      </c>
      <c r="E478" s="3" t="s">
        <v>53</v>
      </c>
      <c r="F478" s="3" t="s">
        <v>51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21.934000000000001</v>
      </c>
      <c r="M478" s="4">
        <v>21.934000000000001</v>
      </c>
      <c r="N478" s="4">
        <v>21.934000000000001</v>
      </c>
      <c r="O478" s="4">
        <v>21.934000000000001</v>
      </c>
      <c r="P478" s="4">
        <v>0</v>
      </c>
      <c r="Q478" s="3" t="s">
        <v>26</v>
      </c>
      <c r="R478" s="3">
        <v>0</v>
      </c>
      <c r="S478" s="3" t="s">
        <v>296</v>
      </c>
      <c r="T478" s="3" t="s">
        <v>433</v>
      </c>
      <c r="U478" s="3">
        <v>0</v>
      </c>
      <c r="V478" s="3">
        <v>24</v>
      </c>
      <c r="W478" s="3">
        <v>63</v>
      </c>
    </row>
    <row r="479" spans="1:23" ht="11.25" customHeight="1" x14ac:dyDescent="0.25">
      <c r="A479" s="3" t="s">
        <v>21</v>
      </c>
      <c r="B479" s="3" t="s">
        <v>40</v>
      </c>
      <c r="C479" s="3" t="s">
        <v>23</v>
      </c>
      <c r="D479" s="3" t="s">
        <v>41</v>
      </c>
      <c r="E479" s="3" t="s">
        <v>53</v>
      </c>
      <c r="F479" s="3" t="s">
        <v>51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82.19</v>
      </c>
      <c r="M479" s="4">
        <v>82.19</v>
      </c>
      <c r="N479" s="4">
        <v>82.19</v>
      </c>
      <c r="O479" s="4">
        <v>82.19</v>
      </c>
      <c r="P479" s="4">
        <v>0</v>
      </c>
      <c r="Q479" s="3" t="s">
        <v>26</v>
      </c>
      <c r="R479" s="3">
        <v>0</v>
      </c>
      <c r="S479" s="3" t="s">
        <v>297</v>
      </c>
      <c r="T479" s="3" t="s">
        <v>434</v>
      </c>
      <c r="U479" s="3">
        <v>0</v>
      </c>
      <c r="V479" s="3">
        <v>24</v>
      </c>
      <c r="W479" s="3">
        <v>63</v>
      </c>
    </row>
    <row r="480" spans="1:23" ht="11.25" customHeight="1" x14ac:dyDescent="0.25">
      <c r="A480" s="3" t="s">
        <v>27</v>
      </c>
      <c r="B480" s="3" t="s">
        <v>40</v>
      </c>
      <c r="C480" s="3" t="s">
        <v>23</v>
      </c>
      <c r="D480" s="3" t="s">
        <v>41</v>
      </c>
      <c r="E480" s="3" t="s">
        <v>53</v>
      </c>
      <c r="F480" s="3" t="s">
        <v>51</v>
      </c>
      <c r="G480" s="3" t="s">
        <v>25</v>
      </c>
      <c r="H480" s="3" t="s">
        <v>25</v>
      </c>
      <c r="I480" s="6">
        <v>44652</v>
      </c>
      <c r="J480" s="4">
        <v>0</v>
      </c>
      <c r="K480" s="4">
        <v>0</v>
      </c>
      <c r="L480" s="4">
        <v>-1.958</v>
      </c>
      <c r="M480" s="4">
        <v>-1.958</v>
      </c>
      <c r="N480" s="4">
        <v>-1.958</v>
      </c>
      <c r="O480" s="4">
        <v>-1.958</v>
      </c>
      <c r="P480" s="4">
        <v>0</v>
      </c>
      <c r="Q480" s="3" t="s">
        <v>26</v>
      </c>
      <c r="R480" s="3">
        <v>0</v>
      </c>
      <c r="S480" s="3" t="s">
        <v>297</v>
      </c>
      <c r="T480" s="3" t="s">
        <v>434</v>
      </c>
      <c r="U480" s="3">
        <v>0</v>
      </c>
      <c r="V480" s="3">
        <v>24</v>
      </c>
      <c r="W480" s="3">
        <v>63</v>
      </c>
    </row>
    <row r="481" spans="1:23" ht="11.25" customHeight="1" x14ac:dyDescent="0.25">
      <c r="A481" s="3" t="s">
        <v>28</v>
      </c>
      <c r="B481" s="3" t="s">
        <v>40</v>
      </c>
      <c r="C481" s="3" t="s">
        <v>23</v>
      </c>
      <c r="D481" s="3" t="s">
        <v>41</v>
      </c>
      <c r="E481" s="3" t="s">
        <v>53</v>
      </c>
      <c r="F481" s="3" t="s">
        <v>51</v>
      </c>
      <c r="G481" s="3" t="s">
        <v>25</v>
      </c>
      <c r="H481" s="3" t="s">
        <v>25</v>
      </c>
      <c r="I481" s="6">
        <v>44652</v>
      </c>
      <c r="J481" s="4">
        <v>0</v>
      </c>
      <c r="K481" s="4">
        <v>0</v>
      </c>
      <c r="L481" s="4">
        <v>20.260999999999999</v>
      </c>
      <c r="M481" s="4">
        <v>20.260999999999999</v>
      </c>
      <c r="N481" s="4">
        <v>20.260999999999999</v>
      </c>
      <c r="O481" s="4">
        <v>20.260999999999999</v>
      </c>
      <c r="P481" s="4">
        <v>0</v>
      </c>
      <c r="Q481" s="3" t="s">
        <v>26</v>
      </c>
      <c r="R481" s="3">
        <v>0</v>
      </c>
      <c r="S481" s="3" t="s">
        <v>297</v>
      </c>
      <c r="T481" s="3" t="s">
        <v>434</v>
      </c>
      <c r="U481" s="3">
        <v>0</v>
      </c>
      <c r="V481" s="3">
        <v>24</v>
      </c>
      <c r="W481" s="3">
        <v>63</v>
      </c>
    </row>
    <row r="482" spans="1:23" ht="11.25" customHeight="1" x14ac:dyDescent="0.25">
      <c r="A482" s="3" t="s">
        <v>21</v>
      </c>
      <c r="B482" s="3" t="s">
        <v>40</v>
      </c>
      <c r="C482" s="3" t="s">
        <v>23</v>
      </c>
      <c r="D482" s="3" t="s">
        <v>41</v>
      </c>
      <c r="E482" s="3" t="s">
        <v>53</v>
      </c>
      <c r="F482" s="3" t="s">
        <v>51</v>
      </c>
      <c r="G482" s="3" t="s">
        <v>25</v>
      </c>
      <c r="H482" s="3" t="s">
        <v>25</v>
      </c>
      <c r="I482" s="6">
        <v>44682</v>
      </c>
      <c r="J482" s="4">
        <v>0</v>
      </c>
      <c r="K482" s="4">
        <v>0</v>
      </c>
      <c r="L482" s="4">
        <v>75.430999999999997</v>
      </c>
      <c r="M482" s="4">
        <v>75.430999999999997</v>
      </c>
      <c r="N482" s="4">
        <v>75.430999999999997</v>
      </c>
      <c r="O482" s="4">
        <v>75.430999999999997</v>
      </c>
      <c r="P482" s="4">
        <v>0</v>
      </c>
      <c r="Q482" s="3" t="s">
        <v>26</v>
      </c>
      <c r="R482" s="3">
        <v>0</v>
      </c>
      <c r="S482" s="3" t="s">
        <v>298</v>
      </c>
      <c r="T482" s="3" t="s">
        <v>435</v>
      </c>
      <c r="U482" s="3">
        <v>0</v>
      </c>
      <c r="V482" s="3">
        <v>24</v>
      </c>
      <c r="W482" s="3">
        <v>63</v>
      </c>
    </row>
    <row r="483" spans="1:23" ht="11.25" customHeight="1" x14ac:dyDescent="0.25">
      <c r="A483" s="3" t="s">
        <v>28</v>
      </c>
      <c r="B483" s="3" t="s">
        <v>40</v>
      </c>
      <c r="C483" s="3" t="s">
        <v>23</v>
      </c>
      <c r="D483" s="3" t="s">
        <v>41</v>
      </c>
      <c r="E483" s="3" t="s">
        <v>53</v>
      </c>
      <c r="F483" s="3" t="s">
        <v>51</v>
      </c>
      <c r="G483" s="3" t="s">
        <v>25</v>
      </c>
      <c r="H483" s="3" t="s">
        <v>25</v>
      </c>
      <c r="I483" s="6">
        <v>44682</v>
      </c>
      <c r="J483" s="4">
        <v>0</v>
      </c>
      <c r="K483" s="4">
        <v>0</v>
      </c>
      <c r="L483" s="4">
        <v>21.283000000000001</v>
      </c>
      <c r="M483" s="4">
        <v>21.283000000000001</v>
      </c>
      <c r="N483" s="4">
        <v>21.283000000000001</v>
      </c>
      <c r="O483" s="4">
        <v>21.283000000000001</v>
      </c>
      <c r="P483" s="4">
        <v>0</v>
      </c>
      <c r="Q483" s="3" t="s">
        <v>26</v>
      </c>
      <c r="R483" s="3">
        <v>0</v>
      </c>
      <c r="S483" s="3" t="s">
        <v>298</v>
      </c>
      <c r="T483" s="3" t="s">
        <v>435</v>
      </c>
      <c r="U483" s="3">
        <v>0</v>
      </c>
      <c r="V483" s="3">
        <v>24</v>
      </c>
      <c r="W483" s="3">
        <v>63</v>
      </c>
    </row>
    <row r="484" spans="1:23" ht="11.25" customHeight="1" x14ac:dyDescent="0.25">
      <c r="A484" s="3" t="s">
        <v>21</v>
      </c>
      <c r="B484" s="3" t="s">
        <v>40</v>
      </c>
      <c r="C484" s="3" t="s">
        <v>23</v>
      </c>
      <c r="D484" s="3" t="s">
        <v>41</v>
      </c>
      <c r="E484" s="3" t="s">
        <v>53</v>
      </c>
      <c r="F484" s="3" t="s">
        <v>51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49.536000000000001</v>
      </c>
      <c r="M484" s="4">
        <v>49.536000000000001</v>
      </c>
      <c r="N484" s="4">
        <v>49.536000000000001</v>
      </c>
      <c r="O484" s="4">
        <v>49.536000000000001</v>
      </c>
      <c r="P484" s="4">
        <v>0</v>
      </c>
      <c r="Q484" s="3" t="s">
        <v>26</v>
      </c>
      <c r="R484" s="3">
        <v>0</v>
      </c>
      <c r="S484" s="3" t="s">
        <v>299</v>
      </c>
      <c r="T484" s="3" t="s">
        <v>436</v>
      </c>
      <c r="U484" s="3">
        <v>0</v>
      </c>
      <c r="V484" s="3">
        <v>24</v>
      </c>
      <c r="W484" s="3">
        <v>63</v>
      </c>
    </row>
    <row r="485" spans="1:23" ht="11.25" customHeight="1" x14ac:dyDescent="0.25">
      <c r="A485" s="3" t="s">
        <v>28</v>
      </c>
      <c r="B485" s="3" t="s">
        <v>40</v>
      </c>
      <c r="C485" s="3" t="s">
        <v>23</v>
      </c>
      <c r="D485" s="3" t="s">
        <v>41</v>
      </c>
      <c r="E485" s="3" t="s">
        <v>53</v>
      </c>
      <c r="F485" s="3" t="s">
        <v>51</v>
      </c>
      <c r="G485" s="3" t="s">
        <v>25</v>
      </c>
      <c r="H485" s="3" t="s">
        <v>25</v>
      </c>
      <c r="I485" s="6">
        <v>44713</v>
      </c>
      <c r="J485" s="4">
        <v>0</v>
      </c>
      <c r="K485" s="4">
        <v>0</v>
      </c>
      <c r="L485" s="4">
        <v>14.411</v>
      </c>
      <c r="M485" s="4">
        <v>14.411</v>
      </c>
      <c r="N485" s="4">
        <v>14.411</v>
      </c>
      <c r="O485" s="4">
        <v>14.411</v>
      </c>
      <c r="P485" s="4">
        <v>0</v>
      </c>
      <c r="Q485" s="3" t="s">
        <v>26</v>
      </c>
      <c r="R485" s="3">
        <v>0</v>
      </c>
      <c r="S485" s="3" t="s">
        <v>299</v>
      </c>
      <c r="T485" s="3" t="s">
        <v>436</v>
      </c>
      <c r="U485" s="3">
        <v>0</v>
      </c>
      <c r="V485" s="3">
        <v>24</v>
      </c>
      <c r="W485" s="3">
        <v>63</v>
      </c>
    </row>
    <row r="486" spans="1:23" ht="11.25" customHeight="1" x14ac:dyDescent="0.25">
      <c r="A486" s="3" t="s">
        <v>21</v>
      </c>
      <c r="B486" s="3" t="s">
        <v>40</v>
      </c>
      <c r="C486" s="3" t="s">
        <v>23</v>
      </c>
      <c r="D486" s="3" t="s">
        <v>41</v>
      </c>
      <c r="E486" s="3" t="s">
        <v>53</v>
      </c>
      <c r="F486" s="3" t="s">
        <v>51</v>
      </c>
      <c r="G486" s="3" t="s">
        <v>25</v>
      </c>
      <c r="H486" s="3" t="s">
        <v>25</v>
      </c>
      <c r="I486" s="6">
        <v>44743</v>
      </c>
      <c r="J486" s="4">
        <v>0</v>
      </c>
      <c r="K486" s="4">
        <v>0</v>
      </c>
      <c r="L486" s="4">
        <v>34.773000000000003</v>
      </c>
      <c r="M486" s="4">
        <v>34.773000000000003</v>
      </c>
      <c r="N486" s="4">
        <v>34.773000000000003</v>
      </c>
      <c r="O486" s="4">
        <v>34.773000000000003</v>
      </c>
      <c r="P486" s="4">
        <v>0</v>
      </c>
      <c r="Q486" s="3" t="s">
        <v>26</v>
      </c>
      <c r="R486" s="3">
        <v>0</v>
      </c>
      <c r="S486" s="3" t="s">
        <v>300</v>
      </c>
      <c r="T486" s="3" t="s">
        <v>437</v>
      </c>
      <c r="U486" s="3">
        <v>0</v>
      </c>
      <c r="V486" s="3">
        <v>24</v>
      </c>
      <c r="W486" s="3">
        <v>63</v>
      </c>
    </row>
    <row r="487" spans="1:23" ht="11.25" customHeight="1" x14ac:dyDescent="0.25">
      <c r="A487" s="3" t="s">
        <v>21</v>
      </c>
      <c r="B487" s="3" t="s">
        <v>40</v>
      </c>
      <c r="C487" s="3" t="s">
        <v>23</v>
      </c>
      <c r="D487" s="3" t="s">
        <v>41</v>
      </c>
      <c r="E487" s="3" t="s">
        <v>53</v>
      </c>
      <c r="F487" s="3" t="s">
        <v>51</v>
      </c>
      <c r="G487" s="3" t="s">
        <v>25</v>
      </c>
      <c r="H487" s="3" t="s">
        <v>25</v>
      </c>
      <c r="I487" s="6">
        <v>44774</v>
      </c>
      <c r="J487" s="4">
        <v>0</v>
      </c>
      <c r="K487" s="4">
        <v>0</v>
      </c>
      <c r="L487" s="4">
        <v>33.787999999999997</v>
      </c>
      <c r="M487" s="4">
        <v>33.787999999999997</v>
      </c>
      <c r="N487" s="4">
        <v>33.787999999999997</v>
      </c>
      <c r="O487" s="4">
        <v>33.787999999999997</v>
      </c>
      <c r="P487" s="4">
        <v>0</v>
      </c>
      <c r="Q487" s="3" t="s">
        <v>26</v>
      </c>
      <c r="R487" s="3">
        <v>0</v>
      </c>
      <c r="S487" s="3" t="s">
        <v>301</v>
      </c>
      <c r="T487" s="3" t="s">
        <v>438</v>
      </c>
      <c r="U487" s="3">
        <v>0</v>
      </c>
      <c r="V487" s="3">
        <v>24</v>
      </c>
      <c r="W487" s="3">
        <v>63</v>
      </c>
    </row>
    <row r="488" spans="1:23" ht="11.25" customHeight="1" x14ac:dyDescent="0.25">
      <c r="A488" s="3" t="s">
        <v>28</v>
      </c>
      <c r="B488" s="3" t="s">
        <v>40</v>
      </c>
      <c r="C488" s="3" t="s">
        <v>23</v>
      </c>
      <c r="D488" s="3" t="s">
        <v>41</v>
      </c>
      <c r="E488" s="3" t="s">
        <v>53</v>
      </c>
      <c r="F488" s="3" t="s">
        <v>51</v>
      </c>
      <c r="G488" s="3" t="s">
        <v>25</v>
      </c>
      <c r="H488" s="3" t="s">
        <v>25</v>
      </c>
      <c r="I488" s="6">
        <v>44774</v>
      </c>
      <c r="J488" s="4">
        <v>0</v>
      </c>
      <c r="K488" s="4">
        <v>0</v>
      </c>
      <c r="L488" s="4">
        <v>10.808999999999999</v>
      </c>
      <c r="M488" s="4">
        <v>10.808999999999999</v>
      </c>
      <c r="N488" s="4">
        <v>10.808999999999999</v>
      </c>
      <c r="O488" s="4">
        <v>10.808999999999999</v>
      </c>
      <c r="P488" s="4">
        <v>0</v>
      </c>
      <c r="Q488" s="3" t="s">
        <v>26</v>
      </c>
      <c r="R488" s="3">
        <v>0</v>
      </c>
      <c r="S488" s="3" t="s">
        <v>301</v>
      </c>
      <c r="T488" s="3" t="s">
        <v>438</v>
      </c>
      <c r="U488" s="3">
        <v>0</v>
      </c>
      <c r="V488" s="3">
        <v>24</v>
      </c>
      <c r="W488" s="3">
        <v>63</v>
      </c>
    </row>
    <row r="489" spans="1:23" ht="11.25" customHeight="1" x14ac:dyDescent="0.25">
      <c r="A489" s="3" t="s">
        <v>21</v>
      </c>
      <c r="B489" s="3" t="s">
        <v>40</v>
      </c>
      <c r="C489" s="3" t="s">
        <v>23</v>
      </c>
      <c r="D489" s="3" t="s">
        <v>41</v>
      </c>
      <c r="E489" s="3" t="s">
        <v>53</v>
      </c>
      <c r="F489" s="3" t="s">
        <v>52</v>
      </c>
      <c r="G489" s="3" t="s">
        <v>25</v>
      </c>
      <c r="H489" s="3" t="s">
        <v>25</v>
      </c>
      <c r="I489" s="6">
        <v>44440</v>
      </c>
      <c r="J489" s="4">
        <v>0</v>
      </c>
      <c r="K489" s="4">
        <v>0</v>
      </c>
      <c r="L489" s="4">
        <v>63.085000000000001</v>
      </c>
      <c r="M489" s="4">
        <v>25.234000000000002</v>
      </c>
      <c r="N489" s="4">
        <v>63.085000000000001</v>
      </c>
      <c r="O489" s="4">
        <v>25.234000000000002</v>
      </c>
      <c r="P489" s="4">
        <v>0</v>
      </c>
      <c r="Q489" s="3" t="s">
        <v>26</v>
      </c>
      <c r="R489" s="3">
        <v>0</v>
      </c>
      <c r="S489" s="3" t="s">
        <v>290</v>
      </c>
      <c r="T489" s="3" t="s">
        <v>427</v>
      </c>
      <c r="U489" s="3">
        <v>0</v>
      </c>
      <c r="V489" s="3">
        <v>24</v>
      </c>
      <c r="W489" s="3">
        <v>63</v>
      </c>
    </row>
    <row r="490" spans="1:23" ht="11.25" customHeight="1" x14ac:dyDescent="0.25">
      <c r="A490" s="3" t="s">
        <v>28</v>
      </c>
      <c r="B490" s="3" t="s">
        <v>40</v>
      </c>
      <c r="C490" s="3" t="s">
        <v>23</v>
      </c>
      <c r="D490" s="3" t="s">
        <v>41</v>
      </c>
      <c r="E490" s="3" t="s">
        <v>53</v>
      </c>
      <c r="F490" s="3" t="s">
        <v>52</v>
      </c>
      <c r="G490" s="3" t="s">
        <v>25</v>
      </c>
      <c r="H490" s="3" t="s">
        <v>25</v>
      </c>
      <c r="I490" s="6">
        <v>44440</v>
      </c>
      <c r="J490" s="4">
        <v>0</v>
      </c>
      <c r="K490" s="4">
        <v>0</v>
      </c>
      <c r="L490" s="4">
        <v>10.574</v>
      </c>
      <c r="M490" s="4">
        <v>10.574</v>
      </c>
      <c r="N490" s="4">
        <v>10.574</v>
      </c>
      <c r="O490" s="4">
        <v>10.574</v>
      </c>
      <c r="P490" s="4">
        <v>0</v>
      </c>
      <c r="Q490" s="3" t="s">
        <v>26</v>
      </c>
      <c r="R490" s="3">
        <v>0</v>
      </c>
      <c r="S490" s="3" t="s">
        <v>290</v>
      </c>
      <c r="T490" s="3" t="s">
        <v>427</v>
      </c>
      <c r="U490" s="3">
        <v>0</v>
      </c>
      <c r="V490" s="3">
        <v>24</v>
      </c>
      <c r="W490" s="3">
        <v>63</v>
      </c>
    </row>
    <row r="491" spans="1:23" ht="11.25" customHeight="1" x14ac:dyDescent="0.25">
      <c r="A491" s="3" t="s">
        <v>21</v>
      </c>
      <c r="B491" s="3" t="s">
        <v>40</v>
      </c>
      <c r="C491" s="3" t="s">
        <v>23</v>
      </c>
      <c r="D491" s="3" t="s">
        <v>41</v>
      </c>
      <c r="E491" s="3" t="s">
        <v>53</v>
      </c>
      <c r="F491" s="3" t="s">
        <v>52</v>
      </c>
      <c r="G491" s="3" t="s">
        <v>25</v>
      </c>
      <c r="H491" s="3" t="s">
        <v>25</v>
      </c>
      <c r="I491" s="6">
        <v>44470</v>
      </c>
      <c r="J491" s="4">
        <v>0</v>
      </c>
      <c r="K491" s="4">
        <v>0</v>
      </c>
      <c r="L491" s="4">
        <v>71.875</v>
      </c>
      <c r="M491" s="4">
        <v>28.75</v>
      </c>
      <c r="N491" s="4">
        <v>71.875</v>
      </c>
      <c r="O491" s="4">
        <v>28.75</v>
      </c>
      <c r="P491" s="4">
        <v>0</v>
      </c>
      <c r="Q491" s="3" t="s">
        <v>26</v>
      </c>
      <c r="R491" s="3">
        <v>0</v>
      </c>
      <c r="S491" s="3" t="s">
        <v>291</v>
      </c>
      <c r="T491" s="3" t="s">
        <v>428</v>
      </c>
      <c r="U491" s="3">
        <v>0</v>
      </c>
      <c r="V491" s="3">
        <v>24</v>
      </c>
      <c r="W491" s="3">
        <v>63</v>
      </c>
    </row>
    <row r="492" spans="1:23" ht="11.25" customHeight="1" x14ac:dyDescent="0.25">
      <c r="A492" s="3" t="s">
        <v>28</v>
      </c>
      <c r="B492" s="3" t="s">
        <v>40</v>
      </c>
      <c r="C492" s="3" t="s">
        <v>23</v>
      </c>
      <c r="D492" s="3" t="s">
        <v>41</v>
      </c>
      <c r="E492" s="3" t="s">
        <v>53</v>
      </c>
      <c r="F492" s="3" t="s">
        <v>52</v>
      </c>
      <c r="G492" s="3" t="s">
        <v>25</v>
      </c>
      <c r="H492" s="3" t="s">
        <v>25</v>
      </c>
      <c r="I492" s="6">
        <v>44470</v>
      </c>
      <c r="J492" s="4">
        <v>0</v>
      </c>
      <c r="K492" s="4">
        <v>0</v>
      </c>
      <c r="L492" s="4">
        <v>16.195</v>
      </c>
      <c r="M492" s="4">
        <v>16.195</v>
      </c>
      <c r="N492" s="4">
        <v>16.195</v>
      </c>
      <c r="O492" s="4">
        <v>16.195</v>
      </c>
      <c r="P492" s="4">
        <v>0</v>
      </c>
      <c r="Q492" s="3" t="s">
        <v>26</v>
      </c>
      <c r="R492" s="3">
        <v>0</v>
      </c>
      <c r="S492" s="3" t="s">
        <v>291</v>
      </c>
      <c r="T492" s="3" t="s">
        <v>428</v>
      </c>
      <c r="U492" s="3">
        <v>0</v>
      </c>
      <c r="V492" s="3">
        <v>24</v>
      </c>
      <c r="W492" s="3">
        <v>63</v>
      </c>
    </row>
    <row r="493" spans="1:23" ht="11.25" customHeight="1" x14ac:dyDescent="0.25">
      <c r="A493" s="3" t="s">
        <v>21</v>
      </c>
      <c r="B493" s="3" t="s">
        <v>40</v>
      </c>
      <c r="C493" s="3" t="s">
        <v>23</v>
      </c>
      <c r="D493" s="3" t="s">
        <v>41</v>
      </c>
      <c r="E493" s="3" t="s">
        <v>53</v>
      </c>
      <c r="F493" s="3" t="s">
        <v>52</v>
      </c>
      <c r="G493" s="3" t="s">
        <v>25</v>
      </c>
      <c r="H493" s="3" t="s">
        <v>25</v>
      </c>
      <c r="I493" s="6">
        <v>44501</v>
      </c>
      <c r="J493" s="4">
        <v>0</v>
      </c>
      <c r="K493" s="4">
        <v>0</v>
      </c>
      <c r="L493" s="4">
        <v>79.635000000000005</v>
      </c>
      <c r="M493" s="4">
        <v>31.853999999999999</v>
      </c>
      <c r="N493" s="4">
        <v>79.635000000000005</v>
      </c>
      <c r="O493" s="4">
        <v>31.853999999999999</v>
      </c>
      <c r="P493" s="4">
        <v>0</v>
      </c>
      <c r="Q493" s="3" t="s">
        <v>26</v>
      </c>
      <c r="R493" s="3">
        <v>0</v>
      </c>
      <c r="S493" s="3" t="s">
        <v>292</v>
      </c>
      <c r="T493" s="3" t="s">
        <v>429</v>
      </c>
      <c r="U493" s="3">
        <v>0</v>
      </c>
      <c r="V493" s="3">
        <v>24</v>
      </c>
      <c r="W493" s="3">
        <v>63</v>
      </c>
    </row>
    <row r="494" spans="1:23" ht="11.25" customHeight="1" x14ac:dyDescent="0.25">
      <c r="A494" s="3" t="s">
        <v>28</v>
      </c>
      <c r="B494" s="3" t="s">
        <v>40</v>
      </c>
      <c r="C494" s="3" t="s">
        <v>23</v>
      </c>
      <c r="D494" s="3" t="s">
        <v>41</v>
      </c>
      <c r="E494" s="3" t="s">
        <v>53</v>
      </c>
      <c r="F494" s="3" t="s">
        <v>52</v>
      </c>
      <c r="G494" s="3" t="s">
        <v>25</v>
      </c>
      <c r="H494" s="3" t="s">
        <v>25</v>
      </c>
      <c r="I494" s="6">
        <v>44501</v>
      </c>
      <c r="J494" s="4">
        <v>0</v>
      </c>
      <c r="K494" s="4">
        <v>0</v>
      </c>
      <c r="L494" s="4">
        <v>14.728</v>
      </c>
      <c r="M494" s="4">
        <v>14.728</v>
      </c>
      <c r="N494" s="4">
        <v>14.728</v>
      </c>
      <c r="O494" s="4">
        <v>14.728</v>
      </c>
      <c r="P494" s="4">
        <v>0</v>
      </c>
      <c r="Q494" s="3" t="s">
        <v>26</v>
      </c>
      <c r="R494" s="3">
        <v>0</v>
      </c>
      <c r="S494" s="3" t="s">
        <v>292</v>
      </c>
      <c r="T494" s="3" t="s">
        <v>429</v>
      </c>
      <c r="U494" s="3">
        <v>0</v>
      </c>
      <c r="V494" s="3">
        <v>24</v>
      </c>
      <c r="W494" s="3">
        <v>63</v>
      </c>
    </row>
    <row r="495" spans="1:23" ht="11.25" customHeight="1" x14ac:dyDescent="0.25">
      <c r="A495" s="3" t="s">
        <v>21</v>
      </c>
      <c r="B495" s="3" t="s">
        <v>40</v>
      </c>
      <c r="C495" s="3" t="s">
        <v>23</v>
      </c>
      <c r="D495" s="3" t="s">
        <v>41</v>
      </c>
      <c r="E495" s="3" t="s">
        <v>53</v>
      </c>
      <c r="F495" s="3" t="s">
        <v>52</v>
      </c>
      <c r="G495" s="3" t="s">
        <v>25</v>
      </c>
      <c r="H495" s="3" t="s">
        <v>25</v>
      </c>
      <c r="I495" s="6">
        <v>44531</v>
      </c>
      <c r="J495" s="4">
        <v>0</v>
      </c>
      <c r="K495" s="4">
        <v>0</v>
      </c>
      <c r="L495" s="4">
        <v>92.965999999999994</v>
      </c>
      <c r="M495" s="4">
        <v>37.186399999999999</v>
      </c>
      <c r="N495" s="4">
        <v>92.965999999999994</v>
      </c>
      <c r="O495" s="4">
        <v>37.186399999999999</v>
      </c>
      <c r="P495" s="4">
        <v>0</v>
      </c>
      <c r="Q495" s="3" t="s">
        <v>26</v>
      </c>
      <c r="R495" s="3">
        <v>0</v>
      </c>
      <c r="S495" s="3" t="s">
        <v>293</v>
      </c>
      <c r="T495" s="3" t="s">
        <v>430</v>
      </c>
      <c r="U495" s="3">
        <v>0</v>
      </c>
      <c r="V495" s="3">
        <v>24</v>
      </c>
      <c r="W495" s="3">
        <v>63</v>
      </c>
    </row>
    <row r="496" spans="1:23" ht="11.25" customHeight="1" x14ac:dyDescent="0.25">
      <c r="A496" s="3" t="s">
        <v>28</v>
      </c>
      <c r="B496" s="3" t="s">
        <v>40</v>
      </c>
      <c r="C496" s="3" t="s">
        <v>23</v>
      </c>
      <c r="D496" s="3" t="s">
        <v>41</v>
      </c>
      <c r="E496" s="3" t="s">
        <v>53</v>
      </c>
      <c r="F496" s="3" t="s">
        <v>52</v>
      </c>
      <c r="G496" s="3" t="s">
        <v>25</v>
      </c>
      <c r="H496" s="3" t="s">
        <v>25</v>
      </c>
      <c r="I496" s="6">
        <v>44531</v>
      </c>
      <c r="J496" s="4">
        <v>0</v>
      </c>
      <c r="K496" s="4">
        <v>0</v>
      </c>
      <c r="L496" s="4">
        <v>15.16</v>
      </c>
      <c r="M496" s="4">
        <v>15.16</v>
      </c>
      <c r="N496" s="4">
        <v>15.16</v>
      </c>
      <c r="O496" s="4">
        <v>15.16</v>
      </c>
      <c r="P496" s="4">
        <v>0</v>
      </c>
      <c r="Q496" s="3" t="s">
        <v>26</v>
      </c>
      <c r="R496" s="3">
        <v>0</v>
      </c>
      <c r="S496" s="3" t="s">
        <v>293</v>
      </c>
      <c r="T496" s="3" t="s">
        <v>430</v>
      </c>
      <c r="U496" s="3">
        <v>0</v>
      </c>
      <c r="V496" s="3">
        <v>24</v>
      </c>
      <c r="W496" s="3">
        <v>63</v>
      </c>
    </row>
    <row r="497" spans="1:23" ht="11.25" customHeight="1" x14ac:dyDescent="0.25">
      <c r="A497" s="3" t="s">
        <v>21</v>
      </c>
      <c r="B497" s="3" t="s">
        <v>40</v>
      </c>
      <c r="C497" s="3" t="s">
        <v>23</v>
      </c>
      <c r="D497" s="3" t="s">
        <v>41</v>
      </c>
      <c r="E497" s="3" t="s">
        <v>53</v>
      </c>
      <c r="F497" s="3" t="s">
        <v>52</v>
      </c>
      <c r="G497" s="3" t="s">
        <v>25</v>
      </c>
      <c r="H497" s="3" t="s">
        <v>25</v>
      </c>
      <c r="I497" s="6">
        <v>44562</v>
      </c>
      <c r="J497" s="4">
        <v>0</v>
      </c>
      <c r="K497" s="4">
        <v>0</v>
      </c>
      <c r="L497" s="4">
        <v>93.600999999999999</v>
      </c>
      <c r="M497" s="4">
        <v>37.440399999999997</v>
      </c>
      <c r="N497" s="4">
        <v>93.600999999999999</v>
      </c>
      <c r="O497" s="4">
        <v>37.440399999999997</v>
      </c>
      <c r="P497" s="4">
        <v>0</v>
      </c>
      <c r="Q497" s="3" t="s">
        <v>26</v>
      </c>
      <c r="R497" s="3">
        <v>0</v>
      </c>
      <c r="S497" s="3" t="s">
        <v>294</v>
      </c>
      <c r="T497" s="3" t="s">
        <v>431</v>
      </c>
      <c r="U497" s="3">
        <v>0</v>
      </c>
      <c r="V497" s="3">
        <v>24</v>
      </c>
      <c r="W497" s="3">
        <v>63</v>
      </c>
    </row>
    <row r="498" spans="1:23" ht="11.25" customHeight="1" x14ac:dyDescent="0.25">
      <c r="A498" s="3" t="s">
        <v>28</v>
      </c>
      <c r="B498" s="3" t="s">
        <v>40</v>
      </c>
      <c r="C498" s="3" t="s">
        <v>23</v>
      </c>
      <c r="D498" s="3" t="s">
        <v>41</v>
      </c>
      <c r="E498" s="3" t="s">
        <v>53</v>
      </c>
      <c r="F498" s="3" t="s">
        <v>52</v>
      </c>
      <c r="G498" s="3" t="s">
        <v>25</v>
      </c>
      <c r="H498" s="3" t="s">
        <v>25</v>
      </c>
      <c r="I498" s="6">
        <v>44562</v>
      </c>
      <c r="J498" s="4">
        <v>0</v>
      </c>
      <c r="K498" s="4">
        <v>0</v>
      </c>
      <c r="L498" s="4">
        <v>22.015000000000001</v>
      </c>
      <c r="M498" s="4">
        <v>22.015000000000001</v>
      </c>
      <c r="N498" s="4">
        <v>22.015000000000001</v>
      </c>
      <c r="O498" s="4">
        <v>22.015000000000001</v>
      </c>
      <c r="P498" s="4">
        <v>0</v>
      </c>
      <c r="Q498" s="3" t="s">
        <v>26</v>
      </c>
      <c r="R498" s="3">
        <v>0</v>
      </c>
      <c r="S498" s="3" t="s">
        <v>294</v>
      </c>
      <c r="T498" s="3" t="s">
        <v>431</v>
      </c>
      <c r="U498" s="3">
        <v>0</v>
      </c>
      <c r="V498" s="3">
        <v>24</v>
      </c>
      <c r="W498" s="3">
        <v>63</v>
      </c>
    </row>
    <row r="499" spans="1:23" ht="11.25" customHeight="1" x14ac:dyDescent="0.25">
      <c r="A499" s="3" t="s">
        <v>21</v>
      </c>
      <c r="B499" s="3" t="s">
        <v>40</v>
      </c>
      <c r="C499" s="3" t="s">
        <v>23</v>
      </c>
      <c r="D499" s="3" t="s">
        <v>41</v>
      </c>
      <c r="E499" s="3" t="s">
        <v>53</v>
      </c>
      <c r="F499" s="3" t="s">
        <v>52</v>
      </c>
      <c r="G499" s="3" t="s">
        <v>25</v>
      </c>
      <c r="H499" s="3" t="s">
        <v>25</v>
      </c>
      <c r="I499" s="6">
        <v>44593</v>
      </c>
      <c r="J499" s="4">
        <v>0</v>
      </c>
      <c r="K499" s="4">
        <v>0</v>
      </c>
      <c r="L499" s="4">
        <v>99.396000000000001</v>
      </c>
      <c r="M499" s="4">
        <v>39.758400000000002</v>
      </c>
      <c r="N499" s="4">
        <v>99.396000000000001</v>
      </c>
      <c r="O499" s="4">
        <v>39.758400000000002</v>
      </c>
      <c r="P499" s="4">
        <v>0</v>
      </c>
      <c r="Q499" s="3" t="s">
        <v>26</v>
      </c>
      <c r="R499" s="3">
        <v>0</v>
      </c>
      <c r="S499" s="3" t="s">
        <v>295</v>
      </c>
      <c r="T499" s="3" t="s">
        <v>432</v>
      </c>
      <c r="U499" s="3">
        <v>0</v>
      </c>
      <c r="V499" s="3">
        <v>24</v>
      </c>
      <c r="W499" s="3">
        <v>63</v>
      </c>
    </row>
    <row r="500" spans="1:23" ht="11.25" customHeight="1" x14ac:dyDescent="0.25">
      <c r="A500" s="3" t="s">
        <v>28</v>
      </c>
      <c r="B500" s="3" t="s">
        <v>40</v>
      </c>
      <c r="C500" s="3" t="s">
        <v>23</v>
      </c>
      <c r="D500" s="3" t="s">
        <v>41</v>
      </c>
      <c r="E500" s="3" t="s">
        <v>53</v>
      </c>
      <c r="F500" s="3" t="s">
        <v>52</v>
      </c>
      <c r="G500" s="3" t="s">
        <v>25</v>
      </c>
      <c r="H500" s="3" t="s">
        <v>25</v>
      </c>
      <c r="I500" s="6">
        <v>44593</v>
      </c>
      <c r="J500" s="4">
        <v>0</v>
      </c>
      <c r="K500" s="4">
        <v>0</v>
      </c>
      <c r="L500" s="4">
        <v>19.765999999999998</v>
      </c>
      <c r="M500" s="4">
        <v>19.765999999999998</v>
      </c>
      <c r="N500" s="4">
        <v>19.765999999999998</v>
      </c>
      <c r="O500" s="4">
        <v>19.765999999999998</v>
      </c>
      <c r="P500" s="4">
        <v>0</v>
      </c>
      <c r="Q500" s="3" t="s">
        <v>26</v>
      </c>
      <c r="R500" s="3">
        <v>0</v>
      </c>
      <c r="S500" s="3" t="s">
        <v>295</v>
      </c>
      <c r="T500" s="3" t="s">
        <v>432</v>
      </c>
      <c r="U500" s="3">
        <v>0</v>
      </c>
      <c r="V500" s="3">
        <v>24</v>
      </c>
      <c r="W500" s="3">
        <v>63</v>
      </c>
    </row>
    <row r="501" spans="1:23" ht="11.25" customHeight="1" x14ac:dyDescent="0.25">
      <c r="A501" s="3" t="s">
        <v>21</v>
      </c>
      <c r="B501" s="3" t="s">
        <v>40</v>
      </c>
      <c r="C501" s="3" t="s">
        <v>23</v>
      </c>
      <c r="D501" s="3" t="s">
        <v>41</v>
      </c>
      <c r="E501" s="3" t="s">
        <v>53</v>
      </c>
      <c r="F501" s="3" t="s">
        <v>52</v>
      </c>
      <c r="G501" s="3" t="s">
        <v>25</v>
      </c>
      <c r="H501" s="3" t="s">
        <v>25</v>
      </c>
      <c r="I501" s="6">
        <v>44621</v>
      </c>
      <c r="J501" s="4">
        <v>0</v>
      </c>
      <c r="K501" s="4">
        <v>0</v>
      </c>
      <c r="L501" s="4">
        <v>96.036000000000001</v>
      </c>
      <c r="M501" s="4">
        <v>38.414400000000001</v>
      </c>
      <c r="N501" s="4">
        <v>96.036000000000001</v>
      </c>
      <c r="O501" s="4">
        <v>38.414400000000001</v>
      </c>
      <c r="P501" s="4">
        <v>0</v>
      </c>
      <c r="Q501" s="3" t="s">
        <v>26</v>
      </c>
      <c r="R501" s="3">
        <v>0</v>
      </c>
      <c r="S501" s="3" t="s">
        <v>296</v>
      </c>
      <c r="T501" s="3" t="s">
        <v>433</v>
      </c>
      <c r="U501" s="3">
        <v>0</v>
      </c>
      <c r="V501" s="3">
        <v>24</v>
      </c>
      <c r="W501" s="3">
        <v>63</v>
      </c>
    </row>
    <row r="502" spans="1:23" ht="11.25" customHeight="1" x14ac:dyDescent="0.25">
      <c r="A502" s="3" t="s">
        <v>28</v>
      </c>
      <c r="B502" s="3" t="s">
        <v>40</v>
      </c>
      <c r="C502" s="3" t="s">
        <v>23</v>
      </c>
      <c r="D502" s="3" t="s">
        <v>41</v>
      </c>
      <c r="E502" s="3" t="s">
        <v>53</v>
      </c>
      <c r="F502" s="3" t="s">
        <v>52</v>
      </c>
      <c r="G502" s="3" t="s">
        <v>25</v>
      </c>
      <c r="H502" s="3" t="s">
        <v>25</v>
      </c>
      <c r="I502" s="6">
        <v>44621</v>
      </c>
      <c r="J502" s="4">
        <v>0</v>
      </c>
      <c r="K502" s="4">
        <v>0</v>
      </c>
      <c r="L502" s="4">
        <v>29.123999999999999</v>
      </c>
      <c r="M502" s="4">
        <v>29.123999999999999</v>
      </c>
      <c r="N502" s="4">
        <v>29.123999999999999</v>
      </c>
      <c r="O502" s="4">
        <v>29.123999999999999</v>
      </c>
      <c r="P502" s="4">
        <v>0</v>
      </c>
      <c r="Q502" s="3" t="s">
        <v>26</v>
      </c>
      <c r="R502" s="3">
        <v>0</v>
      </c>
      <c r="S502" s="3" t="s">
        <v>296</v>
      </c>
      <c r="T502" s="3" t="s">
        <v>433</v>
      </c>
      <c r="U502" s="3">
        <v>0</v>
      </c>
      <c r="V502" s="3">
        <v>24</v>
      </c>
      <c r="W502" s="3">
        <v>63</v>
      </c>
    </row>
    <row r="503" spans="1:23" ht="11.25" customHeight="1" x14ac:dyDescent="0.25">
      <c r="A503" s="3" t="s">
        <v>21</v>
      </c>
      <c r="B503" s="3" t="s">
        <v>40</v>
      </c>
      <c r="C503" s="3" t="s">
        <v>23</v>
      </c>
      <c r="D503" s="3" t="s">
        <v>41</v>
      </c>
      <c r="E503" s="3" t="s">
        <v>53</v>
      </c>
      <c r="F503" s="3" t="s">
        <v>52</v>
      </c>
      <c r="G503" s="3" t="s">
        <v>25</v>
      </c>
      <c r="H503" s="3" t="s">
        <v>25</v>
      </c>
      <c r="I503" s="6">
        <v>44652</v>
      </c>
      <c r="J503" s="4">
        <v>0</v>
      </c>
      <c r="K503" s="4">
        <v>0</v>
      </c>
      <c r="L503" s="4">
        <v>86.561000000000007</v>
      </c>
      <c r="M503" s="4">
        <v>34.624400000000001</v>
      </c>
      <c r="N503" s="4">
        <v>86.561000000000007</v>
      </c>
      <c r="O503" s="4">
        <v>34.624400000000001</v>
      </c>
      <c r="P503" s="4">
        <v>0</v>
      </c>
      <c r="Q503" s="3" t="s">
        <v>26</v>
      </c>
      <c r="R503" s="3">
        <v>0</v>
      </c>
      <c r="S503" s="3" t="s">
        <v>297</v>
      </c>
      <c r="T503" s="3" t="s">
        <v>434</v>
      </c>
      <c r="U503" s="3">
        <v>0</v>
      </c>
      <c r="V503" s="3">
        <v>24</v>
      </c>
      <c r="W503" s="3">
        <v>63</v>
      </c>
    </row>
    <row r="504" spans="1:23" ht="11.25" customHeight="1" x14ac:dyDescent="0.25">
      <c r="A504" s="3" t="s">
        <v>27</v>
      </c>
      <c r="B504" s="3" t="s">
        <v>40</v>
      </c>
      <c r="C504" s="3" t="s">
        <v>23</v>
      </c>
      <c r="D504" s="3" t="s">
        <v>41</v>
      </c>
      <c r="E504" s="3" t="s">
        <v>53</v>
      </c>
      <c r="F504" s="3" t="s">
        <v>52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1.958</v>
      </c>
      <c r="M504" s="4">
        <v>0.78320000000000001</v>
      </c>
      <c r="N504" s="4">
        <v>1.958</v>
      </c>
      <c r="O504" s="4">
        <v>0.78320000000000001</v>
      </c>
      <c r="P504" s="4">
        <v>0</v>
      </c>
      <c r="Q504" s="3" t="s">
        <v>26</v>
      </c>
      <c r="R504" s="3">
        <v>0</v>
      </c>
      <c r="S504" s="3" t="s">
        <v>297</v>
      </c>
      <c r="T504" s="3" t="s">
        <v>434</v>
      </c>
      <c r="U504" s="3">
        <v>0</v>
      </c>
      <c r="V504" s="3">
        <v>24</v>
      </c>
      <c r="W504" s="3">
        <v>63</v>
      </c>
    </row>
    <row r="505" spans="1:23" ht="11.25" customHeight="1" x14ac:dyDescent="0.25">
      <c r="A505" s="3" t="s">
        <v>28</v>
      </c>
      <c r="B505" s="3" t="s">
        <v>40</v>
      </c>
      <c r="C505" s="3" t="s">
        <v>23</v>
      </c>
      <c r="D505" s="3" t="s">
        <v>41</v>
      </c>
      <c r="E505" s="3" t="s">
        <v>53</v>
      </c>
      <c r="F505" s="3" t="s">
        <v>52</v>
      </c>
      <c r="G505" s="3" t="s">
        <v>25</v>
      </c>
      <c r="H505" s="3" t="s">
        <v>25</v>
      </c>
      <c r="I505" s="6">
        <v>44652</v>
      </c>
      <c r="J505" s="4">
        <v>0</v>
      </c>
      <c r="K505" s="4">
        <v>0</v>
      </c>
      <c r="L505" s="4">
        <v>30.641999999999999</v>
      </c>
      <c r="M505" s="4">
        <v>30.641999999999999</v>
      </c>
      <c r="N505" s="4">
        <v>30.641999999999999</v>
      </c>
      <c r="O505" s="4">
        <v>30.641999999999999</v>
      </c>
      <c r="P505" s="4">
        <v>0</v>
      </c>
      <c r="Q505" s="3" t="s">
        <v>26</v>
      </c>
      <c r="R505" s="3">
        <v>0</v>
      </c>
      <c r="S505" s="3" t="s">
        <v>297</v>
      </c>
      <c r="T505" s="3" t="s">
        <v>434</v>
      </c>
      <c r="U505" s="3">
        <v>0</v>
      </c>
      <c r="V505" s="3">
        <v>24</v>
      </c>
      <c r="W505" s="3">
        <v>63</v>
      </c>
    </row>
    <row r="506" spans="1:23" ht="11.25" customHeight="1" x14ac:dyDescent="0.25">
      <c r="A506" s="3" t="s">
        <v>21</v>
      </c>
      <c r="B506" s="3" t="s">
        <v>40</v>
      </c>
      <c r="C506" s="3" t="s">
        <v>23</v>
      </c>
      <c r="D506" s="3" t="s">
        <v>41</v>
      </c>
      <c r="E506" s="3" t="s">
        <v>53</v>
      </c>
      <c r="F506" s="3" t="s">
        <v>52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76.91</v>
      </c>
      <c r="M506" s="4">
        <v>30.763999999999999</v>
      </c>
      <c r="N506" s="4">
        <v>76.91</v>
      </c>
      <c r="O506" s="4">
        <v>30.763999999999999</v>
      </c>
      <c r="P506" s="4">
        <v>0</v>
      </c>
      <c r="Q506" s="3" t="s">
        <v>26</v>
      </c>
      <c r="R506" s="3">
        <v>0</v>
      </c>
      <c r="S506" s="3" t="s">
        <v>298</v>
      </c>
      <c r="T506" s="3" t="s">
        <v>435</v>
      </c>
      <c r="U506" s="3">
        <v>0</v>
      </c>
      <c r="V506" s="3">
        <v>24</v>
      </c>
      <c r="W506" s="3">
        <v>63</v>
      </c>
    </row>
    <row r="507" spans="1:23" ht="11.25" customHeight="1" x14ac:dyDescent="0.25">
      <c r="A507" s="3" t="s">
        <v>28</v>
      </c>
      <c r="B507" s="3" t="s">
        <v>40</v>
      </c>
      <c r="C507" s="3" t="s">
        <v>23</v>
      </c>
      <c r="D507" s="3" t="s">
        <v>41</v>
      </c>
      <c r="E507" s="3" t="s">
        <v>53</v>
      </c>
      <c r="F507" s="3" t="s">
        <v>52</v>
      </c>
      <c r="G507" s="3" t="s">
        <v>25</v>
      </c>
      <c r="H507" s="3" t="s">
        <v>25</v>
      </c>
      <c r="I507" s="6">
        <v>44682</v>
      </c>
      <c r="J507" s="4">
        <v>0</v>
      </c>
      <c r="K507" s="4">
        <v>0</v>
      </c>
      <c r="L507" s="4">
        <v>34.271000000000001</v>
      </c>
      <c r="M507" s="4">
        <v>34.271000000000001</v>
      </c>
      <c r="N507" s="4">
        <v>34.271000000000001</v>
      </c>
      <c r="O507" s="4">
        <v>34.271000000000001</v>
      </c>
      <c r="P507" s="4">
        <v>0</v>
      </c>
      <c r="Q507" s="3" t="s">
        <v>26</v>
      </c>
      <c r="R507" s="3">
        <v>0</v>
      </c>
      <c r="S507" s="3" t="s">
        <v>298</v>
      </c>
      <c r="T507" s="3" t="s">
        <v>435</v>
      </c>
      <c r="U507" s="3">
        <v>0</v>
      </c>
      <c r="V507" s="3">
        <v>24</v>
      </c>
      <c r="W507" s="3">
        <v>63</v>
      </c>
    </row>
    <row r="508" spans="1:23" ht="11.25" customHeight="1" x14ac:dyDescent="0.25">
      <c r="A508" s="3" t="s">
        <v>21</v>
      </c>
      <c r="B508" s="3" t="s">
        <v>40</v>
      </c>
      <c r="C508" s="3" t="s">
        <v>23</v>
      </c>
      <c r="D508" s="3" t="s">
        <v>41</v>
      </c>
      <c r="E508" s="3" t="s">
        <v>53</v>
      </c>
      <c r="F508" s="3" t="s">
        <v>52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51.064999999999998</v>
      </c>
      <c r="M508" s="4">
        <v>20.425999999999998</v>
      </c>
      <c r="N508" s="4">
        <v>51.064999999999998</v>
      </c>
      <c r="O508" s="4">
        <v>20.425999999999998</v>
      </c>
      <c r="P508" s="4">
        <v>0</v>
      </c>
      <c r="Q508" s="3" t="s">
        <v>26</v>
      </c>
      <c r="R508" s="3">
        <v>0</v>
      </c>
      <c r="S508" s="3" t="s">
        <v>299</v>
      </c>
      <c r="T508" s="3" t="s">
        <v>436</v>
      </c>
      <c r="U508" s="3">
        <v>0</v>
      </c>
      <c r="V508" s="3">
        <v>24</v>
      </c>
      <c r="W508" s="3">
        <v>63</v>
      </c>
    </row>
    <row r="509" spans="1:23" ht="11.25" customHeight="1" x14ac:dyDescent="0.25">
      <c r="A509" s="3" t="s">
        <v>28</v>
      </c>
      <c r="B509" s="3" t="s">
        <v>40</v>
      </c>
      <c r="C509" s="3" t="s">
        <v>23</v>
      </c>
      <c r="D509" s="3" t="s">
        <v>41</v>
      </c>
      <c r="E509" s="3" t="s">
        <v>53</v>
      </c>
      <c r="F509" s="3" t="s">
        <v>52</v>
      </c>
      <c r="G509" s="3" t="s">
        <v>25</v>
      </c>
      <c r="H509" s="3" t="s">
        <v>25</v>
      </c>
      <c r="I509" s="6">
        <v>44713</v>
      </c>
      <c r="J509" s="4">
        <v>0</v>
      </c>
      <c r="K509" s="4">
        <v>0</v>
      </c>
      <c r="L509" s="4">
        <v>31.675999999999998</v>
      </c>
      <c r="M509" s="4">
        <v>31.675999999999998</v>
      </c>
      <c r="N509" s="4">
        <v>31.675999999999998</v>
      </c>
      <c r="O509" s="4">
        <v>31.675999999999998</v>
      </c>
      <c r="P509" s="4">
        <v>0</v>
      </c>
      <c r="Q509" s="3" t="s">
        <v>26</v>
      </c>
      <c r="R509" s="3">
        <v>0</v>
      </c>
      <c r="S509" s="3" t="s">
        <v>299</v>
      </c>
      <c r="T509" s="3" t="s">
        <v>436</v>
      </c>
      <c r="U509" s="3">
        <v>0</v>
      </c>
      <c r="V509" s="3">
        <v>24</v>
      </c>
      <c r="W509" s="3">
        <v>63</v>
      </c>
    </row>
    <row r="510" spans="1:23" ht="11.25" customHeight="1" x14ac:dyDescent="0.25">
      <c r="A510" s="3" t="s">
        <v>21</v>
      </c>
      <c r="B510" s="3" t="s">
        <v>40</v>
      </c>
      <c r="C510" s="3" t="s">
        <v>23</v>
      </c>
      <c r="D510" s="3" t="s">
        <v>41</v>
      </c>
      <c r="E510" s="3" t="s">
        <v>53</v>
      </c>
      <c r="F510" s="3" t="s">
        <v>52</v>
      </c>
      <c r="G510" s="3" t="s">
        <v>25</v>
      </c>
      <c r="H510" s="3" t="s">
        <v>25</v>
      </c>
      <c r="I510" s="6">
        <v>44743</v>
      </c>
      <c r="J510" s="4">
        <v>0</v>
      </c>
      <c r="K510" s="4">
        <v>0</v>
      </c>
      <c r="L510" s="4">
        <v>40.271000000000001</v>
      </c>
      <c r="M510" s="4">
        <v>16.1084</v>
      </c>
      <c r="N510" s="4">
        <v>40.271000000000001</v>
      </c>
      <c r="O510" s="4">
        <v>16.1084</v>
      </c>
      <c r="P510" s="4">
        <v>0</v>
      </c>
      <c r="Q510" s="3" t="s">
        <v>26</v>
      </c>
      <c r="R510" s="3">
        <v>0</v>
      </c>
      <c r="S510" s="3" t="s">
        <v>300</v>
      </c>
      <c r="T510" s="3" t="s">
        <v>437</v>
      </c>
      <c r="U510" s="3">
        <v>0</v>
      </c>
      <c r="V510" s="3">
        <v>24</v>
      </c>
      <c r="W510" s="3">
        <v>63</v>
      </c>
    </row>
    <row r="511" spans="1:23" ht="11.25" customHeight="1" x14ac:dyDescent="0.25">
      <c r="A511" s="3" t="s">
        <v>21</v>
      </c>
      <c r="B511" s="3" t="s">
        <v>40</v>
      </c>
      <c r="C511" s="3" t="s">
        <v>23</v>
      </c>
      <c r="D511" s="3" t="s">
        <v>41</v>
      </c>
      <c r="E511" s="3" t="s">
        <v>53</v>
      </c>
      <c r="F511" s="3" t="s">
        <v>52</v>
      </c>
      <c r="G511" s="3" t="s">
        <v>25</v>
      </c>
      <c r="H511" s="3" t="s">
        <v>25</v>
      </c>
      <c r="I511" s="6">
        <v>44774</v>
      </c>
      <c r="J511" s="4">
        <v>0</v>
      </c>
      <c r="K511" s="4">
        <v>0</v>
      </c>
      <c r="L511" s="4">
        <v>41</v>
      </c>
      <c r="M511" s="4">
        <v>16.399999999999999</v>
      </c>
      <c r="N511" s="4">
        <v>41</v>
      </c>
      <c r="O511" s="4">
        <v>16.399999999999999</v>
      </c>
      <c r="P511" s="4">
        <v>0</v>
      </c>
      <c r="Q511" s="3" t="s">
        <v>26</v>
      </c>
      <c r="R511" s="3">
        <v>0</v>
      </c>
      <c r="S511" s="3" t="s">
        <v>301</v>
      </c>
      <c r="T511" s="3" t="s">
        <v>438</v>
      </c>
      <c r="U511" s="3">
        <v>0</v>
      </c>
      <c r="V511" s="3">
        <v>24</v>
      </c>
      <c r="W511" s="3">
        <v>63</v>
      </c>
    </row>
    <row r="512" spans="1:23" ht="11.25" customHeight="1" x14ac:dyDescent="0.25">
      <c r="A512" s="3" t="s">
        <v>28</v>
      </c>
      <c r="B512" s="3" t="s">
        <v>40</v>
      </c>
      <c r="C512" s="3" t="s">
        <v>23</v>
      </c>
      <c r="D512" s="3" t="s">
        <v>41</v>
      </c>
      <c r="E512" s="3" t="s">
        <v>53</v>
      </c>
      <c r="F512" s="3" t="s">
        <v>52</v>
      </c>
      <c r="G512" s="3" t="s">
        <v>25</v>
      </c>
      <c r="H512" s="3" t="s">
        <v>25</v>
      </c>
      <c r="I512" s="6">
        <v>44774</v>
      </c>
      <c r="J512" s="4">
        <v>0</v>
      </c>
      <c r="K512" s="4">
        <v>0</v>
      </c>
      <c r="L512" s="4">
        <v>24.759</v>
      </c>
      <c r="M512" s="4">
        <v>24.759</v>
      </c>
      <c r="N512" s="4">
        <v>24.759</v>
      </c>
      <c r="O512" s="4">
        <v>24.759</v>
      </c>
      <c r="P512" s="4">
        <v>0</v>
      </c>
      <c r="Q512" s="3" t="s">
        <v>26</v>
      </c>
      <c r="R512" s="3">
        <v>0</v>
      </c>
      <c r="S512" s="3" t="s">
        <v>301</v>
      </c>
      <c r="T512" s="3" t="s">
        <v>438</v>
      </c>
      <c r="U512" s="3">
        <v>0</v>
      </c>
      <c r="V512" s="3">
        <v>24</v>
      </c>
      <c r="W512" s="3">
        <v>63</v>
      </c>
    </row>
    <row r="513" spans="1:23" ht="11.25" customHeight="1" x14ac:dyDescent="0.25">
      <c r="A513" s="3" t="s">
        <v>21</v>
      </c>
      <c r="B513" s="3" t="s">
        <v>40</v>
      </c>
      <c r="C513" s="3" t="s">
        <v>23</v>
      </c>
      <c r="D513" s="3" t="s">
        <v>41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44440</v>
      </c>
      <c r="J513" s="4">
        <v>0</v>
      </c>
      <c r="K513" s="4">
        <v>0</v>
      </c>
      <c r="L513" s="4">
        <v>1994.5889999999999</v>
      </c>
      <c r="M513" s="4">
        <v>1994.5889999999999</v>
      </c>
      <c r="N513" s="4">
        <v>1994.5889999999999</v>
      </c>
      <c r="O513" s="4">
        <v>1994.5889999999999</v>
      </c>
      <c r="P513" s="4">
        <v>2816</v>
      </c>
      <c r="Q513" s="3" t="s">
        <v>26</v>
      </c>
      <c r="R513" s="3">
        <v>0</v>
      </c>
      <c r="S513" s="3" t="s">
        <v>290</v>
      </c>
      <c r="T513" s="3" t="s">
        <v>427</v>
      </c>
      <c r="U513" s="3">
        <v>0</v>
      </c>
      <c r="V513" s="3">
        <v>24</v>
      </c>
      <c r="W513" s="3">
        <v>63</v>
      </c>
    </row>
    <row r="514" spans="1:23" ht="11.25" customHeight="1" x14ac:dyDescent="0.25">
      <c r="A514" s="3" t="s">
        <v>27</v>
      </c>
      <c r="B514" s="3" t="s">
        <v>40</v>
      </c>
      <c r="C514" s="3" t="s">
        <v>23</v>
      </c>
      <c r="D514" s="3" t="s">
        <v>41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44440</v>
      </c>
      <c r="J514" s="4">
        <v>0</v>
      </c>
      <c r="K514" s="4">
        <v>0</v>
      </c>
      <c r="L514" s="4">
        <v>-1.4830000000000001</v>
      </c>
      <c r="M514" s="4">
        <v>-1.4830000000000001</v>
      </c>
      <c r="N514" s="4">
        <v>-1.4830000000000001</v>
      </c>
      <c r="O514" s="4">
        <v>-1.4830000000000001</v>
      </c>
      <c r="P514" s="4">
        <v>0</v>
      </c>
      <c r="Q514" s="3" t="s">
        <v>26</v>
      </c>
      <c r="R514" s="3">
        <v>0</v>
      </c>
      <c r="S514" s="3" t="s">
        <v>290</v>
      </c>
      <c r="T514" s="3" t="s">
        <v>427</v>
      </c>
      <c r="U514" s="3">
        <v>0</v>
      </c>
      <c r="V514" s="3">
        <v>24</v>
      </c>
      <c r="W514" s="3">
        <v>63</v>
      </c>
    </row>
    <row r="515" spans="1:23" ht="11.25" customHeight="1" x14ac:dyDescent="0.25">
      <c r="A515" s="3" t="s">
        <v>28</v>
      </c>
      <c r="B515" s="3" t="s">
        <v>40</v>
      </c>
      <c r="C515" s="3" t="s">
        <v>23</v>
      </c>
      <c r="D515" s="3" t="s">
        <v>41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44440</v>
      </c>
      <c r="J515" s="4">
        <v>0</v>
      </c>
      <c r="K515" s="4">
        <v>0</v>
      </c>
      <c r="L515" s="4">
        <v>163.57599999999999</v>
      </c>
      <c r="M515" s="4">
        <v>163.57599999999999</v>
      </c>
      <c r="N515" s="4">
        <v>163.57599999999999</v>
      </c>
      <c r="O515" s="4">
        <v>163.57599999999999</v>
      </c>
      <c r="P515" s="4">
        <v>130</v>
      </c>
      <c r="Q515" s="3" t="s">
        <v>26</v>
      </c>
      <c r="R515" s="3">
        <v>0</v>
      </c>
      <c r="S515" s="3" t="s">
        <v>290</v>
      </c>
      <c r="T515" s="3" t="s">
        <v>427</v>
      </c>
      <c r="U515" s="3">
        <v>0</v>
      </c>
      <c r="V515" s="3">
        <v>24</v>
      </c>
      <c r="W515" s="3">
        <v>63</v>
      </c>
    </row>
    <row r="516" spans="1:23" ht="11.25" customHeight="1" x14ac:dyDescent="0.25">
      <c r="A516" s="3" t="s">
        <v>21</v>
      </c>
      <c r="B516" s="3" t="s">
        <v>40</v>
      </c>
      <c r="C516" s="3" t="s">
        <v>23</v>
      </c>
      <c r="D516" s="3" t="s">
        <v>41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44470</v>
      </c>
      <c r="J516" s="4">
        <v>0</v>
      </c>
      <c r="K516" s="4">
        <v>0</v>
      </c>
      <c r="L516" s="4">
        <v>2005.1969999999999</v>
      </c>
      <c r="M516" s="4">
        <v>2005.1969999999999</v>
      </c>
      <c r="N516" s="4">
        <v>2005.1969999999999</v>
      </c>
      <c r="O516" s="4">
        <v>2005.1969999999999</v>
      </c>
      <c r="P516" s="4">
        <v>2802</v>
      </c>
      <c r="Q516" s="3" t="s">
        <v>26</v>
      </c>
      <c r="R516" s="3">
        <v>0</v>
      </c>
      <c r="S516" s="3" t="s">
        <v>291</v>
      </c>
      <c r="T516" s="3" t="s">
        <v>428</v>
      </c>
      <c r="U516" s="3">
        <v>0</v>
      </c>
      <c r="V516" s="3">
        <v>24</v>
      </c>
      <c r="W516" s="3">
        <v>63</v>
      </c>
    </row>
    <row r="517" spans="1:23" ht="11.25" customHeight="1" x14ac:dyDescent="0.25">
      <c r="A517" s="3" t="s">
        <v>27</v>
      </c>
      <c r="B517" s="3" t="s">
        <v>40</v>
      </c>
      <c r="C517" s="3" t="s">
        <v>23</v>
      </c>
      <c r="D517" s="3" t="s">
        <v>41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44470</v>
      </c>
      <c r="J517" s="4">
        <v>0</v>
      </c>
      <c r="K517" s="4">
        <v>0</v>
      </c>
      <c r="L517" s="4">
        <v>272.85000000000002</v>
      </c>
      <c r="M517" s="4">
        <v>272.85000000000002</v>
      </c>
      <c r="N517" s="4">
        <v>272.85000000000002</v>
      </c>
      <c r="O517" s="4">
        <v>272.85000000000002</v>
      </c>
      <c r="P517" s="4">
        <v>0</v>
      </c>
      <c r="Q517" s="3" t="s">
        <v>26</v>
      </c>
      <c r="R517" s="3">
        <v>0</v>
      </c>
      <c r="S517" s="3" t="s">
        <v>291</v>
      </c>
      <c r="T517" s="3" t="s">
        <v>428</v>
      </c>
      <c r="U517" s="3">
        <v>0</v>
      </c>
      <c r="V517" s="3">
        <v>24</v>
      </c>
      <c r="W517" s="3">
        <v>63</v>
      </c>
    </row>
    <row r="518" spans="1:23" ht="11.25" customHeight="1" x14ac:dyDescent="0.25">
      <c r="A518" s="3" t="s">
        <v>28</v>
      </c>
      <c r="B518" s="3" t="s">
        <v>40</v>
      </c>
      <c r="C518" s="3" t="s">
        <v>23</v>
      </c>
      <c r="D518" s="3" t="s">
        <v>41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44470</v>
      </c>
      <c r="J518" s="4">
        <v>0</v>
      </c>
      <c r="K518" s="4">
        <v>0</v>
      </c>
      <c r="L518" s="4">
        <v>198.13399999999999</v>
      </c>
      <c r="M518" s="4">
        <v>198.13399999999999</v>
      </c>
      <c r="N518" s="4">
        <v>198.13399999999999</v>
      </c>
      <c r="O518" s="4">
        <v>198.13399999999999</v>
      </c>
      <c r="P518" s="4">
        <v>140</v>
      </c>
      <c r="Q518" s="3" t="s">
        <v>26</v>
      </c>
      <c r="R518" s="3">
        <v>0</v>
      </c>
      <c r="S518" s="3" t="s">
        <v>291</v>
      </c>
      <c r="T518" s="3" t="s">
        <v>428</v>
      </c>
      <c r="U518" s="3">
        <v>0</v>
      </c>
      <c r="V518" s="3">
        <v>24</v>
      </c>
      <c r="W518" s="3">
        <v>63</v>
      </c>
    </row>
    <row r="519" spans="1:23" ht="11.25" customHeight="1" x14ac:dyDescent="0.25">
      <c r="A519" s="3" t="s">
        <v>21</v>
      </c>
      <c r="B519" s="3" t="s">
        <v>40</v>
      </c>
      <c r="C519" s="3" t="s">
        <v>23</v>
      </c>
      <c r="D519" s="3" t="s">
        <v>41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44501</v>
      </c>
      <c r="J519" s="4">
        <v>0</v>
      </c>
      <c r="K519" s="4">
        <v>0</v>
      </c>
      <c r="L519" s="4">
        <v>2034.308</v>
      </c>
      <c r="M519" s="4">
        <v>2034.308</v>
      </c>
      <c r="N519" s="4">
        <v>2034.308</v>
      </c>
      <c r="O519" s="4">
        <v>2034.308</v>
      </c>
      <c r="P519" s="4">
        <v>2784</v>
      </c>
      <c r="Q519" s="3" t="s">
        <v>26</v>
      </c>
      <c r="R519" s="3">
        <v>0</v>
      </c>
      <c r="S519" s="3" t="s">
        <v>292</v>
      </c>
      <c r="T519" s="3" t="s">
        <v>429</v>
      </c>
      <c r="U519" s="3">
        <v>0</v>
      </c>
      <c r="V519" s="3">
        <v>24</v>
      </c>
      <c r="W519" s="3">
        <v>63</v>
      </c>
    </row>
    <row r="520" spans="1:23" ht="11.25" customHeight="1" x14ac:dyDescent="0.25">
      <c r="A520" s="3" t="s">
        <v>27</v>
      </c>
      <c r="B520" s="3" t="s">
        <v>40</v>
      </c>
      <c r="C520" s="3" t="s">
        <v>23</v>
      </c>
      <c r="D520" s="3" t="s">
        <v>41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44501</v>
      </c>
      <c r="J520" s="4">
        <v>0</v>
      </c>
      <c r="K520" s="4">
        <v>0</v>
      </c>
      <c r="L520" s="4">
        <v>232.19200000000001</v>
      </c>
      <c r="M520" s="4">
        <v>232.19200000000001</v>
      </c>
      <c r="N520" s="4">
        <v>232.19200000000001</v>
      </c>
      <c r="O520" s="4">
        <v>232.19200000000001</v>
      </c>
      <c r="P520" s="4">
        <v>0</v>
      </c>
      <c r="Q520" s="3" t="s">
        <v>26</v>
      </c>
      <c r="R520" s="3">
        <v>0</v>
      </c>
      <c r="S520" s="3" t="s">
        <v>292</v>
      </c>
      <c r="T520" s="3" t="s">
        <v>429</v>
      </c>
      <c r="U520" s="3">
        <v>0</v>
      </c>
      <c r="V520" s="3">
        <v>24</v>
      </c>
      <c r="W520" s="3">
        <v>63</v>
      </c>
    </row>
    <row r="521" spans="1:23" ht="11.25" customHeight="1" x14ac:dyDescent="0.25">
      <c r="A521" s="3" t="s">
        <v>28</v>
      </c>
      <c r="B521" s="3" t="s">
        <v>40</v>
      </c>
      <c r="C521" s="3" t="s">
        <v>23</v>
      </c>
      <c r="D521" s="3" t="s">
        <v>41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44501</v>
      </c>
      <c r="J521" s="4">
        <v>0</v>
      </c>
      <c r="K521" s="4">
        <v>0</v>
      </c>
      <c r="L521" s="4">
        <v>145.69200000000001</v>
      </c>
      <c r="M521" s="4">
        <v>145.69200000000001</v>
      </c>
      <c r="N521" s="4">
        <v>145.69200000000001</v>
      </c>
      <c r="O521" s="4">
        <v>145.69200000000001</v>
      </c>
      <c r="P521" s="4">
        <v>154</v>
      </c>
      <c r="Q521" s="3" t="s">
        <v>26</v>
      </c>
      <c r="R521" s="3">
        <v>0</v>
      </c>
      <c r="S521" s="3" t="s">
        <v>292</v>
      </c>
      <c r="T521" s="3" t="s">
        <v>429</v>
      </c>
      <c r="U521" s="3">
        <v>0</v>
      </c>
      <c r="V521" s="3">
        <v>24</v>
      </c>
      <c r="W521" s="3">
        <v>63</v>
      </c>
    </row>
    <row r="522" spans="1:23" ht="11.25" customHeight="1" x14ac:dyDescent="0.25">
      <c r="A522" s="3" t="s">
        <v>21</v>
      </c>
      <c r="B522" s="3" t="s">
        <v>40</v>
      </c>
      <c r="C522" s="3" t="s">
        <v>23</v>
      </c>
      <c r="D522" s="3" t="s">
        <v>41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44531</v>
      </c>
      <c r="J522" s="4">
        <v>0</v>
      </c>
      <c r="K522" s="4">
        <v>0</v>
      </c>
      <c r="L522" s="4">
        <v>2076.846</v>
      </c>
      <c r="M522" s="4">
        <v>2076.846</v>
      </c>
      <c r="N522" s="4">
        <v>2076.846</v>
      </c>
      <c r="O522" s="4">
        <v>2076.846</v>
      </c>
      <c r="P522" s="4">
        <v>2764</v>
      </c>
      <c r="Q522" s="3" t="s">
        <v>26</v>
      </c>
      <c r="R522" s="3">
        <v>0</v>
      </c>
      <c r="S522" s="3" t="s">
        <v>293</v>
      </c>
      <c r="T522" s="3" t="s">
        <v>430</v>
      </c>
      <c r="U522" s="3">
        <v>0</v>
      </c>
      <c r="V522" s="3">
        <v>24</v>
      </c>
      <c r="W522" s="3">
        <v>63</v>
      </c>
    </row>
    <row r="523" spans="1:23" ht="11.25" customHeight="1" x14ac:dyDescent="0.25">
      <c r="A523" s="3" t="s">
        <v>28</v>
      </c>
      <c r="B523" s="3" t="s">
        <v>40</v>
      </c>
      <c r="C523" s="3" t="s">
        <v>23</v>
      </c>
      <c r="D523" s="3" t="s">
        <v>41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44531</v>
      </c>
      <c r="J523" s="4">
        <v>0</v>
      </c>
      <c r="K523" s="4">
        <v>0</v>
      </c>
      <c r="L523" s="4">
        <v>145.10400000000001</v>
      </c>
      <c r="M523" s="4">
        <v>145.10400000000001</v>
      </c>
      <c r="N523" s="4">
        <v>145.10400000000001</v>
      </c>
      <c r="O523" s="4">
        <v>145.10400000000001</v>
      </c>
      <c r="P523" s="4">
        <v>167</v>
      </c>
      <c r="Q523" s="3" t="s">
        <v>26</v>
      </c>
      <c r="R523" s="3">
        <v>0</v>
      </c>
      <c r="S523" s="3" t="s">
        <v>293</v>
      </c>
      <c r="T523" s="3" t="s">
        <v>430</v>
      </c>
      <c r="U523" s="3">
        <v>0</v>
      </c>
      <c r="V523" s="3">
        <v>24</v>
      </c>
      <c r="W523" s="3">
        <v>63</v>
      </c>
    </row>
    <row r="524" spans="1:23" ht="11.25" customHeight="1" x14ac:dyDescent="0.25">
      <c r="A524" s="3" t="s">
        <v>21</v>
      </c>
      <c r="B524" s="3" t="s">
        <v>40</v>
      </c>
      <c r="C524" s="3" t="s">
        <v>23</v>
      </c>
      <c r="D524" s="3" t="s">
        <v>41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44562</v>
      </c>
      <c r="J524" s="4">
        <v>0</v>
      </c>
      <c r="K524" s="4">
        <v>0</v>
      </c>
      <c r="L524" s="4">
        <v>2167.7890000000002</v>
      </c>
      <c r="M524" s="4">
        <v>2167.7890000000002</v>
      </c>
      <c r="N524" s="4">
        <v>2167.7890000000002</v>
      </c>
      <c r="O524" s="4">
        <v>2167.7890000000002</v>
      </c>
      <c r="P524" s="4">
        <v>2747</v>
      </c>
      <c r="Q524" s="3" t="s">
        <v>26</v>
      </c>
      <c r="R524" s="3">
        <v>0</v>
      </c>
      <c r="S524" s="3" t="s">
        <v>294</v>
      </c>
      <c r="T524" s="3" t="s">
        <v>431</v>
      </c>
      <c r="U524" s="3">
        <v>0</v>
      </c>
      <c r="V524" s="3">
        <v>24</v>
      </c>
      <c r="W524" s="3">
        <v>63</v>
      </c>
    </row>
    <row r="525" spans="1:23" ht="11.25" customHeight="1" x14ac:dyDescent="0.25">
      <c r="A525" s="3" t="s">
        <v>28</v>
      </c>
      <c r="B525" s="3" t="s">
        <v>40</v>
      </c>
      <c r="C525" s="3" t="s">
        <v>23</v>
      </c>
      <c r="D525" s="3" t="s">
        <v>41</v>
      </c>
      <c r="E525" s="3" t="s">
        <v>25</v>
      </c>
      <c r="F525" s="3" t="s">
        <v>25</v>
      </c>
      <c r="G525" s="3" t="s">
        <v>25</v>
      </c>
      <c r="H525" s="3" t="s">
        <v>25</v>
      </c>
      <c r="I525" s="6">
        <v>44562</v>
      </c>
      <c r="J525" s="4">
        <v>0</v>
      </c>
      <c r="K525" s="4">
        <v>0</v>
      </c>
      <c r="L525" s="4">
        <v>142.58199999999999</v>
      </c>
      <c r="M525" s="4">
        <v>142.58199999999999</v>
      </c>
      <c r="N525" s="4">
        <v>142.58199999999999</v>
      </c>
      <c r="O525" s="4">
        <v>142.58199999999999</v>
      </c>
      <c r="P525" s="4">
        <v>179</v>
      </c>
      <c r="Q525" s="3" t="s">
        <v>26</v>
      </c>
      <c r="R525" s="3">
        <v>0</v>
      </c>
      <c r="S525" s="3" t="s">
        <v>294</v>
      </c>
      <c r="T525" s="3" t="s">
        <v>431</v>
      </c>
      <c r="U525" s="3">
        <v>0</v>
      </c>
      <c r="V525" s="3">
        <v>24</v>
      </c>
      <c r="W525" s="3">
        <v>63</v>
      </c>
    </row>
    <row r="526" spans="1:23" ht="11.25" customHeight="1" x14ac:dyDescent="0.25">
      <c r="A526" s="3" t="s">
        <v>21</v>
      </c>
      <c r="B526" s="3" t="s">
        <v>40</v>
      </c>
      <c r="C526" s="3" t="s">
        <v>23</v>
      </c>
      <c r="D526" s="3" t="s">
        <v>41</v>
      </c>
      <c r="E526" s="3" t="s">
        <v>25</v>
      </c>
      <c r="F526" s="3" t="s">
        <v>25</v>
      </c>
      <c r="G526" s="3" t="s">
        <v>25</v>
      </c>
      <c r="H526" s="3" t="s">
        <v>25</v>
      </c>
      <c r="I526" s="6">
        <v>44593</v>
      </c>
      <c r="J526" s="4">
        <v>0</v>
      </c>
      <c r="K526" s="4">
        <v>0</v>
      </c>
      <c r="L526" s="4">
        <v>2222.8310000000001</v>
      </c>
      <c r="M526" s="4">
        <v>2222.8310000000001</v>
      </c>
      <c r="N526" s="4">
        <v>2222.8310000000001</v>
      </c>
      <c r="O526" s="4">
        <v>2222.8310000000001</v>
      </c>
      <c r="P526" s="4">
        <v>2732</v>
      </c>
      <c r="Q526" s="3" t="s">
        <v>26</v>
      </c>
      <c r="R526" s="3">
        <v>0</v>
      </c>
      <c r="S526" s="3" t="s">
        <v>295</v>
      </c>
      <c r="T526" s="3" t="s">
        <v>432</v>
      </c>
      <c r="U526" s="3">
        <v>0</v>
      </c>
      <c r="V526" s="3">
        <v>24</v>
      </c>
      <c r="W526" s="3">
        <v>63</v>
      </c>
    </row>
    <row r="527" spans="1:23" ht="11.25" customHeight="1" x14ac:dyDescent="0.25">
      <c r="A527" s="3" t="s">
        <v>27</v>
      </c>
      <c r="B527" s="3" t="s">
        <v>40</v>
      </c>
      <c r="C527" s="3" t="s">
        <v>23</v>
      </c>
      <c r="D527" s="3" t="s">
        <v>41</v>
      </c>
      <c r="E527" s="3" t="s">
        <v>25</v>
      </c>
      <c r="F527" s="3" t="s">
        <v>25</v>
      </c>
      <c r="G527" s="3" t="s">
        <v>25</v>
      </c>
      <c r="H527" s="3" t="s">
        <v>25</v>
      </c>
      <c r="I527" s="6">
        <v>44593</v>
      </c>
      <c r="J527" s="4">
        <v>0</v>
      </c>
      <c r="K527" s="4">
        <v>0</v>
      </c>
      <c r="L527" s="4">
        <v>-1.3819999999999999</v>
      </c>
      <c r="M527" s="4">
        <v>-1.3819999999999999</v>
      </c>
      <c r="N527" s="4">
        <v>-1.3819999999999999</v>
      </c>
      <c r="O527" s="4">
        <v>-1.3819999999999999</v>
      </c>
      <c r="P527" s="4">
        <v>0</v>
      </c>
      <c r="Q527" s="3" t="s">
        <v>26</v>
      </c>
      <c r="R527" s="3">
        <v>0</v>
      </c>
      <c r="S527" s="3" t="s">
        <v>295</v>
      </c>
      <c r="T527" s="3" t="s">
        <v>432</v>
      </c>
      <c r="U527" s="3">
        <v>0</v>
      </c>
      <c r="V527" s="3">
        <v>24</v>
      </c>
      <c r="W527" s="3">
        <v>63</v>
      </c>
    </row>
    <row r="528" spans="1:23" ht="11.25" customHeight="1" x14ac:dyDescent="0.25">
      <c r="A528" s="3" t="s">
        <v>28</v>
      </c>
      <c r="B528" s="3" t="s">
        <v>40</v>
      </c>
      <c r="C528" s="3" t="s">
        <v>23</v>
      </c>
      <c r="D528" s="3" t="s">
        <v>41</v>
      </c>
      <c r="E528" s="3" t="s">
        <v>25</v>
      </c>
      <c r="F528" s="3" t="s">
        <v>25</v>
      </c>
      <c r="G528" s="3" t="s">
        <v>25</v>
      </c>
      <c r="H528" s="3" t="s">
        <v>25</v>
      </c>
      <c r="I528" s="6">
        <v>44593</v>
      </c>
      <c r="J528" s="4">
        <v>0</v>
      </c>
      <c r="K528" s="4">
        <v>0</v>
      </c>
      <c r="L528" s="4">
        <v>166.44300000000001</v>
      </c>
      <c r="M528" s="4">
        <v>166.44300000000001</v>
      </c>
      <c r="N528" s="4">
        <v>166.44300000000001</v>
      </c>
      <c r="O528" s="4">
        <v>166.44300000000001</v>
      </c>
      <c r="P528" s="4">
        <v>190</v>
      </c>
      <c r="Q528" s="3" t="s">
        <v>26</v>
      </c>
      <c r="R528" s="3">
        <v>0</v>
      </c>
      <c r="S528" s="3" t="s">
        <v>295</v>
      </c>
      <c r="T528" s="3" t="s">
        <v>432</v>
      </c>
      <c r="U528" s="3">
        <v>0</v>
      </c>
      <c r="V528" s="3">
        <v>24</v>
      </c>
      <c r="W528" s="3">
        <v>63</v>
      </c>
    </row>
    <row r="529" spans="1:23" ht="11.25" customHeight="1" x14ac:dyDescent="0.25">
      <c r="A529" s="3" t="s">
        <v>21</v>
      </c>
      <c r="B529" s="3" t="s">
        <v>40</v>
      </c>
      <c r="C529" s="3" t="s">
        <v>23</v>
      </c>
      <c r="D529" s="3" t="s">
        <v>41</v>
      </c>
      <c r="E529" s="3" t="s">
        <v>25</v>
      </c>
      <c r="F529" s="3" t="s">
        <v>25</v>
      </c>
      <c r="G529" s="3" t="s">
        <v>25</v>
      </c>
      <c r="H529" s="3" t="s">
        <v>25</v>
      </c>
      <c r="I529" s="6">
        <v>44621</v>
      </c>
      <c r="J529" s="4">
        <v>0</v>
      </c>
      <c r="K529" s="4">
        <v>0</v>
      </c>
      <c r="L529" s="4">
        <v>2046.8019999999999</v>
      </c>
      <c r="M529" s="4">
        <v>2046.8019999999999</v>
      </c>
      <c r="N529" s="4">
        <v>2046.8019999999999</v>
      </c>
      <c r="O529" s="4">
        <v>2046.8019999999999</v>
      </c>
      <c r="P529" s="4">
        <v>2718</v>
      </c>
      <c r="Q529" s="3" t="s">
        <v>26</v>
      </c>
      <c r="R529" s="3">
        <v>0</v>
      </c>
      <c r="S529" s="3" t="s">
        <v>296</v>
      </c>
      <c r="T529" s="3" t="s">
        <v>433</v>
      </c>
      <c r="U529" s="3">
        <v>0</v>
      </c>
      <c r="V529" s="3">
        <v>24</v>
      </c>
      <c r="W529" s="3">
        <v>63</v>
      </c>
    </row>
    <row r="530" spans="1:23" ht="11.25" customHeight="1" x14ac:dyDescent="0.25">
      <c r="A530" s="3" t="s">
        <v>28</v>
      </c>
      <c r="B530" s="3" t="s">
        <v>40</v>
      </c>
      <c r="C530" s="3" t="s">
        <v>23</v>
      </c>
      <c r="D530" s="3" t="s">
        <v>41</v>
      </c>
      <c r="E530" s="3" t="s">
        <v>25</v>
      </c>
      <c r="F530" s="3" t="s">
        <v>25</v>
      </c>
      <c r="G530" s="3" t="s">
        <v>25</v>
      </c>
      <c r="H530" s="3" t="s">
        <v>25</v>
      </c>
      <c r="I530" s="6">
        <v>44621</v>
      </c>
      <c r="J530" s="4">
        <v>0</v>
      </c>
      <c r="K530" s="4">
        <v>0</v>
      </c>
      <c r="L530" s="4">
        <v>189.286</v>
      </c>
      <c r="M530" s="4">
        <v>189.286</v>
      </c>
      <c r="N530" s="4">
        <v>189.286</v>
      </c>
      <c r="O530" s="4">
        <v>189.286</v>
      </c>
      <c r="P530" s="4">
        <v>200</v>
      </c>
      <c r="Q530" s="3" t="s">
        <v>26</v>
      </c>
      <c r="R530" s="3">
        <v>0</v>
      </c>
      <c r="S530" s="3" t="s">
        <v>296</v>
      </c>
      <c r="T530" s="3" t="s">
        <v>433</v>
      </c>
      <c r="U530" s="3">
        <v>0</v>
      </c>
      <c r="V530" s="3">
        <v>24</v>
      </c>
      <c r="W530" s="3">
        <v>63</v>
      </c>
    </row>
    <row r="531" spans="1:23" ht="11.25" customHeight="1" x14ac:dyDescent="0.25">
      <c r="A531" s="3" t="s">
        <v>21</v>
      </c>
      <c r="B531" s="3" t="s">
        <v>40</v>
      </c>
      <c r="C531" s="3" t="s">
        <v>23</v>
      </c>
      <c r="D531" s="3" t="s">
        <v>41</v>
      </c>
      <c r="E531" s="3" t="s">
        <v>25</v>
      </c>
      <c r="F531" s="3" t="s">
        <v>25</v>
      </c>
      <c r="G531" s="3" t="s">
        <v>25</v>
      </c>
      <c r="H531" s="3" t="s">
        <v>25</v>
      </c>
      <c r="I531" s="6">
        <v>44652</v>
      </c>
      <c r="J531" s="4">
        <v>0</v>
      </c>
      <c r="K531" s="4">
        <v>0</v>
      </c>
      <c r="L531" s="4">
        <v>1817.9490000000001</v>
      </c>
      <c r="M531" s="4">
        <v>1817.9490000000001</v>
      </c>
      <c r="N531" s="4">
        <v>1817.9490000000001</v>
      </c>
      <c r="O531" s="4">
        <v>1817.9490000000001</v>
      </c>
      <c r="P531" s="4">
        <v>2700</v>
      </c>
      <c r="Q531" s="3" t="s">
        <v>26</v>
      </c>
      <c r="R531" s="3">
        <v>0</v>
      </c>
      <c r="S531" s="3" t="s">
        <v>297</v>
      </c>
      <c r="T531" s="3" t="s">
        <v>434</v>
      </c>
      <c r="U531" s="3">
        <v>0</v>
      </c>
      <c r="V531" s="3">
        <v>24</v>
      </c>
      <c r="W531" s="3">
        <v>63</v>
      </c>
    </row>
    <row r="532" spans="1:23" ht="11.25" customHeight="1" x14ac:dyDescent="0.25">
      <c r="A532" s="3" t="s">
        <v>28</v>
      </c>
      <c r="B532" s="3" t="s">
        <v>40</v>
      </c>
      <c r="C532" s="3" t="s">
        <v>23</v>
      </c>
      <c r="D532" s="3" t="s">
        <v>41</v>
      </c>
      <c r="E532" s="3" t="s">
        <v>25</v>
      </c>
      <c r="F532" s="3" t="s">
        <v>25</v>
      </c>
      <c r="G532" s="3" t="s">
        <v>25</v>
      </c>
      <c r="H532" s="3" t="s">
        <v>25</v>
      </c>
      <c r="I532" s="6">
        <v>44652</v>
      </c>
      <c r="J532" s="4">
        <v>0</v>
      </c>
      <c r="K532" s="4">
        <v>0</v>
      </c>
      <c r="L532" s="4">
        <v>220.4</v>
      </c>
      <c r="M532" s="4">
        <v>220.4</v>
      </c>
      <c r="N532" s="4">
        <v>220.4</v>
      </c>
      <c r="O532" s="4">
        <v>220.4</v>
      </c>
      <c r="P532" s="4">
        <v>211</v>
      </c>
      <c r="Q532" s="3" t="s">
        <v>26</v>
      </c>
      <c r="R532" s="3">
        <v>0</v>
      </c>
      <c r="S532" s="3" t="s">
        <v>297</v>
      </c>
      <c r="T532" s="3" t="s">
        <v>434</v>
      </c>
      <c r="U532" s="3">
        <v>0</v>
      </c>
      <c r="V532" s="3">
        <v>24</v>
      </c>
      <c r="W532" s="3">
        <v>63</v>
      </c>
    </row>
    <row r="533" spans="1:23" ht="11.25" customHeight="1" x14ac:dyDescent="0.25">
      <c r="A533" s="3" t="s">
        <v>21</v>
      </c>
      <c r="B533" s="3" t="s">
        <v>40</v>
      </c>
      <c r="C533" s="3" t="s">
        <v>23</v>
      </c>
      <c r="D533" s="3" t="s">
        <v>41</v>
      </c>
      <c r="E533" s="3" t="s">
        <v>25</v>
      </c>
      <c r="F533" s="3" t="s">
        <v>25</v>
      </c>
      <c r="G533" s="3" t="s">
        <v>25</v>
      </c>
      <c r="H533" s="3" t="s">
        <v>25</v>
      </c>
      <c r="I533" s="6">
        <v>44682</v>
      </c>
      <c r="J533" s="4">
        <v>0</v>
      </c>
      <c r="K533" s="4">
        <v>0</v>
      </c>
      <c r="L533" s="4">
        <v>1770.2080000000001</v>
      </c>
      <c r="M533" s="4">
        <v>1770.2080000000001</v>
      </c>
      <c r="N533" s="4">
        <v>1770.2080000000001</v>
      </c>
      <c r="O533" s="4">
        <v>1770.2080000000001</v>
      </c>
      <c r="P533" s="4">
        <v>2683</v>
      </c>
      <c r="Q533" s="3" t="s">
        <v>26</v>
      </c>
      <c r="R533" s="3">
        <v>0</v>
      </c>
      <c r="S533" s="3" t="s">
        <v>298</v>
      </c>
      <c r="T533" s="3" t="s">
        <v>435</v>
      </c>
      <c r="U533" s="3">
        <v>0</v>
      </c>
      <c r="V533" s="3">
        <v>24</v>
      </c>
      <c r="W533" s="3">
        <v>63</v>
      </c>
    </row>
    <row r="534" spans="1:23" ht="11.25" customHeight="1" x14ac:dyDescent="0.25">
      <c r="A534" s="3" t="s">
        <v>27</v>
      </c>
      <c r="B534" s="3" t="s">
        <v>40</v>
      </c>
      <c r="C534" s="3" t="s">
        <v>23</v>
      </c>
      <c r="D534" s="3" t="s">
        <v>41</v>
      </c>
      <c r="E534" s="3" t="s">
        <v>25</v>
      </c>
      <c r="F534" s="3" t="s">
        <v>25</v>
      </c>
      <c r="G534" s="3" t="s">
        <v>25</v>
      </c>
      <c r="H534" s="3" t="s">
        <v>25</v>
      </c>
      <c r="I534" s="6">
        <v>44682</v>
      </c>
      <c r="J534" s="4">
        <v>0</v>
      </c>
      <c r="K534" s="4">
        <v>0</v>
      </c>
      <c r="L534" s="4">
        <v>-1.9430000000000001</v>
      </c>
      <c r="M534" s="4">
        <v>-1.9430000000000001</v>
      </c>
      <c r="N534" s="4">
        <v>-1.9430000000000001</v>
      </c>
      <c r="O534" s="4">
        <v>-1.9430000000000001</v>
      </c>
      <c r="P534" s="4">
        <v>0</v>
      </c>
      <c r="Q534" s="3" t="s">
        <v>26</v>
      </c>
      <c r="R534" s="3">
        <v>0</v>
      </c>
      <c r="S534" s="3" t="s">
        <v>298</v>
      </c>
      <c r="T534" s="3" t="s">
        <v>435</v>
      </c>
      <c r="U534" s="3">
        <v>0</v>
      </c>
      <c r="V534" s="3">
        <v>24</v>
      </c>
      <c r="W534" s="3">
        <v>63</v>
      </c>
    </row>
    <row r="535" spans="1:23" ht="11.25" customHeight="1" x14ac:dyDescent="0.25">
      <c r="A535" s="3" t="s">
        <v>28</v>
      </c>
      <c r="B535" s="3" t="s">
        <v>40</v>
      </c>
      <c r="C535" s="3" t="s">
        <v>23</v>
      </c>
      <c r="D535" s="3" t="s">
        <v>41</v>
      </c>
      <c r="E535" s="3" t="s">
        <v>25</v>
      </c>
      <c r="F535" s="3" t="s">
        <v>25</v>
      </c>
      <c r="G535" s="3" t="s">
        <v>25</v>
      </c>
      <c r="H535" s="3" t="s">
        <v>25</v>
      </c>
      <c r="I535" s="6">
        <v>44682</v>
      </c>
      <c r="J535" s="4">
        <v>0</v>
      </c>
      <c r="K535" s="4">
        <v>0</v>
      </c>
      <c r="L535" s="4">
        <v>215.05799999999999</v>
      </c>
      <c r="M535" s="4">
        <v>215.05799999999999</v>
      </c>
      <c r="N535" s="4">
        <v>215.05799999999999</v>
      </c>
      <c r="O535" s="4">
        <v>215.05799999999999</v>
      </c>
      <c r="P535" s="4">
        <v>220</v>
      </c>
      <c r="Q535" s="3" t="s">
        <v>26</v>
      </c>
      <c r="R535" s="3">
        <v>0</v>
      </c>
      <c r="S535" s="3" t="s">
        <v>298</v>
      </c>
      <c r="T535" s="3" t="s">
        <v>435</v>
      </c>
      <c r="U535" s="3">
        <v>0</v>
      </c>
      <c r="V535" s="3">
        <v>24</v>
      </c>
      <c r="W535" s="3">
        <v>63</v>
      </c>
    </row>
    <row r="536" spans="1:23" ht="11.25" customHeight="1" x14ac:dyDescent="0.25">
      <c r="A536" s="3" t="s">
        <v>21</v>
      </c>
      <c r="B536" s="3" t="s">
        <v>40</v>
      </c>
      <c r="C536" s="3" t="s">
        <v>23</v>
      </c>
      <c r="D536" s="3" t="s">
        <v>41</v>
      </c>
      <c r="E536" s="3" t="s">
        <v>25</v>
      </c>
      <c r="F536" s="3" t="s">
        <v>25</v>
      </c>
      <c r="G536" s="3" t="s">
        <v>25</v>
      </c>
      <c r="H536" s="3" t="s">
        <v>25</v>
      </c>
      <c r="I536" s="6">
        <v>44713</v>
      </c>
      <c r="J536" s="4">
        <v>0</v>
      </c>
      <c r="K536" s="4">
        <v>0</v>
      </c>
      <c r="L536" s="4">
        <v>1768.6010000000001</v>
      </c>
      <c r="M536" s="4">
        <v>1768.6010000000001</v>
      </c>
      <c r="N536" s="4">
        <v>1768.6010000000001</v>
      </c>
      <c r="O536" s="4">
        <v>1768.6010000000001</v>
      </c>
      <c r="P536" s="4">
        <v>2659</v>
      </c>
      <c r="Q536" s="3" t="s">
        <v>26</v>
      </c>
      <c r="R536" s="3">
        <v>0</v>
      </c>
      <c r="S536" s="3" t="s">
        <v>299</v>
      </c>
      <c r="T536" s="3" t="s">
        <v>436</v>
      </c>
      <c r="U536" s="3">
        <v>0</v>
      </c>
      <c r="V536" s="3">
        <v>24</v>
      </c>
      <c r="W536" s="3">
        <v>63</v>
      </c>
    </row>
    <row r="537" spans="1:23" ht="11.25" customHeight="1" x14ac:dyDescent="0.25">
      <c r="A537" s="3" t="s">
        <v>27</v>
      </c>
      <c r="B537" s="3" t="s">
        <v>40</v>
      </c>
      <c r="C537" s="3" t="s">
        <v>23</v>
      </c>
      <c r="D537" s="3" t="s">
        <v>41</v>
      </c>
      <c r="E537" s="3" t="s">
        <v>25</v>
      </c>
      <c r="F537" s="3" t="s">
        <v>25</v>
      </c>
      <c r="G537" s="3" t="s">
        <v>25</v>
      </c>
      <c r="H537" s="3" t="s">
        <v>25</v>
      </c>
      <c r="I537" s="6">
        <v>44713</v>
      </c>
      <c r="J537" s="4">
        <v>0</v>
      </c>
      <c r="K537" s="4">
        <v>0</v>
      </c>
      <c r="L537" s="4">
        <v>1.6E-2</v>
      </c>
      <c r="M537" s="4">
        <v>1.6E-2</v>
      </c>
      <c r="N537" s="4">
        <v>1.6E-2</v>
      </c>
      <c r="O537" s="4">
        <v>1.6E-2</v>
      </c>
      <c r="P537" s="4">
        <v>0</v>
      </c>
      <c r="Q537" s="3" t="s">
        <v>26</v>
      </c>
      <c r="R537" s="3">
        <v>0</v>
      </c>
      <c r="S537" s="3" t="s">
        <v>299</v>
      </c>
      <c r="T537" s="3" t="s">
        <v>436</v>
      </c>
      <c r="U537" s="3">
        <v>0</v>
      </c>
      <c r="V537" s="3">
        <v>24</v>
      </c>
      <c r="W537" s="3">
        <v>63</v>
      </c>
    </row>
    <row r="538" spans="1:23" ht="11.25" customHeight="1" x14ac:dyDescent="0.25">
      <c r="A538" s="3" t="s">
        <v>28</v>
      </c>
      <c r="B538" s="3" t="s">
        <v>40</v>
      </c>
      <c r="C538" s="3" t="s">
        <v>23</v>
      </c>
      <c r="D538" s="3" t="s">
        <v>41</v>
      </c>
      <c r="E538" s="3" t="s">
        <v>25</v>
      </c>
      <c r="F538" s="3" t="s">
        <v>25</v>
      </c>
      <c r="G538" s="3" t="s">
        <v>25</v>
      </c>
      <c r="H538" s="3" t="s">
        <v>25</v>
      </c>
      <c r="I538" s="6">
        <v>44713</v>
      </c>
      <c r="J538" s="4">
        <v>0</v>
      </c>
      <c r="K538" s="4">
        <v>0</v>
      </c>
      <c r="L538" s="4">
        <v>272.21699999999998</v>
      </c>
      <c r="M538" s="4">
        <v>272.21699999999998</v>
      </c>
      <c r="N538" s="4">
        <v>272.21699999999998</v>
      </c>
      <c r="O538" s="4">
        <v>272.21699999999998</v>
      </c>
      <c r="P538" s="4">
        <v>234</v>
      </c>
      <c r="Q538" s="3" t="s">
        <v>26</v>
      </c>
      <c r="R538" s="3">
        <v>0</v>
      </c>
      <c r="S538" s="3" t="s">
        <v>299</v>
      </c>
      <c r="T538" s="3" t="s">
        <v>436</v>
      </c>
      <c r="U538" s="3">
        <v>0</v>
      </c>
      <c r="V538" s="3">
        <v>24</v>
      </c>
      <c r="W538" s="3">
        <v>63</v>
      </c>
    </row>
    <row r="539" spans="1:23" ht="11.25" customHeight="1" x14ac:dyDescent="0.25">
      <c r="A539" s="3" t="s">
        <v>21</v>
      </c>
      <c r="B539" s="3" t="s">
        <v>40</v>
      </c>
      <c r="C539" s="3" t="s">
        <v>23</v>
      </c>
      <c r="D539" s="3" t="s">
        <v>41</v>
      </c>
      <c r="E539" s="3" t="s">
        <v>25</v>
      </c>
      <c r="F539" s="3" t="s">
        <v>25</v>
      </c>
      <c r="G539" s="3" t="s">
        <v>25</v>
      </c>
      <c r="H539" s="3" t="s">
        <v>25</v>
      </c>
      <c r="I539" s="6">
        <v>44743</v>
      </c>
      <c r="J539" s="4">
        <v>0</v>
      </c>
      <c r="K539" s="4">
        <v>0</v>
      </c>
      <c r="L539" s="4">
        <v>1750.258</v>
      </c>
      <c r="M539" s="4">
        <v>1750.258</v>
      </c>
      <c r="N539" s="4">
        <v>1750.258</v>
      </c>
      <c r="O539" s="4">
        <v>1750.258</v>
      </c>
      <c r="P539" s="4">
        <v>2648</v>
      </c>
      <c r="Q539" s="3" t="s">
        <v>26</v>
      </c>
      <c r="R539" s="3">
        <v>0</v>
      </c>
      <c r="S539" s="3" t="s">
        <v>300</v>
      </c>
      <c r="T539" s="3" t="s">
        <v>437</v>
      </c>
      <c r="U539" s="3">
        <v>0</v>
      </c>
      <c r="V539" s="3">
        <v>24</v>
      </c>
      <c r="W539" s="3">
        <v>63</v>
      </c>
    </row>
    <row r="540" spans="1:23" ht="11.25" customHeight="1" x14ac:dyDescent="0.25">
      <c r="A540" s="3" t="s">
        <v>21</v>
      </c>
      <c r="B540" s="3" t="s">
        <v>40</v>
      </c>
      <c r="C540" s="3" t="s">
        <v>23</v>
      </c>
      <c r="D540" s="3" t="s">
        <v>41</v>
      </c>
      <c r="E540" s="3" t="s">
        <v>25</v>
      </c>
      <c r="F540" s="3" t="s">
        <v>25</v>
      </c>
      <c r="G540" s="3" t="s">
        <v>25</v>
      </c>
      <c r="H540" s="3" t="s">
        <v>25</v>
      </c>
      <c r="I540" s="6">
        <v>44774</v>
      </c>
      <c r="J540" s="4">
        <v>0</v>
      </c>
      <c r="K540" s="4">
        <v>0</v>
      </c>
      <c r="L540" s="4">
        <v>1788.298</v>
      </c>
      <c r="M540" s="4">
        <v>1788.298</v>
      </c>
      <c r="N540" s="4">
        <v>1788.298</v>
      </c>
      <c r="O540" s="4">
        <v>1788.298</v>
      </c>
      <c r="P540" s="4">
        <v>2647</v>
      </c>
      <c r="Q540" s="3" t="s">
        <v>26</v>
      </c>
      <c r="R540" s="3">
        <v>0</v>
      </c>
      <c r="S540" s="3" t="s">
        <v>301</v>
      </c>
      <c r="T540" s="3" t="s">
        <v>438</v>
      </c>
      <c r="U540" s="3">
        <v>0</v>
      </c>
      <c r="V540" s="3">
        <v>24</v>
      </c>
      <c r="W540" s="3">
        <v>63</v>
      </c>
    </row>
    <row r="541" spans="1:23" ht="11.25" customHeight="1" x14ac:dyDescent="0.25">
      <c r="A541" s="3" t="s">
        <v>28</v>
      </c>
      <c r="B541" s="3" t="s">
        <v>40</v>
      </c>
      <c r="C541" s="3" t="s">
        <v>23</v>
      </c>
      <c r="D541" s="3" t="s">
        <v>41</v>
      </c>
      <c r="E541" s="3" t="s">
        <v>25</v>
      </c>
      <c r="F541" s="3" t="s">
        <v>25</v>
      </c>
      <c r="G541" s="3" t="s">
        <v>25</v>
      </c>
      <c r="H541" s="3" t="s">
        <v>25</v>
      </c>
      <c r="I541" s="6">
        <v>44774</v>
      </c>
      <c r="J541" s="4">
        <v>0</v>
      </c>
      <c r="K541" s="4">
        <v>0</v>
      </c>
      <c r="L541" s="4">
        <v>261.53300000000002</v>
      </c>
      <c r="M541" s="4">
        <v>261.53300000000002</v>
      </c>
      <c r="N541" s="4">
        <v>261.53300000000002</v>
      </c>
      <c r="O541" s="4">
        <v>261.53300000000002</v>
      </c>
      <c r="P541" s="4">
        <v>242</v>
      </c>
      <c r="Q541" s="3" t="s">
        <v>26</v>
      </c>
      <c r="R541" s="3">
        <v>0</v>
      </c>
      <c r="S541" s="3" t="s">
        <v>301</v>
      </c>
      <c r="T541" s="3" t="s">
        <v>438</v>
      </c>
      <c r="U541" s="3">
        <v>0</v>
      </c>
      <c r="V541" s="3">
        <v>24</v>
      </c>
      <c r="W541" s="3">
        <v>63</v>
      </c>
    </row>
    <row r="542" spans="1:23" ht="11.25" customHeight="1" x14ac:dyDescent="0.25">
      <c r="A542" s="3" t="s">
        <v>21</v>
      </c>
      <c r="B542" s="3" t="s">
        <v>33</v>
      </c>
      <c r="C542" s="3" t="s">
        <v>23</v>
      </c>
      <c r="D542" s="3" t="s">
        <v>39</v>
      </c>
      <c r="E542" s="3" t="s">
        <v>25</v>
      </c>
      <c r="F542" s="3" t="s">
        <v>25</v>
      </c>
      <c r="G542" s="3" t="s">
        <v>25</v>
      </c>
      <c r="H542" s="3" t="s">
        <v>25</v>
      </c>
      <c r="I542" s="6">
        <v>44440</v>
      </c>
      <c r="J542" s="4">
        <v>0</v>
      </c>
      <c r="K542" s="4">
        <v>0</v>
      </c>
      <c r="L542" s="4">
        <v>891.15800000000002</v>
      </c>
      <c r="M542" s="4">
        <v>891.15800000000002</v>
      </c>
      <c r="N542" s="4">
        <v>891.15800000000002</v>
      </c>
      <c r="O542" s="4">
        <v>891.15800000000002</v>
      </c>
      <c r="P542" s="4">
        <v>1596</v>
      </c>
      <c r="Q542" s="3" t="s">
        <v>26</v>
      </c>
      <c r="R542" s="3">
        <v>0</v>
      </c>
      <c r="S542" s="3" t="s">
        <v>302</v>
      </c>
      <c r="T542" s="3" t="s">
        <v>439</v>
      </c>
      <c r="U542" s="3">
        <v>0</v>
      </c>
      <c r="V542" s="3">
        <v>35</v>
      </c>
      <c r="W542" s="3">
        <v>62</v>
      </c>
    </row>
    <row r="543" spans="1:23" ht="11.25" customHeight="1" x14ac:dyDescent="0.25">
      <c r="A543" s="3" t="s">
        <v>28</v>
      </c>
      <c r="B543" s="3" t="s">
        <v>33</v>
      </c>
      <c r="C543" s="3" t="s">
        <v>23</v>
      </c>
      <c r="D543" s="3" t="s">
        <v>39</v>
      </c>
      <c r="E543" s="3" t="s">
        <v>25</v>
      </c>
      <c r="F543" s="3" t="s">
        <v>25</v>
      </c>
      <c r="G543" s="3" t="s">
        <v>25</v>
      </c>
      <c r="H543" s="3" t="s">
        <v>25</v>
      </c>
      <c r="I543" s="6">
        <v>44440</v>
      </c>
      <c r="J543" s="4">
        <v>0</v>
      </c>
      <c r="K543" s="4">
        <v>0</v>
      </c>
      <c r="L543" s="4">
        <v>49.981999999999999</v>
      </c>
      <c r="M543" s="4">
        <v>49.981999999999999</v>
      </c>
      <c r="N543" s="4">
        <v>49.981999999999999</v>
      </c>
      <c r="O543" s="4">
        <v>49.981999999999999</v>
      </c>
      <c r="P543" s="4">
        <v>98</v>
      </c>
      <c r="Q543" s="3" t="s">
        <v>26</v>
      </c>
      <c r="R543" s="3">
        <v>0</v>
      </c>
      <c r="S543" s="3" t="s">
        <v>302</v>
      </c>
      <c r="T543" s="3" t="s">
        <v>439</v>
      </c>
      <c r="U543" s="3">
        <v>0</v>
      </c>
      <c r="V543" s="3">
        <v>35</v>
      </c>
      <c r="W543" s="3">
        <v>62</v>
      </c>
    </row>
    <row r="544" spans="1:23" ht="11.25" customHeight="1" x14ac:dyDescent="0.25">
      <c r="A544" s="3" t="s">
        <v>21</v>
      </c>
      <c r="B544" s="3" t="s">
        <v>33</v>
      </c>
      <c r="C544" s="3" t="s">
        <v>23</v>
      </c>
      <c r="D544" s="3" t="s">
        <v>39</v>
      </c>
      <c r="E544" s="3" t="s">
        <v>25</v>
      </c>
      <c r="F544" s="3" t="s">
        <v>25</v>
      </c>
      <c r="G544" s="3" t="s">
        <v>25</v>
      </c>
      <c r="H544" s="3" t="s">
        <v>25</v>
      </c>
      <c r="I544" s="6">
        <v>44470</v>
      </c>
      <c r="J544" s="4">
        <v>0</v>
      </c>
      <c r="K544" s="4">
        <v>0</v>
      </c>
      <c r="L544" s="4">
        <v>900.05899999999997</v>
      </c>
      <c r="M544" s="4">
        <v>900.05899999999997</v>
      </c>
      <c r="N544" s="4">
        <v>900.05899999999997</v>
      </c>
      <c r="O544" s="4">
        <v>900.05899999999997</v>
      </c>
      <c r="P544" s="4">
        <v>1597</v>
      </c>
      <c r="Q544" s="3" t="s">
        <v>26</v>
      </c>
      <c r="R544" s="3">
        <v>0</v>
      </c>
      <c r="S544" s="3" t="s">
        <v>303</v>
      </c>
      <c r="T544" s="3" t="s">
        <v>440</v>
      </c>
      <c r="U544" s="3">
        <v>0</v>
      </c>
      <c r="V544" s="3">
        <v>35</v>
      </c>
      <c r="W544" s="3">
        <v>62</v>
      </c>
    </row>
    <row r="545" spans="1:23" ht="11.25" customHeight="1" x14ac:dyDescent="0.25">
      <c r="A545" s="3" t="s">
        <v>28</v>
      </c>
      <c r="B545" s="3" t="s">
        <v>33</v>
      </c>
      <c r="C545" s="3" t="s">
        <v>23</v>
      </c>
      <c r="D545" s="3" t="s">
        <v>39</v>
      </c>
      <c r="E545" s="3" t="s">
        <v>25</v>
      </c>
      <c r="F545" s="3" t="s">
        <v>25</v>
      </c>
      <c r="G545" s="3" t="s">
        <v>25</v>
      </c>
      <c r="H545" s="3" t="s">
        <v>25</v>
      </c>
      <c r="I545" s="6">
        <v>44470</v>
      </c>
      <c r="J545" s="4">
        <v>0</v>
      </c>
      <c r="K545" s="4">
        <v>0</v>
      </c>
      <c r="L545" s="4">
        <v>45.991999999999997</v>
      </c>
      <c r="M545" s="4">
        <v>45.991999999999997</v>
      </c>
      <c r="N545" s="4">
        <v>45.991999999999997</v>
      </c>
      <c r="O545" s="4">
        <v>45.991999999999997</v>
      </c>
      <c r="P545" s="4">
        <v>98</v>
      </c>
      <c r="Q545" s="3" t="s">
        <v>26</v>
      </c>
      <c r="R545" s="3">
        <v>0</v>
      </c>
      <c r="S545" s="3" t="s">
        <v>303</v>
      </c>
      <c r="T545" s="3" t="s">
        <v>440</v>
      </c>
      <c r="U545" s="3">
        <v>0</v>
      </c>
      <c r="V545" s="3">
        <v>35</v>
      </c>
      <c r="W545" s="3">
        <v>62</v>
      </c>
    </row>
    <row r="546" spans="1:23" ht="11.25" customHeight="1" x14ac:dyDescent="0.25">
      <c r="A546" s="3" t="s">
        <v>21</v>
      </c>
      <c r="B546" s="3" t="s">
        <v>33</v>
      </c>
      <c r="C546" s="3" t="s">
        <v>23</v>
      </c>
      <c r="D546" s="3" t="s">
        <v>39</v>
      </c>
      <c r="E546" s="3" t="s">
        <v>25</v>
      </c>
      <c r="F546" s="3" t="s">
        <v>25</v>
      </c>
      <c r="G546" s="3" t="s">
        <v>25</v>
      </c>
      <c r="H546" s="3" t="s">
        <v>25</v>
      </c>
      <c r="I546" s="6">
        <v>44501</v>
      </c>
      <c r="J546" s="4">
        <v>0</v>
      </c>
      <c r="K546" s="4">
        <v>0</v>
      </c>
      <c r="L546" s="4">
        <v>1000.95</v>
      </c>
      <c r="M546" s="4">
        <v>1000.95</v>
      </c>
      <c r="N546" s="4">
        <v>1000.95</v>
      </c>
      <c r="O546" s="4">
        <v>1000.95</v>
      </c>
      <c r="P546" s="4">
        <v>1591</v>
      </c>
      <c r="Q546" s="3" t="s">
        <v>26</v>
      </c>
      <c r="R546" s="3">
        <v>0</v>
      </c>
      <c r="S546" s="3" t="s">
        <v>304</v>
      </c>
      <c r="T546" s="3" t="s">
        <v>441</v>
      </c>
      <c r="U546" s="3">
        <v>0</v>
      </c>
      <c r="V546" s="3">
        <v>35</v>
      </c>
      <c r="W546" s="3">
        <v>62</v>
      </c>
    </row>
    <row r="547" spans="1:23" ht="11.25" customHeight="1" x14ac:dyDescent="0.25">
      <c r="A547" s="3" t="s">
        <v>27</v>
      </c>
      <c r="B547" s="3" t="s">
        <v>33</v>
      </c>
      <c r="C547" s="3" t="s">
        <v>23</v>
      </c>
      <c r="D547" s="3" t="s">
        <v>39</v>
      </c>
      <c r="E547" s="3" t="s">
        <v>25</v>
      </c>
      <c r="F547" s="3" t="s">
        <v>25</v>
      </c>
      <c r="G547" s="3" t="s">
        <v>25</v>
      </c>
      <c r="H547" s="3" t="s">
        <v>25</v>
      </c>
      <c r="I547" s="6">
        <v>44501</v>
      </c>
      <c r="J547" s="4">
        <v>0</v>
      </c>
      <c r="K547" s="4">
        <v>0</v>
      </c>
      <c r="L547" s="4">
        <v>-0.83399999999999996</v>
      </c>
      <c r="M547" s="4">
        <v>-0.83399999999999996</v>
      </c>
      <c r="N547" s="4">
        <v>-0.83399999999999996</v>
      </c>
      <c r="O547" s="4">
        <v>-0.83399999999999996</v>
      </c>
      <c r="P547" s="4">
        <v>0</v>
      </c>
      <c r="Q547" s="3" t="s">
        <v>26</v>
      </c>
      <c r="R547" s="3">
        <v>0</v>
      </c>
      <c r="S547" s="3" t="s">
        <v>304</v>
      </c>
      <c r="T547" s="3" t="s">
        <v>441</v>
      </c>
      <c r="U547" s="3">
        <v>0</v>
      </c>
      <c r="V547" s="3">
        <v>35</v>
      </c>
      <c r="W547" s="3">
        <v>62</v>
      </c>
    </row>
    <row r="548" spans="1:23" ht="11.25" customHeight="1" x14ac:dyDescent="0.25">
      <c r="A548" s="3" t="s">
        <v>28</v>
      </c>
      <c r="B548" s="3" t="s">
        <v>33</v>
      </c>
      <c r="C548" s="3" t="s">
        <v>23</v>
      </c>
      <c r="D548" s="3" t="s">
        <v>39</v>
      </c>
      <c r="E548" s="3" t="s">
        <v>25</v>
      </c>
      <c r="F548" s="3" t="s">
        <v>25</v>
      </c>
      <c r="G548" s="3" t="s">
        <v>25</v>
      </c>
      <c r="H548" s="3" t="s">
        <v>25</v>
      </c>
      <c r="I548" s="6">
        <v>44501</v>
      </c>
      <c r="J548" s="4">
        <v>0</v>
      </c>
      <c r="K548" s="4">
        <v>0</v>
      </c>
      <c r="L548" s="4">
        <v>36.094999999999999</v>
      </c>
      <c r="M548" s="4">
        <v>36.094999999999999</v>
      </c>
      <c r="N548" s="4">
        <v>36.094999999999999</v>
      </c>
      <c r="O548" s="4">
        <v>36.094999999999999</v>
      </c>
      <c r="P548" s="4">
        <v>104</v>
      </c>
      <c r="Q548" s="3" t="s">
        <v>26</v>
      </c>
      <c r="R548" s="3">
        <v>0</v>
      </c>
      <c r="S548" s="3" t="s">
        <v>304</v>
      </c>
      <c r="T548" s="3" t="s">
        <v>441</v>
      </c>
      <c r="U548" s="3">
        <v>0</v>
      </c>
      <c r="V548" s="3">
        <v>35</v>
      </c>
      <c r="W548" s="3">
        <v>62</v>
      </c>
    </row>
    <row r="549" spans="1:23" ht="11.25" customHeight="1" x14ac:dyDescent="0.25">
      <c r="A549" s="3" t="s">
        <v>21</v>
      </c>
      <c r="B549" s="3" t="s">
        <v>33</v>
      </c>
      <c r="C549" s="3" t="s">
        <v>23</v>
      </c>
      <c r="D549" s="3" t="s">
        <v>39</v>
      </c>
      <c r="E549" s="3" t="s">
        <v>25</v>
      </c>
      <c r="F549" s="3" t="s">
        <v>25</v>
      </c>
      <c r="G549" s="3" t="s">
        <v>25</v>
      </c>
      <c r="H549" s="3" t="s">
        <v>25</v>
      </c>
      <c r="I549" s="6">
        <v>44531</v>
      </c>
      <c r="J549" s="4">
        <v>0</v>
      </c>
      <c r="K549" s="4">
        <v>0</v>
      </c>
      <c r="L549" s="4">
        <v>1108.1130000000001</v>
      </c>
      <c r="M549" s="4">
        <v>1108.1130000000001</v>
      </c>
      <c r="N549" s="4">
        <v>1108.1130000000001</v>
      </c>
      <c r="O549" s="4">
        <v>1108.1130000000001</v>
      </c>
      <c r="P549" s="4">
        <v>1589</v>
      </c>
      <c r="Q549" s="3" t="s">
        <v>26</v>
      </c>
      <c r="R549" s="3">
        <v>0</v>
      </c>
      <c r="S549" s="3" t="s">
        <v>305</v>
      </c>
      <c r="T549" s="3" t="s">
        <v>442</v>
      </c>
      <c r="U549" s="3">
        <v>0</v>
      </c>
      <c r="V549" s="3">
        <v>35</v>
      </c>
      <c r="W549" s="3">
        <v>62</v>
      </c>
    </row>
    <row r="550" spans="1:23" ht="11.25" customHeight="1" x14ac:dyDescent="0.25">
      <c r="A550" s="3" t="s">
        <v>28</v>
      </c>
      <c r="B550" s="3" t="s">
        <v>33</v>
      </c>
      <c r="C550" s="3" t="s">
        <v>23</v>
      </c>
      <c r="D550" s="3" t="s">
        <v>39</v>
      </c>
      <c r="E550" s="3" t="s">
        <v>25</v>
      </c>
      <c r="F550" s="3" t="s">
        <v>25</v>
      </c>
      <c r="G550" s="3" t="s">
        <v>25</v>
      </c>
      <c r="H550" s="3" t="s">
        <v>25</v>
      </c>
      <c r="I550" s="6">
        <v>44531</v>
      </c>
      <c r="J550" s="4">
        <v>0</v>
      </c>
      <c r="K550" s="4">
        <v>0</v>
      </c>
      <c r="L550" s="4">
        <v>38.073</v>
      </c>
      <c r="M550" s="4">
        <v>38.073</v>
      </c>
      <c r="N550" s="4">
        <v>38.073</v>
      </c>
      <c r="O550" s="4">
        <v>38.073</v>
      </c>
      <c r="P550" s="4">
        <v>111</v>
      </c>
      <c r="Q550" s="3" t="s">
        <v>26</v>
      </c>
      <c r="R550" s="3">
        <v>0</v>
      </c>
      <c r="S550" s="3" t="s">
        <v>305</v>
      </c>
      <c r="T550" s="3" t="s">
        <v>442</v>
      </c>
      <c r="U550" s="3">
        <v>0</v>
      </c>
      <c r="V550" s="3">
        <v>35</v>
      </c>
      <c r="W550" s="3">
        <v>62</v>
      </c>
    </row>
    <row r="551" spans="1:23" ht="11.25" customHeight="1" x14ac:dyDescent="0.25">
      <c r="A551" s="3" t="s">
        <v>21</v>
      </c>
      <c r="B551" s="3" t="s">
        <v>33</v>
      </c>
      <c r="C551" s="3" t="s">
        <v>23</v>
      </c>
      <c r="D551" s="3" t="s">
        <v>39</v>
      </c>
      <c r="E551" s="3" t="s">
        <v>25</v>
      </c>
      <c r="F551" s="3" t="s">
        <v>25</v>
      </c>
      <c r="G551" s="3" t="s">
        <v>25</v>
      </c>
      <c r="H551" s="3" t="s">
        <v>25</v>
      </c>
      <c r="I551" s="6">
        <v>44562</v>
      </c>
      <c r="J551" s="4">
        <v>0</v>
      </c>
      <c r="K551" s="4">
        <v>0</v>
      </c>
      <c r="L551" s="4">
        <v>1103.248</v>
      </c>
      <c r="M551" s="4">
        <v>1103.248</v>
      </c>
      <c r="N551" s="4">
        <v>1103.248</v>
      </c>
      <c r="O551" s="4">
        <v>1103.248</v>
      </c>
      <c r="P551" s="4">
        <v>1594</v>
      </c>
      <c r="Q551" s="3" t="s">
        <v>26</v>
      </c>
      <c r="R551" s="3">
        <v>0</v>
      </c>
      <c r="S551" s="3" t="s">
        <v>306</v>
      </c>
      <c r="T551" s="3" t="s">
        <v>443</v>
      </c>
      <c r="U551" s="3">
        <v>0</v>
      </c>
      <c r="V551" s="3">
        <v>35</v>
      </c>
      <c r="W551" s="3">
        <v>62</v>
      </c>
    </row>
    <row r="552" spans="1:23" ht="11.25" customHeight="1" x14ac:dyDescent="0.25">
      <c r="A552" s="3" t="s">
        <v>28</v>
      </c>
      <c r="B552" s="3" t="s">
        <v>33</v>
      </c>
      <c r="C552" s="3" t="s">
        <v>23</v>
      </c>
      <c r="D552" s="3" t="s">
        <v>39</v>
      </c>
      <c r="E552" s="3" t="s">
        <v>25</v>
      </c>
      <c r="F552" s="3" t="s">
        <v>25</v>
      </c>
      <c r="G552" s="3" t="s">
        <v>25</v>
      </c>
      <c r="H552" s="3" t="s">
        <v>25</v>
      </c>
      <c r="I552" s="6">
        <v>44562</v>
      </c>
      <c r="J552" s="4">
        <v>0</v>
      </c>
      <c r="K552" s="4">
        <v>0</v>
      </c>
      <c r="L552" s="4">
        <v>37.479999999999997</v>
      </c>
      <c r="M552" s="4">
        <v>37.479999999999997</v>
      </c>
      <c r="N552" s="4">
        <v>37.479999999999997</v>
      </c>
      <c r="O552" s="4">
        <v>37.479999999999997</v>
      </c>
      <c r="P552" s="4">
        <v>116</v>
      </c>
      <c r="Q552" s="3" t="s">
        <v>26</v>
      </c>
      <c r="R552" s="3">
        <v>0</v>
      </c>
      <c r="S552" s="3" t="s">
        <v>306</v>
      </c>
      <c r="T552" s="3" t="s">
        <v>443</v>
      </c>
      <c r="U552" s="3">
        <v>0</v>
      </c>
      <c r="V552" s="3">
        <v>35</v>
      </c>
      <c r="W552" s="3">
        <v>62</v>
      </c>
    </row>
    <row r="553" spans="1:23" ht="11.25" customHeight="1" x14ac:dyDescent="0.25">
      <c r="A553" s="3" t="s">
        <v>21</v>
      </c>
      <c r="B553" s="3" t="s">
        <v>33</v>
      </c>
      <c r="C553" s="3" t="s">
        <v>23</v>
      </c>
      <c r="D553" s="3" t="s">
        <v>39</v>
      </c>
      <c r="E553" s="3" t="s">
        <v>25</v>
      </c>
      <c r="F553" s="3" t="s">
        <v>25</v>
      </c>
      <c r="G553" s="3" t="s">
        <v>25</v>
      </c>
      <c r="H553" s="3" t="s">
        <v>25</v>
      </c>
      <c r="I553" s="6">
        <v>44593</v>
      </c>
      <c r="J553" s="4">
        <v>0</v>
      </c>
      <c r="K553" s="4">
        <v>0</v>
      </c>
      <c r="L553" s="4">
        <v>1315.626</v>
      </c>
      <c r="M553" s="4">
        <v>1315.626</v>
      </c>
      <c r="N553" s="4">
        <v>1315.626</v>
      </c>
      <c r="O553" s="4">
        <v>1315.626</v>
      </c>
      <c r="P553" s="4">
        <v>1598</v>
      </c>
      <c r="Q553" s="3" t="s">
        <v>26</v>
      </c>
      <c r="R553" s="3">
        <v>0</v>
      </c>
      <c r="S553" s="3" t="s">
        <v>307</v>
      </c>
      <c r="T553" s="3" t="s">
        <v>444</v>
      </c>
      <c r="U553" s="3">
        <v>0</v>
      </c>
      <c r="V553" s="3">
        <v>35</v>
      </c>
      <c r="W553" s="3">
        <v>62</v>
      </c>
    </row>
    <row r="554" spans="1:23" ht="11.25" customHeight="1" x14ac:dyDescent="0.25">
      <c r="A554" s="3" t="s">
        <v>28</v>
      </c>
      <c r="B554" s="3" t="s">
        <v>33</v>
      </c>
      <c r="C554" s="3" t="s">
        <v>23</v>
      </c>
      <c r="D554" s="3" t="s">
        <v>39</v>
      </c>
      <c r="E554" s="3" t="s">
        <v>25</v>
      </c>
      <c r="F554" s="3" t="s">
        <v>25</v>
      </c>
      <c r="G554" s="3" t="s">
        <v>25</v>
      </c>
      <c r="H554" s="3" t="s">
        <v>25</v>
      </c>
      <c r="I554" s="6">
        <v>44593</v>
      </c>
      <c r="J554" s="4">
        <v>0</v>
      </c>
      <c r="K554" s="4">
        <v>0</v>
      </c>
      <c r="L554" s="4">
        <v>62.204000000000001</v>
      </c>
      <c r="M554" s="4">
        <v>62.204000000000001</v>
      </c>
      <c r="N554" s="4">
        <v>62.204000000000001</v>
      </c>
      <c r="O554" s="4">
        <v>62.204000000000001</v>
      </c>
      <c r="P554" s="4">
        <v>119</v>
      </c>
      <c r="Q554" s="3" t="s">
        <v>26</v>
      </c>
      <c r="R554" s="3">
        <v>0</v>
      </c>
      <c r="S554" s="3" t="s">
        <v>307</v>
      </c>
      <c r="T554" s="3" t="s">
        <v>444</v>
      </c>
      <c r="U554" s="3">
        <v>0</v>
      </c>
      <c r="V554" s="3">
        <v>35</v>
      </c>
      <c r="W554" s="3">
        <v>62</v>
      </c>
    </row>
    <row r="555" spans="1:23" ht="11.25" customHeight="1" x14ac:dyDescent="0.25">
      <c r="A555" s="3" t="s">
        <v>21</v>
      </c>
      <c r="B555" s="3" t="s">
        <v>33</v>
      </c>
      <c r="C555" s="3" t="s">
        <v>23</v>
      </c>
      <c r="D555" s="3" t="s">
        <v>39</v>
      </c>
      <c r="E555" s="3" t="s">
        <v>25</v>
      </c>
      <c r="F555" s="3" t="s">
        <v>25</v>
      </c>
      <c r="G555" s="3" t="s">
        <v>25</v>
      </c>
      <c r="H555" s="3" t="s">
        <v>25</v>
      </c>
      <c r="I555" s="6">
        <v>44621</v>
      </c>
      <c r="J555" s="4">
        <v>0</v>
      </c>
      <c r="K555" s="4">
        <v>0</v>
      </c>
      <c r="L555" s="4">
        <v>1138.4780000000001</v>
      </c>
      <c r="M555" s="4">
        <v>1138.4780000000001</v>
      </c>
      <c r="N555" s="4">
        <v>1138.4780000000001</v>
      </c>
      <c r="O555" s="4">
        <v>1138.4780000000001</v>
      </c>
      <c r="P555" s="4">
        <v>1594</v>
      </c>
      <c r="Q555" s="3" t="s">
        <v>26</v>
      </c>
      <c r="R555" s="3">
        <v>0</v>
      </c>
      <c r="S555" s="3" t="s">
        <v>308</v>
      </c>
      <c r="T555" s="3" t="s">
        <v>445</v>
      </c>
      <c r="U555" s="3">
        <v>0</v>
      </c>
      <c r="V555" s="3">
        <v>35</v>
      </c>
      <c r="W555" s="3">
        <v>62</v>
      </c>
    </row>
    <row r="556" spans="1:23" ht="11.25" customHeight="1" x14ac:dyDescent="0.25">
      <c r="A556" s="3" t="s">
        <v>28</v>
      </c>
      <c r="B556" s="3" t="s">
        <v>33</v>
      </c>
      <c r="C556" s="3" t="s">
        <v>23</v>
      </c>
      <c r="D556" s="3" t="s">
        <v>39</v>
      </c>
      <c r="E556" s="3" t="s">
        <v>25</v>
      </c>
      <c r="F556" s="3" t="s">
        <v>25</v>
      </c>
      <c r="G556" s="3" t="s">
        <v>25</v>
      </c>
      <c r="H556" s="3" t="s">
        <v>25</v>
      </c>
      <c r="I556" s="6">
        <v>44621</v>
      </c>
      <c r="J556" s="4">
        <v>0</v>
      </c>
      <c r="K556" s="4">
        <v>0</v>
      </c>
      <c r="L556" s="4">
        <v>75.635000000000005</v>
      </c>
      <c r="M556" s="4">
        <v>75.635000000000005</v>
      </c>
      <c r="N556" s="4">
        <v>75.635000000000005</v>
      </c>
      <c r="O556" s="4">
        <v>75.635000000000005</v>
      </c>
      <c r="P556" s="4">
        <v>124</v>
      </c>
      <c r="Q556" s="3" t="s">
        <v>26</v>
      </c>
      <c r="R556" s="3">
        <v>0</v>
      </c>
      <c r="S556" s="3" t="s">
        <v>308</v>
      </c>
      <c r="T556" s="3" t="s">
        <v>445</v>
      </c>
      <c r="U556" s="3">
        <v>0</v>
      </c>
      <c r="V556" s="3">
        <v>35</v>
      </c>
      <c r="W556" s="3">
        <v>62</v>
      </c>
    </row>
    <row r="557" spans="1:23" ht="11.25" customHeight="1" x14ac:dyDescent="0.25">
      <c r="A557" s="3" t="s">
        <v>21</v>
      </c>
      <c r="B557" s="3" t="s">
        <v>33</v>
      </c>
      <c r="C557" s="3" t="s">
        <v>23</v>
      </c>
      <c r="D557" s="3" t="s">
        <v>39</v>
      </c>
      <c r="E557" s="3" t="s">
        <v>25</v>
      </c>
      <c r="F557" s="3" t="s">
        <v>25</v>
      </c>
      <c r="G557" s="3" t="s">
        <v>25</v>
      </c>
      <c r="H557" s="3" t="s">
        <v>25</v>
      </c>
      <c r="I557" s="6">
        <v>44652</v>
      </c>
      <c r="J557" s="4">
        <v>0</v>
      </c>
      <c r="K557" s="4">
        <v>0</v>
      </c>
      <c r="L557" s="4">
        <v>961.86400000000003</v>
      </c>
      <c r="M557" s="4">
        <v>961.86400000000003</v>
      </c>
      <c r="N557" s="4">
        <v>961.86400000000003</v>
      </c>
      <c r="O557" s="4">
        <v>961.86400000000003</v>
      </c>
      <c r="P557" s="4">
        <v>1590</v>
      </c>
      <c r="Q557" s="3" t="s">
        <v>26</v>
      </c>
      <c r="R557" s="3">
        <v>0</v>
      </c>
      <c r="S557" s="3" t="s">
        <v>309</v>
      </c>
      <c r="T557" s="3" t="s">
        <v>446</v>
      </c>
      <c r="U557" s="3">
        <v>0</v>
      </c>
      <c r="V557" s="3">
        <v>35</v>
      </c>
      <c r="W557" s="3">
        <v>62</v>
      </c>
    </row>
    <row r="558" spans="1:23" ht="11.25" customHeight="1" x14ac:dyDescent="0.25">
      <c r="A558" s="3" t="s">
        <v>28</v>
      </c>
      <c r="B558" s="3" t="s">
        <v>33</v>
      </c>
      <c r="C558" s="3" t="s">
        <v>23</v>
      </c>
      <c r="D558" s="3" t="s">
        <v>39</v>
      </c>
      <c r="E558" s="3" t="s">
        <v>25</v>
      </c>
      <c r="F558" s="3" t="s">
        <v>25</v>
      </c>
      <c r="G558" s="3" t="s">
        <v>25</v>
      </c>
      <c r="H558" s="3" t="s">
        <v>25</v>
      </c>
      <c r="I558" s="6">
        <v>44652</v>
      </c>
      <c r="J558" s="4">
        <v>0</v>
      </c>
      <c r="K558" s="4">
        <v>0</v>
      </c>
      <c r="L558" s="4">
        <v>58.238</v>
      </c>
      <c r="M558" s="4">
        <v>58.238</v>
      </c>
      <c r="N558" s="4">
        <v>58.238</v>
      </c>
      <c r="O558" s="4">
        <v>58.238</v>
      </c>
      <c r="P558" s="4">
        <v>129</v>
      </c>
      <c r="Q558" s="3" t="s">
        <v>26</v>
      </c>
      <c r="R558" s="3">
        <v>0</v>
      </c>
      <c r="S558" s="3" t="s">
        <v>309</v>
      </c>
      <c r="T558" s="3" t="s">
        <v>446</v>
      </c>
      <c r="U558" s="3">
        <v>0</v>
      </c>
      <c r="V558" s="3">
        <v>35</v>
      </c>
      <c r="W558" s="3">
        <v>62</v>
      </c>
    </row>
    <row r="559" spans="1:23" ht="11.25" customHeight="1" x14ac:dyDescent="0.25">
      <c r="A559" s="3" t="s">
        <v>21</v>
      </c>
      <c r="B559" s="3" t="s">
        <v>33</v>
      </c>
      <c r="C559" s="3" t="s">
        <v>23</v>
      </c>
      <c r="D559" s="3" t="s">
        <v>39</v>
      </c>
      <c r="E559" s="3" t="s">
        <v>25</v>
      </c>
      <c r="F559" s="3" t="s">
        <v>25</v>
      </c>
      <c r="G559" s="3" t="s">
        <v>25</v>
      </c>
      <c r="H559" s="3" t="s">
        <v>25</v>
      </c>
      <c r="I559" s="6">
        <v>44682</v>
      </c>
      <c r="J559" s="4">
        <v>0</v>
      </c>
      <c r="K559" s="4">
        <v>0</v>
      </c>
      <c r="L559" s="4">
        <v>842.56200000000001</v>
      </c>
      <c r="M559" s="4">
        <v>842.56200000000001</v>
      </c>
      <c r="N559" s="4">
        <v>842.56200000000001</v>
      </c>
      <c r="O559" s="4">
        <v>842.56200000000001</v>
      </c>
      <c r="P559" s="4">
        <v>1579</v>
      </c>
      <c r="Q559" s="3" t="s">
        <v>26</v>
      </c>
      <c r="R559" s="3">
        <v>0</v>
      </c>
      <c r="S559" s="3" t="s">
        <v>310</v>
      </c>
      <c r="T559" s="3" t="s">
        <v>447</v>
      </c>
      <c r="U559" s="3">
        <v>0</v>
      </c>
      <c r="V559" s="3">
        <v>35</v>
      </c>
      <c r="W559" s="3">
        <v>62</v>
      </c>
    </row>
    <row r="560" spans="1:23" ht="11.25" customHeight="1" x14ac:dyDescent="0.25">
      <c r="A560" s="3" t="s">
        <v>27</v>
      </c>
      <c r="B560" s="3" t="s">
        <v>33</v>
      </c>
      <c r="C560" s="3" t="s">
        <v>23</v>
      </c>
      <c r="D560" s="3" t="s">
        <v>39</v>
      </c>
      <c r="E560" s="3" t="s">
        <v>25</v>
      </c>
      <c r="F560" s="3" t="s">
        <v>25</v>
      </c>
      <c r="G560" s="3" t="s">
        <v>25</v>
      </c>
      <c r="H560" s="3" t="s">
        <v>25</v>
      </c>
      <c r="I560" s="6">
        <v>44682</v>
      </c>
      <c r="J560" s="4">
        <v>0</v>
      </c>
      <c r="K560" s="4">
        <v>0</v>
      </c>
      <c r="L560" s="4">
        <v>-5.1109999999999998</v>
      </c>
      <c r="M560" s="4">
        <v>-5.1109999999999998</v>
      </c>
      <c r="N560" s="4">
        <v>-5.1109999999999998</v>
      </c>
      <c r="O560" s="4">
        <v>-5.1109999999999998</v>
      </c>
      <c r="P560" s="4">
        <v>0</v>
      </c>
      <c r="Q560" s="3" t="s">
        <v>26</v>
      </c>
      <c r="R560" s="3">
        <v>0</v>
      </c>
      <c r="S560" s="3" t="s">
        <v>310</v>
      </c>
      <c r="T560" s="3" t="s">
        <v>447</v>
      </c>
      <c r="U560" s="3">
        <v>0</v>
      </c>
      <c r="V560" s="3">
        <v>35</v>
      </c>
      <c r="W560" s="3">
        <v>62</v>
      </c>
    </row>
    <row r="561" spans="1:23" ht="11.25" customHeight="1" x14ac:dyDescent="0.25">
      <c r="A561" s="3" t="s">
        <v>28</v>
      </c>
      <c r="B561" s="3" t="s">
        <v>33</v>
      </c>
      <c r="C561" s="3" t="s">
        <v>23</v>
      </c>
      <c r="D561" s="3" t="s">
        <v>39</v>
      </c>
      <c r="E561" s="3" t="s">
        <v>25</v>
      </c>
      <c r="F561" s="3" t="s">
        <v>25</v>
      </c>
      <c r="G561" s="3" t="s">
        <v>25</v>
      </c>
      <c r="H561" s="3" t="s">
        <v>25</v>
      </c>
      <c r="I561" s="6">
        <v>44682</v>
      </c>
      <c r="J561" s="4">
        <v>0</v>
      </c>
      <c r="K561" s="4">
        <v>0</v>
      </c>
      <c r="L561" s="4">
        <v>55.405999999999999</v>
      </c>
      <c r="M561" s="4">
        <v>55.405999999999999</v>
      </c>
      <c r="N561" s="4">
        <v>55.405999999999999</v>
      </c>
      <c r="O561" s="4">
        <v>55.405999999999999</v>
      </c>
      <c r="P561" s="4">
        <v>133</v>
      </c>
      <c r="Q561" s="3" t="s">
        <v>26</v>
      </c>
      <c r="R561" s="3">
        <v>0</v>
      </c>
      <c r="S561" s="3" t="s">
        <v>310</v>
      </c>
      <c r="T561" s="3" t="s">
        <v>447</v>
      </c>
      <c r="U561" s="3">
        <v>0</v>
      </c>
      <c r="V561" s="3">
        <v>35</v>
      </c>
      <c r="W561" s="3">
        <v>62</v>
      </c>
    </row>
    <row r="562" spans="1:23" ht="11.25" customHeight="1" x14ac:dyDescent="0.25">
      <c r="A562" s="3" t="s">
        <v>21</v>
      </c>
      <c r="B562" s="3" t="s">
        <v>33</v>
      </c>
      <c r="C562" s="3" t="s">
        <v>23</v>
      </c>
      <c r="D562" s="3" t="s">
        <v>39</v>
      </c>
      <c r="E562" s="3" t="s">
        <v>25</v>
      </c>
      <c r="F562" s="3" t="s">
        <v>25</v>
      </c>
      <c r="G562" s="3" t="s">
        <v>25</v>
      </c>
      <c r="H562" s="3" t="s">
        <v>25</v>
      </c>
      <c r="I562" s="6">
        <v>44713</v>
      </c>
      <c r="J562" s="4">
        <v>0</v>
      </c>
      <c r="K562" s="4">
        <v>0</v>
      </c>
      <c r="L562" s="4">
        <v>850.51099999999997</v>
      </c>
      <c r="M562" s="4">
        <v>850.51099999999997</v>
      </c>
      <c r="N562" s="4">
        <v>850.51099999999997</v>
      </c>
      <c r="O562" s="4">
        <v>850.51099999999997</v>
      </c>
      <c r="P562" s="4">
        <v>1579</v>
      </c>
      <c r="Q562" s="3" t="s">
        <v>26</v>
      </c>
      <c r="R562" s="3">
        <v>0</v>
      </c>
      <c r="S562" s="3" t="s">
        <v>311</v>
      </c>
      <c r="T562" s="3" t="s">
        <v>448</v>
      </c>
      <c r="U562" s="3">
        <v>0</v>
      </c>
      <c r="V562" s="3">
        <v>35</v>
      </c>
      <c r="W562" s="3">
        <v>62</v>
      </c>
    </row>
    <row r="563" spans="1:23" ht="11.25" customHeight="1" x14ac:dyDescent="0.25">
      <c r="A563" s="3" t="s">
        <v>28</v>
      </c>
      <c r="B563" s="3" t="s">
        <v>33</v>
      </c>
      <c r="C563" s="3" t="s">
        <v>23</v>
      </c>
      <c r="D563" s="3" t="s">
        <v>39</v>
      </c>
      <c r="E563" s="3" t="s">
        <v>25</v>
      </c>
      <c r="F563" s="3" t="s">
        <v>25</v>
      </c>
      <c r="G563" s="3" t="s">
        <v>25</v>
      </c>
      <c r="H563" s="3" t="s">
        <v>25</v>
      </c>
      <c r="I563" s="6">
        <v>44713</v>
      </c>
      <c r="J563" s="4">
        <v>0</v>
      </c>
      <c r="K563" s="4">
        <v>0</v>
      </c>
      <c r="L563" s="4">
        <v>64.302000000000007</v>
      </c>
      <c r="M563" s="4">
        <v>64.302000000000007</v>
      </c>
      <c r="N563" s="4">
        <v>64.302000000000007</v>
      </c>
      <c r="O563" s="4">
        <v>64.302000000000007</v>
      </c>
      <c r="P563" s="4">
        <v>135</v>
      </c>
      <c r="Q563" s="3" t="s">
        <v>26</v>
      </c>
      <c r="R563" s="3">
        <v>0</v>
      </c>
      <c r="S563" s="3" t="s">
        <v>311</v>
      </c>
      <c r="T563" s="3" t="s">
        <v>448</v>
      </c>
      <c r="U563" s="3">
        <v>0</v>
      </c>
      <c r="V563" s="3">
        <v>35</v>
      </c>
      <c r="W563" s="3">
        <v>62</v>
      </c>
    </row>
    <row r="564" spans="1:23" ht="11.25" customHeight="1" x14ac:dyDescent="0.25">
      <c r="A564" s="3" t="s">
        <v>21</v>
      </c>
      <c r="B564" s="3" t="s">
        <v>33</v>
      </c>
      <c r="C564" s="3" t="s">
        <v>23</v>
      </c>
      <c r="D564" s="3" t="s">
        <v>39</v>
      </c>
      <c r="E564" s="3" t="s">
        <v>25</v>
      </c>
      <c r="F564" s="3" t="s">
        <v>25</v>
      </c>
      <c r="G564" s="3" t="s">
        <v>25</v>
      </c>
      <c r="H564" s="3" t="s">
        <v>25</v>
      </c>
      <c r="I564" s="6">
        <v>44743</v>
      </c>
      <c r="J564" s="4">
        <v>0</v>
      </c>
      <c r="K564" s="4">
        <v>0</v>
      </c>
      <c r="L564" s="4">
        <v>824.33699999999999</v>
      </c>
      <c r="M564" s="4">
        <v>824.33699999999999</v>
      </c>
      <c r="N564" s="4">
        <v>824.33699999999999</v>
      </c>
      <c r="O564" s="4">
        <v>824.33699999999999</v>
      </c>
      <c r="P564" s="4">
        <v>1579</v>
      </c>
      <c r="Q564" s="3" t="s">
        <v>26</v>
      </c>
      <c r="R564" s="3">
        <v>0</v>
      </c>
      <c r="S564" s="3" t="s">
        <v>312</v>
      </c>
      <c r="T564" s="3" t="s">
        <v>449</v>
      </c>
      <c r="U564" s="3">
        <v>0</v>
      </c>
      <c r="V564" s="3">
        <v>35</v>
      </c>
      <c r="W564" s="3">
        <v>62</v>
      </c>
    </row>
    <row r="565" spans="1:23" ht="11.25" customHeight="1" x14ac:dyDescent="0.25">
      <c r="A565" s="3" t="s">
        <v>27</v>
      </c>
      <c r="B565" s="3" t="s">
        <v>33</v>
      </c>
      <c r="C565" s="3" t="s">
        <v>23</v>
      </c>
      <c r="D565" s="3" t="s">
        <v>39</v>
      </c>
      <c r="E565" s="3" t="s">
        <v>25</v>
      </c>
      <c r="F565" s="3" t="s">
        <v>25</v>
      </c>
      <c r="G565" s="3" t="s">
        <v>25</v>
      </c>
      <c r="H565" s="3" t="s">
        <v>25</v>
      </c>
      <c r="I565" s="6">
        <v>44743</v>
      </c>
      <c r="J565" s="4">
        <v>0</v>
      </c>
      <c r="K565" s="4">
        <v>0</v>
      </c>
      <c r="L565" s="4">
        <v>-0.98399999999999999</v>
      </c>
      <c r="M565" s="4">
        <v>-0.98399999999999999</v>
      </c>
      <c r="N565" s="4">
        <v>-0.98399999999999999</v>
      </c>
      <c r="O565" s="4">
        <v>-0.98399999999999999</v>
      </c>
      <c r="P565" s="4">
        <v>0</v>
      </c>
      <c r="Q565" s="3" t="s">
        <v>26</v>
      </c>
      <c r="R565" s="3">
        <v>0</v>
      </c>
      <c r="S565" s="3" t="s">
        <v>312</v>
      </c>
      <c r="T565" s="3" t="s">
        <v>449</v>
      </c>
      <c r="U565" s="3">
        <v>0</v>
      </c>
      <c r="V565" s="3">
        <v>35</v>
      </c>
      <c r="W565" s="3">
        <v>62</v>
      </c>
    </row>
    <row r="566" spans="1:23" ht="11.25" customHeight="1" x14ac:dyDescent="0.25">
      <c r="A566" s="3" t="s">
        <v>21</v>
      </c>
      <c r="B566" s="3" t="s">
        <v>33</v>
      </c>
      <c r="C566" s="3" t="s">
        <v>23</v>
      </c>
      <c r="D566" s="3" t="s">
        <v>39</v>
      </c>
      <c r="E566" s="3" t="s">
        <v>25</v>
      </c>
      <c r="F566" s="3" t="s">
        <v>25</v>
      </c>
      <c r="G566" s="3" t="s">
        <v>25</v>
      </c>
      <c r="H566" s="3" t="s">
        <v>25</v>
      </c>
      <c r="I566" s="6">
        <v>44774</v>
      </c>
      <c r="J566" s="4">
        <v>0</v>
      </c>
      <c r="K566" s="4">
        <v>0</v>
      </c>
      <c r="L566" s="4">
        <v>868.79499999999996</v>
      </c>
      <c r="M566" s="4">
        <v>868.79499999999996</v>
      </c>
      <c r="N566" s="4">
        <v>868.79499999999996</v>
      </c>
      <c r="O566" s="4">
        <v>868.79499999999996</v>
      </c>
      <c r="P566" s="4">
        <v>1577</v>
      </c>
      <c r="Q566" s="3" t="s">
        <v>26</v>
      </c>
      <c r="R566" s="3">
        <v>0</v>
      </c>
      <c r="S566" s="3" t="s">
        <v>313</v>
      </c>
      <c r="T566" s="3" t="s">
        <v>450</v>
      </c>
      <c r="U566" s="3">
        <v>0</v>
      </c>
      <c r="V566" s="3">
        <v>35</v>
      </c>
      <c r="W566" s="3">
        <v>62</v>
      </c>
    </row>
    <row r="567" spans="1:23" ht="11.25" customHeight="1" x14ac:dyDescent="0.25">
      <c r="A567" s="3" t="s">
        <v>28</v>
      </c>
      <c r="B567" s="3" t="s">
        <v>33</v>
      </c>
      <c r="C567" s="3" t="s">
        <v>23</v>
      </c>
      <c r="D567" s="3" t="s">
        <v>39</v>
      </c>
      <c r="E567" s="3" t="s">
        <v>25</v>
      </c>
      <c r="F567" s="3" t="s">
        <v>25</v>
      </c>
      <c r="G567" s="3" t="s">
        <v>25</v>
      </c>
      <c r="H567" s="3" t="s">
        <v>25</v>
      </c>
      <c r="I567" s="6">
        <v>44774</v>
      </c>
      <c r="J567" s="4">
        <v>0</v>
      </c>
      <c r="K567" s="4">
        <v>0</v>
      </c>
      <c r="L567" s="4">
        <v>71.453999999999994</v>
      </c>
      <c r="M567" s="4">
        <v>71.453999999999994</v>
      </c>
      <c r="N567" s="4">
        <v>71.453999999999994</v>
      </c>
      <c r="O567" s="4">
        <v>71.453999999999994</v>
      </c>
      <c r="P567" s="4">
        <v>138</v>
      </c>
      <c r="Q567" s="3" t="s">
        <v>26</v>
      </c>
      <c r="R567" s="3">
        <v>0</v>
      </c>
      <c r="S567" s="3" t="s">
        <v>313</v>
      </c>
      <c r="T567" s="3" t="s">
        <v>450</v>
      </c>
      <c r="U567" s="3">
        <v>0</v>
      </c>
      <c r="V567" s="3">
        <v>35</v>
      </c>
      <c r="W567" s="3">
        <v>62</v>
      </c>
    </row>
    <row r="568" spans="1:23" ht="11.25" customHeight="1" x14ac:dyDescent="0.25">
      <c r="A568" s="3" t="s">
        <v>21</v>
      </c>
      <c r="B568" s="3" t="s">
        <v>33</v>
      </c>
      <c r="C568" s="3" t="s">
        <v>23</v>
      </c>
      <c r="D568" s="3" t="s">
        <v>49</v>
      </c>
      <c r="E568" s="3" t="s">
        <v>25</v>
      </c>
      <c r="F568" s="3" t="s">
        <v>25</v>
      </c>
      <c r="G568" s="3" t="s">
        <v>25</v>
      </c>
      <c r="H568" s="3" t="s">
        <v>25</v>
      </c>
      <c r="I568" s="6">
        <v>44440</v>
      </c>
      <c r="J568" s="4">
        <v>0</v>
      </c>
      <c r="K568" s="4">
        <v>0</v>
      </c>
      <c r="L568" s="4">
        <v>9.0060000000000002</v>
      </c>
      <c r="M568" s="4">
        <v>9.0060000000000002</v>
      </c>
      <c r="N568" s="4">
        <v>9.0060000000000002</v>
      </c>
      <c r="O568" s="4">
        <v>9.0060000000000002</v>
      </c>
      <c r="P568" s="4">
        <v>4</v>
      </c>
      <c r="Q568" s="3" t="s">
        <v>26</v>
      </c>
      <c r="R568" s="3">
        <v>0</v>
      </c>
      <c r="S568" s="3" t="s">
        <v>302</v>
      </c>
      <c r="T568" s="3" t="s">
        <v>439</v>
      </c>
      <c r="U568" s="3">
        <v>0</v>
      </c>
      <c r="V568" s="3">
        <v>35</v>
      </c>
      <c r="W568" s="3">
        <v>62</v>
      </c>
    </row>
    <row r="569" spans="1:23" ht="11.25" customHeight="1" x14ac:dyDescent="0.25">
      <c r="A569" s="3" t="s">
        <v>21</v>
      </c>
      <c r="B569" s="3" t="s">
        <v>33</v>
      </c>
      <c r="C569" s="3" t="s">
        <v>23</v>
      </c>
      <c r="D569" s="3" t="s">
        <v>49</v>
      </c>
      <c r="E569" s="3" t="s">
        <v>25</v>
      </c>
      <c r="F569" s="3" t="s">
        <v>25</v>
      </c>
      <c r="G569" s="3" t="s">
        <v>25</v>
      </c>
      <c r="H569" s="3" t="s">
        <v>25</v>
      </c>
      <c r="I569" s="6">
        <v>44470</v>
      </c>
      <c r="J569" s="4">
        <v>0</v>
      </c>
      <c r="K569" s="4">
        <v>0</v>
      </c>
      <c r="L569" s="4">
        <v>9.5549999999999997</v>
      </c>
      <c r="M569" s="4">
        <v>9.5549999999999997</v>
      </c>
      <c r="N569" s="4">
        <v>9.5549999999999997</v>
      </c>
      <c r="O569" s="4">
        <v>9.5549999999999997</v>
      </c>
      <c r="P569" s="4">
        <v>4</v>
      </c>
      <c r="Q569" s="3" t="s">
        <v>26</v>
      </c>
      <c r="R569" s="3">
        <v>0</v>
      </c>
      <c r="S569" s="3" t="s">
        <v>303</v>
      </c>
      <c r="T569" s="3" t="s">
        <v>440</v>
      </c>
      <c r="U569" s="3">
        <v>0</v>
      </c>
      <c r="V569" s="3">
        <v>35</v>
      </c>
      <c r="W569" s="3">
        <v>62</v>
      </c>
    </row>
    <row r="570" spans="1:23" ht="11.25" customHeight="1" x14ac:dyDescent="0.25">
      <c r="A570" s="3" t="s">
        <v>21</v>
      </c>
      <c r="B570" s="3" t="s">
        <v>33</v>
      </c>
      <c r="C570" s="3" t="s">
        <v>23</v>
      </c>
      <c r="D570" s="3" t="s">
        <v>49</v>
      </c>
      <c r="E570" s="3" t="s">
        <v>25</v>
      </c>
      <c r="F570" s="3" t="s">
        <v>25</v>
      </c>
      <c r="G570" s="3" t="s">
        <v>25</v>
      </c>
      <c r="H570" s="3" t="s">
        <v>25</v>
      </c>
      <c r="I570" s="6">
        <v>44501</v>
      </c>
      <c r="J570" s="4">
        <v>0</v>
      </c>
      <c r="K570" s="4">
        <v>0</v>
      </c>
      <c r="L570" s="4">
        <v>10.901</v>
      </c>
      <c r="M570" s="4">
        <v>10.901</v>
      </c>
      <c r="N570" s="4">
        <v>10.901</v>
      </c>
      <c r="O570" s="4">
        <v>10.901</v>
      </c>
      <c r="P570" s="4">
        <v>4</v>
      </c>
      <c r="Q570" s="3" t="s">
        <v>26</v>
      </c>
      <c r="R570" s="3">
        <v>0</v>
      </c>
      <c r="S570" s="3" t="s">
        <v>304</v>
      </c>
      <c r="T570" s="3" t="s">
        <v>441</v>
      </c>
      <c r="U570" s="3">
        <v>0</v>
      </c>
      <c r="V570" s="3">
        <v>35</v>
      </c>
      <c r="W570" s="3">
        <v>62</v>
      </c>
    </row>
    <row r="571" spans="1:23" ht="11.25" customHeight="1" x14ac:dyDescent="0.25">
      <c r="A571" s="3" t="s">
        <v>21</v>
      </c>
      <c r="B571" s="3" t="s">
        <v>33</v>
      </c>
      <c r="C571" s="3" t="s">
        <v>23</v>
      </c>
      <c r="D571" s="3" t="s">
        <v>49</v>
      </c>
      <c r="E571" s="3" t="s">
        <v>25</v>
      </c>
      <c r="F571" s="3" t="s">
        <v>25</v>
      </c>
      <c r="G571" s="3" t="s">
        <v>25</v>
      </c>
      <c r="H571" s="3" t="s">
        <v>25</v>
      </c>
      <c r="I571" s="6">
        <v>44531</v>
      </c>
      <c r="J571" s="4">
        <v>0</v>
      </c>
      <c r="K571" s="4">
        <v>0</v>
      </c>
      <c r="L571" s="4">
        <v>11.895</v>
      </c>
      <c r="M571" s="4">
        <v>11.895</v>
      </c>
      <c r="N571" s="4">
        <v>11.895</v>
      </c>
      <c r="O571" s="4">
        <v>11.895</v>
      </c>
      <c r="P571" s="4">
        <v>5</v>
      </c>
      <c r="Q571" s="3" t="s">
        <v>26</v>
      </c>
      <c r="R571" s="3">
        <v>0</v>
      </c>
      <c r="S571" s="3" t="s">
        <v>305</v>
      </c>
      <c r="T571" s="3" t="s">
        <v>442</v>
      </c>
      <c r="U571" s="3">
        <v>0</v>
      </c>
      <c r="V571" s="3">
        <v>35</v>
      </c>
      <c r="W571" s="3">
        <v>62</v>
      </c>
    </row>
    <row r="572" spans="1:23" ht="11.25" customHeight="1" x14ac:dyDescent="0.25">
      <c r="A572" s="3" t="s">
        <v>21</v>
      </c>
      <c r="B572" s="3" t="s">
        <v>33</v>
      </c>
      <c r="C572" s="3" t="s">
        <v>23</v>
      </c>
      <c r="D572" s="3" t="s">
        <v>49</v>
      </c>
      <c r="E572" s="3" t="s">
        <v>25</v>
      </c>
      <c r="F572" s="3" t="s">
        <v>25</v>
      </c>
      <c r="G572" s="3" t="s">
        <v>25</v>
      </c>
      <c r="H572" s="3" t="s">
        <v>25</v>
      </c>
      <c r="I572" s="6">
        <v>44562</v>
      </c>
      <c r="J572" s="4">
        <v>0</v>
      </c>
      <c r="K572" s="4">
        <v>0</v>
      </c>
      <c r="L572" s="4">
        <v>13.579000000000001</v>
      </c>
      <c r="M572" s="4">
        <v>13.579000000000001</v>
      </c>
      <c r="N572" s="4">
        <v>13.579000000000001</v>
      </c>
      <c r="O572" s="4">
        <v>13.579000000000001</v>
      </c>
      <c r="P572" s="4">
        <v>5</v>
      </c>
      <c r="Q572" s="3" t="s">
        <v>26</v>
      </c>
      <c r="R572" s="3">
        <v>0</v>
      </c>
      <c r="S572" s="3" t="s">
        <v>306</v>
      </c>
      <c r="T572" s="3" t="s">
        <v>443</v>
      </c>
      <c r="U572" s="3">
        <v>0</v>
      </c>
      <c r="V572" s="3">
        <v>35</v>
      </c>
      <c r="W572" s="3">
        <v>62</v>
      </c>
    </row>
    <row r="573" spans="1:23" ht="11.25" customHeight="1" x14ac:dyDescent="0.25">
      <c r="A573" s="3" t="s">
        <v>21</v>
      </c>
      <c r="B573" s="3" t="s">
        <v>33</v>
      </c>
      <c r="C573" s="3" t="s">
        <v>23</v>
      </c>
      <c r="D573" s="3" t="s">
        <v>49</v>
      </c>
      <c r="E573" s="3" t="s">
        <v>25</v>
      </c>
      <c r="F573" s="3" t="s">
        <v>25</v>
      </c>
      <c r="G573" s="3" t="s">
        <v>25</v>
      </c>
      <c r="H573" s="3" t="s">
        <v>25</v>
      </c>
      <c r="I573" s="6">
        <v>44593</v>
      </c>
      <c r="J573" s="4">
        <v>0</v>
      </c>
      <c r="K573" s="4">
        <v>0</v>
      </c>
      <c r="L573" s="4">
        <v>14.417999999999999</v>
      </c>
      <c r="M573" s="4">
        <v>14.417999999999999</v>
      </c>
      <c r="N573" s="4">
        <v>14.417999999999999</v>
      </c>
      <c r="O573" s="4">
        <v>14.417999999999999</v>
      </c>
      <c r="P573" s="4">
        <v>5</v>
      </c>
      <c r="Q573" s="3" t="s">
        <v>26</v>
      </c>
      <c r="R573" s="3">
        <v>0</v>
      </c>
      <c r="S573" s="3" t="s">
        <v>307</v>
      </c>
      <c r="T573" s="3" t="s">
        <v>444</v>
      </c>
      <c r="U573" s="3">
        <v>0</v>
      </c>
      <c r="V573" s="3">
        <v>35</v>
      </c>
      <c r="W573" s="3">
        <v>62</v>
      </c>
    </row>
    <row r="574" spans="1:23" ht="11.25" customHeight="1" x14ac:dyDescent="0.25">
      <c r="A574" s="3" t="s">
        <v>21</v>
      </c>
      <c r="B574" s="3" t="s">
        <v>33</v>
      </c>
      <c r="C574" s="3" t="s">
        <v>23</v>
      </c>
      <c r="D574" s="3" t="s">
        <v>49</v>
      </c>
      <c r="E574" s="3" t="s">
        <v>25</v>
      </c>
      <c r="F574" s="3" t="s">
        <v>25</v>
      </c>
      <c r="G574" s="3" t="s">
        <v>25</v>
      </c>
      <c r="H574" s="3" t="s">
        <v>25</v>
      </c>
      <c r="I574" s="6">
        <v>44621</v>
      </c>
      <c r="J574" s="4">
        <v>0</v>
      </c>
      <c r="K574" s="4">
        <v>0</v>
      </c>
      <c r="L574" s="4">
        <v>12.907999999999999</v>
      </c>
      <c r="M574" s="4">
        <v>12.907999999999999</v>
      </c>
      <c r="N574" s="4">
        <v>12.907999999999999</v>
      </c>
      <c r="O574" s="4">
        <v>12.907999999999999</v>
      </c>
      <c r="P574" s="4">
        <v>5</v>
      </c>
      <c r="Q574" s="3" t="s">
        <v>26</v>
      </c>
      <c r="R574" s="3">
        <v>0</v>
      </c>
      <c r="S574" s="3" t="s">
        <v>308</v>
      </c>
      <c r="T574" s="3" t="s">
        <v>445</v>
      </c>
      <c r="U574" s="3">
        <v>0</v>
      </c>
      <c r="V574" s="3">
        <v>35</v>
      </c>
      <c r="W574" s="3">
        <v>62</v>
      </c>
    </row>
    <row r="575" spans="1:23" ht="11.25" customHeight="1" x14ac:dyDescent="0.25">
      <c r="A575" s="3" t="s">
        <v>21</v>
      </c>
      <c r="B575" s="3" t="s">
        <v>33</v>
      </c>
      <c r="C575" s="3" t="s">
        <v>23</v>
      </c>
      <c r="D575" s="3" t="s">
        <v>49</v>
      </c>
      <c r="E575" s="3" t="s">
        <v>25</v>
      </c>
      <c r="F575" s="3" t="s">
        <v>25</v>
      </c>
      <c r="G575" s="3" t="s">
        <v>25</v>
      </c>
      <c r="H575" s="3" t="s">
        <v>25</v>
      </c>
      <c r="I575" s="6">
        <v>44652</v>
      </c>
      <c r="J575" s="4">
        <v>0</v>
      </c>
      <c r="K575" s="4">
        <v>0</v>
      </c>
      <c r="L575" s="4">
        <v>10.756</v>
      </c>
      <c r="M575" s="4">
        <v>10.756</v>
      </c>
      <c r="N575" s="4">
        <v>10.756</v>
      </c>
      <c r="O575" s="4">
        <v>10.756</v>
      </c>
      <c r="P575" s="4">
        <v>5</v>
      </c>
      <c r="Q575" s="3" t="s">
        <v>26</v>
      </c>
      <c r="R575" s="3">
        <v>0</v>
      </c>
      <c r="S575" s="3" t="s">
        <v>309</v>
      </c>
      <c r="T575" s="3" t="s">
        <v>446</v>
      </c>
      <c r="U575" s="3">
        <v>0</v>
      </c>
      <c r="V575" s="3">
        <v>35</v>
      </c>
      <c r="W575" s="3">
        <v>62</v>
      </c>
    </row>
    <row r="576" spans="1:23" ht="11.25" customHeight="1" x14ac:dyDescent="0.25">
      <c r="A576" s="3" t="s">
        <v>21</v>
      </c>
      <c r="B576" s="3" t="s">
        <v>33</v>
      </c>
      <c r="C576" s="3" t="s">
        <v>23</v>
      </c>
      <c r="D576" s="3" t="s">
        <v>49</v>
      </c>
      <c r="E576" s="3" t="s">
        <v>25</v>
      </c>
      <c r="F576" s="3" t="s">
        <v>25</v>
      </c>
      <c r="G576" s="3" t="s">
        <v>25</v>
      </c>
      <c r="H576" s="3" t="s">
        <v>25</v>
      </c>
      <c r="I576" s="6">
        <v>44682</v>
      </c>
      <c r="J576" s="4">
        <v>0</v>
      </c>
      <c r="K576" s="4">
        <v>0</v>
      </c>
      <c r="L576" s="4">
        <v>9.4730000000000008</v>
      </c>
      <c r="M576" s="4">
        <v>9.4730000000000008</v>
      </c>
      <c r="N576" s="4">
        <v>9.4730000000000008</v>
      </c>
      <c r="O576" s="4">
        <v>9.4730000000000008</v>
      </c>
      <c r="P576" s="4">
        <v>5</v>
      </c>
      <c r="Q576" s="3" t="s">
        <v>26</v>
      </c>
      <c r="R576" s="3">
        <v>0</v>
      </c>
      <c r="S576" s="3" t="s">
        <v>310</v>
      </c>
      <c r="T576" s="3" t="s">
        <v>447</v>
      </c>
      <c r="U576" s="3">
        <v>0</v>
      </c>
      <c r="V576" s="3">
        <v>35</v>
      </c>
      <c r="W576" s="3">
        <v>62</v>
      </c>
    </row>
    <row r="577" spans="1:23" ht="11.25" customHeight="1" x14ac:dyDescent="0.25">
      <c r="A577" s="3" t="s">
        <v>21</v>
      </c>
      <c r="B577" s="3" t="s">
        <v>33</v>
      </c>
      <c r="C577" s="3" t="s">
        <v>23</v>
      </c>
      <c r="D577" s="3" t="s">
        <v>49</v>
      </c>
      <c r="E577" s="3" t="s">
        <v>25</v>
      </c>
      <c r="F577" s="3" t="s">
        <v>25</v>
      </c>
      <c r="G577" s="3" t="s">
        <v>25</v>
      </c>
      <c r="H577" s="3" t="s">
        <v>25</v>
      </c>
      <c r="I577" s="6">
        <v>44713</v>
      </c>
      <c r="J577" s="4">
        <v>0</v>
      </c>
      <c r="K577" s="4">
        <v>0</v>
      </c>
      <c r="L577" s="4">
        <v>9.6750000000000007</v>
      </c>
      <c r="M577" s="4">
        <v>9.6750000000000007</v>
      </c>
      <c r="N577" s="4">
        <v>9.6750000000000007</v>
      </c>
      <c r="O577" s="4">
        <v>9.6750000000000007</v>
      </c>
      <c r="P577" s="4">
        <v>5</v>
      </c>
      <c r="Q577" s="3" t="s">
        <v>26</v>
      </c>
      <c r="R577" s="3">
        <v>0</v>
      </c>
      <c r="S577" s="3" t="s">
        <v>311</v>
      </c>
      <c r="T577" s="3" t="s">
        <v>448</v>
      </c>
      <c r="U577" s="3">
        <v>0</v>
      </c>
      <c r="V577" s="3">
        <v>35</v>
      </c>
      <c r="W577" s="3">
        <v>62</v>
      </c>
    </row>
    <row r="578" spans="1:23" ht="11.25" customHeight="1" x14ac:dyDescent="0.25">
      <c r="A578" s="3" t="s">
        <v>21</v>
      </c>
      <c r="B578" s="3" t="s">
        <v>33</v>
      </c>
      <c r="C578" s="3" t="s">
        <v>23</v>
      </c>
      <c r="D578" s="3" t="s">
        <v>49</v>
      </c>
      <c r="E578" s="3" t="s">
        <v>25</v>
      </c>
      <c r="F578" s="3" t="s">
        <v>25</v>
      </c>
      <c r="G578" s="3" t="s">
        <v>25</v>
      </c>
      <c r="H578" s="3" t="s">
        <v>25</v>
      </c>
      <c r="I578" s="6">
        <v>44743</v>
      </c>
      <c r="J578" s="4">
        <v>0</v>
      </c>
      <c r="K578" s="4">
        <v>0</v>
      </c>
      <c r="L578" s="4">
        <v>9.3719999999999999</v>
      </c>
      <c r="M578" s="4">
        <v>9.3719999999999999</v>
      </c>
      <c r="N578" s="4">
        <v>9.3719999999999999</v>
      </c>
      <c r="O578" s="4">
        <v>9.3719999999999999</v>
      </c>
      <c r="P578" s="4">
        <v>5</v>
      </c>
      <c r="Q578" s="3" t="s">
        <v>26</v>
      </c>
      <c r="R578" s="3">
        <v>0</v>
      </c>
      <c r="S578" s="3" t="s">
        <v>312</v>
      </c>
      <c r="T578" s="3" t="s">
        <v>449</v>
      </c>
      <c r="U578" s="3">
        <v>0</v>
      </c>
      <c r="V578" s="3">
        <v>35</v>
      </c>
      <c r="W578" s="3">
        <v>62</v>
      </c>
    </row>
    <row r="579" spans="1:23" ht="11.25" customHeight="1" x14ac:dyDescent="0.25">
      <c r="A579" s="3" t="s">
        <v>21</v>
      </c>
      <c r="B579" s="3" t="s">
        <v>33</v>
      </c>
      <c r="C579" s="3" t="s">
        <v>23</v>
      </c>
      <c r="D579" s="3" t="s">
        <v>49</v>
      </c>
      <c r="E579" s="3" t="s">
        <v>25</v>
      </c>
      <c r="F579" s="3" t="s">
        <v>25</v>
      </c>
      <c r="G579" s="3" t="s">
        <v>25</v>
      </c>
      <c r="H579" s="3" t="s">
        <v>25</v>
      </c>
      <c r="I579" s="6">
        <v>44774</v>
      </c>
      <c r="J579" s="4">
        <v>0</v>
      </c>
      <c r="K579" s="4">
        <v>0</v>
      </c>
      <c r="L579" s="4">
        <v>10.483000000000001</v>
      </c>
      <c r="M579" s="4">
        <v>10.483000000000001</v>
      </c>
      <c r="N579" s="4">
        <v>10.483000000000001</v>
      </c>
      <c r="O579" s="4">
        <v>10.483000000000001</v>
      </c>
      <c r="P579" s="4">
        <v>5</v>
      </c>
      <c r="Q579" s="3" t="s">
        <v>26</v>
      </c>
      <c r="R579" s="3">
        <v>0</v>
      </c>
      <c r="S579" s="3" t="s">
        <v>313</v>
      </c>
      <c r="T579" s="3" t="s">
        <v>450</v>
      </c>
      <c r="U579" s="3">
        <v>0</v>
      </c>
      <c r="V579" s="3">
        <v>35</v>
      </c>
      <c r="W579" s="3">
        <v>62</v>
      </c>
    </row>
    <row r="580" spans="1:23" ht="11.25" customHeight="1" x14ac:dyDescent="0.25">
      <c r="A580" s="3" t="s">
        <v>21</v>
      </c>
      <c r="B580" s="3" t="s">
        <v>33</v>
      </c>
      <c r="C580" s="3" t="s">
        <v>23</v>
      </c>
      <c r="D580" s="3" t="s">
        <v>34</v>
      </c>
      <c r="E580" s="3" t="s">
        <v>25</v>
      </c>
      <c r="F580" s="3" t="s">
        <v>25</v>
      </c>
      <c r="G580" s="3" t="s">
        <v>25</v>
      </c>
      <c r="H580" s="3" t="s">
        <v>25</v>
      </c>
      <c r="I580" s="6">
        <v>44440</v>
      </c>
      <c r="J580" s="4">
        <v>0</v>
      </c>
      <c r="K580" s="4">
        <v>0</v>
      </c>
      <c r="L580" s="4">
        <v>442.31700000000001</v>
      </c>
      <c r="M580" s="4">
        <v>442.31700000000001</v>
      </c>
      <c r="N580" s="4">
        <v>442.31700000000001</v>
      </c>
      <c r="O580" s="4">
        <v>442.31700000000001</v>
      </c>
      <c r="P580" s="4">
        <v>674</v>
      </c>
      <c r="Q580" s="3" t="s">
        <v>26</v>
      </c>
      <c r="R580" s="3">
        <v>0</v>
      </c>
      <c r="S580" s="3" t="s">
        <v>302</v>
      </c>
      <c r="T580" s="3" t="s">
        <v>439</v>
      </c>
      <c r="U580" s="3">
        <v>0</v>
      </c>
      <c r="V580" s="3">
        <v>35</v>
      </c>
      <c r="W580" s="3">
        <v>62</v>
      </c>
    </row>
    <row r="581" spans="1:23" ht="11.25" customHeight="1" x14ac:dyDescent="0.25">
      <c r="A581" s="3" t="s">
        <v>27</v>
      </c>
      <c r="B581" s="3" t="s">
        <v>33</v>
      </c>
      <c r="C581" s="3" t="s">
        <v>23</v>
      </c>
      <c r="D581" s="3" t="s">
        <v>34</v>
      </c>
      <c r="E581" s="3" t="s">
        <v>25</v>
      </c>
      <c r="F581" s="3" t="s">
        <v>25</v>
      </c>
      <c r="G581" s="3" t="s">
        <v>25</v>
      </c>
      <c r="H581" s="3" t="s">
        <v>25</v>
      </c>
      <c r="I581" s="6">
        <v>44440</v>
      </c>
      <c r="J581" s="4">
        <v>0</v>
      </c>
      <c r="K581" s="4">
        <v>0</v>
      </c>
      <c r="L581" s="4">
        <v>-0.74299999999999999</v>
      </c>
      <c r="M581" s="4">
        <v>-0.74299999999999999</v>
      </c>
      <c r="N581" s="4">
        <v>-0.74299999999999999</v>
      </c>
      <c r="O581" s="4">
        <v>-0.74299999999999999</v>
      </c>
      <c r="P581" s="4">
        <v>0</v>
      </c>
      <c r="Q581" s="3" t="s">
        <v>26</v>
      </c>
      <c r="R581" s="3">
        <v>0</v>
      </c>
      <c r="S581" s="3" t="s">
        <v>302</v>
      </c>
      <c r="T581" s="3" t="s">
        <v>439</v>
      </c>
      <c r="U581" s="3">
        <v>0</v>
      </c>
      <c r="V581" s="3">
        <v>35</v>
      </c>
      <c r="W581" s="3">
        <v>62</v>
      </c>
    </row>
    <row r="582" spans="1:23" ht="11.25" customHeight="1" x14ac:dyDescent="0.25">
      <c r="A582" s="3" t="s">
        <v>28</v>
      </c>
      <c r="B582" s="3" t="s">
        <v>33</v>
      </c>
      <c r="C582" s="3" t="s">
        <v>23</v>
      </c>
      <c r="D582" s="3" t="s">
        <v>34</v>
      </c>
      <c r="E582" s="3" t="s">
        <v>25</v>
      </c>
      <c r="F582" s="3" t="s">
        <v>25</v>
      </c>
      <c r="G582" s="3" t="s">
        <v>25</v>
      </c>
      <c r="H582" s="3" t="s">
        <v>25</v>
      </c>
      <c r="I582" s="6">
        <v>44440</v>
      </c>
      <c r="J582" s="4">
        <v>0</v>
      </c>
      <c r="K582" s="4">
        <v>0</v>
      </c>
      <c r="L582" s="4">
        <v>64.641000000000005</v>
      </c>
      <c r="M582" s="4">
        <v>64.641000000000005</v>
      </c>
      <c r="N582" s="4">
        <v>64.641000000000005</v>
      </c>
      <c r="O582" s="4">
        <v>64.641000000000005</v>
      </c>
      <c r="P582" s="4">
        <v>40</v>
      </c>
      <c r="Q582" s="3" t="s">
        <v>26</v>
      </c>
      <c r="R582" s="3">
        <v>0</v>
      </c>
      <c r="S582" s="3" t="s">
        <v>302</v>
      </c>
      <c r="T582" s="3" t="s">
        <v>439</v>
      </c>
      <c r="U582" s="3">
        <v>0</v>
      </c>
      <c r="V582" s="3">
        <v>35</v>
      </c>
      <c r="W582" s="3">
        <v>62</v>
      </c>
    </row>
    <row r="583" spans="1:23" ht="11.25" customHeight="1" x14ac:dyDescent="0.25">
      <c r="A583" s="3" t="s">
        <v>21</v>
      </c>
      <c r="B583" s="3" t="s">
        <v>33</v>
      </c>
      <c r="C583" s="3" t="s">
        <v>23</v>
      </c>
      <c r="D583" s="3" t="s">
        <v>34</v>
      </c>
      <c r="E583" s="3" t="s">
        <v>25</v>
      </c>
      <c r="F583" s="3" t="s">
        <v>25</v>
      </c>
      <c r="G583" s="3" t="s">
        <v>25</v>
      </c>
      <c r="H583" s="3" t="s">
        <v>25</v>
      </c>
      <c r="I583" s="6">
        <v>44470</v>
      </c>
      <c r="J583" s="4">
        <v>0</v>
      </c>
      <c r="K583" s="4">
        <v>0</v>
      </c>
      <c r="L583" s="4">
        <v>447.57900000000001</v>
      </c>
      <c r="M583" s="4">
        <v>447.57900000000001</v>
      </c>
      <c r="N583" s="4">
        <v>447.57900000000001</v>
      </c>
      <c r="O583" s="4">
        <v>447.57900000000001</v>
      </c>
      <c r="P583" s="4">
        <v>678</v>
      </c>
      <c r="Q583" s="3" t="s">
        <v>26</v>
      </c>
      <c r="R583" s="3">
        <v>0</v>
      </c>
      <c r="S583" s="3" t="s">
        <v>303</v>
      </c>
      <c r="T583" s="3" t="s">
        <v>440</v>
      </c>
      <c r="U583" s="3">
        <v>0</v>
      </c>
      <c r="V583" s="3">
        <v>35</v>
      </c>
      <c r="W583" s="3">
        <v>62</v>
      </c>
    </row>
    <row r="584" spans="1:23" ht="11.25" customHeight="1" x14ac:dyDescent="0.25">
      <c r="A584" s="3" t="s">
        <v>27</v>
      </c>
      <c r="B584" s="3" t="s">
        <v>33</v>
      </c>
      <c r="C584" s="3" t="s">
        <v>23</v>
      </c>
      <c r="D584" s="3" t="s">
        <v>34</v>
      </c>
      <c r="E584" s="3" t="s">
        <v>25</v>
      </c>
      <c r="F584" s="3" t="s">
        <v>25</v>
      </c>
      <c r="G584" s="3" t="s">
        <v>25</v>
      </c>
      <c r="H584" s="3" t="s">
        <v>25</v>
      </c>
      <c r="I584" s="6">
        <v>44470</v>
      </c>
      <c r="J584" s="4">
        <v>0</v>
      </c>
      <c r="K584" s="4">
        <v>0</v>
      </c>
      <c r="L584" s="4">
        <v>-272.85000000000002</v>
      </c>
      <c r="M584" s="4">
        <v>-272.85000000000002</v>
      </c>
      <c r="N584" s="4">
        <v>-272.85000000000002</v>
      </c>
      <c r="O584" s="4">
        <v>-272.85000000000002</v>
      </c>
      <c r="P584" s="4">
        <v>0</v>
      </c>
      <c r="Q584" s="3" t="s">
        <v>26</v>
      </c>
      <c r="R584" s="3">
        <v>0</v>
      </c>
      <c r="S584" s="3" t="s">
        <v>303</v>
      </c>
      <c r="T584" s="3" t="s">
        <v>440</v>
      </c>
      <c r="U584" s="3">
        <v>0</v>
      </c>
      <c r="V584" s="3">
        <v>35</v>
      </c>
      <c r="W584" s="3">
        <v>62</v>
      </c>
    </row>
    <row r="585" spans="1:23" ht="11.25" customHeight="1" x14ac:dyDescent="0.25">
      <c r="A585" s="3" t="s">
        <v>28</v>
      </c>
      <c r="B585" s="3" t="s">
        <v>33</v>
      </c>
      <c r="C585" s="3" t="s">
        <v>23</v>
      </c>
      <c r="D585" s="3" t="s">
        <v>34</v>
      </c>
      <c r="E585" s="3" t="s">
        <v>25</v>
      </c>
      <c r="F585" s="3" t="s">
        <v>25</v>
      </c>
      <c r="G585" s="3" t="s">
        <v>25</v>
      </c>
      <c r="H585" s="3" t="s">
        <v>25</v>
      </c>
      <c r="I585" s="6">
        <v>44470</v>
      </c>
      <c r="J585" s="4">
        <v>0</v>
      </c>
      <c r="K585" s="4">
        <v>0</v>
      </c>
      <c r="L585" s="4">
        <v>64.072000000000003</v>
      </c>
      <c r="M585" s="4">
        <v>64.072000000000003</v>
      </c>
      <c r="N585" s="4">
        <v>64.072000000000003</v>
      </c>
      <c r="O585" s="4">
        <v>64.072000000000003</v>
      </c>
      <c r="P585" s="4">
        <v>40</v>
      </c>
      <c r="Q585" s="3" t="s">
        <v>26</v>
      </c>
      <c r="R585" s="3">
        <v>0</v>
      </c>
      <c r="S585" s="3" t="s">
        <v>303</v>
      </c>
      <c r="T585" s="3" t="s">
        <v>440</v>
      </c>
      <c r="U585" s="3">
        <v>0</v>
      </c>
      <c r="V585" s="3">
        <v>35</v>
      </c>
      <c r="W585" s="3">
        <v>62</v>
      </c>
    </row>
    <row r="586" spans="1:23" ht="11.25" customHeight="1" x14ac:dyDescent="0.25">
      <c r="A586" s="3" t="s">
        <v>21</v>
      </c>
      <c r="B586" s="3" t="s">
        <v>33</v>
      </c>
      <c r="C586" s="3" t="s">
        <v>23</v>
      </c>
      <c r="D586" s="3" t="s">
        <v>34</v>
      </c>
      <c r="E586" s="3" t="s">
        <v>25</v>
      </c>
      <c r="F586" s="3" t="s">
        <v>25</v>
      </c>
      <c r="G586" s="3" t="s">
        <v>25</v>
      </c>
      <c r="H586" s="3" t="s">
        <v>25</v>
      </c>
      <c r="I586" s="6">
        <v>44501</v>
      </c>
      <c r="J586" s="4">
        <v>0</v>
      </c>
      <c r="K586" s="4">
        <v>0</v>
      </c>
      <c r="L586" s="4">
        <v>432.14800000000002</v>
      </c>
      <c r="M586" s="4">
        <v>432.14800000000002</v>
      </c>
      <c r="N586" s="4">
        <v>432.14800000000002</v>
      </c>
      <c r="O586" s="4">
        <v>432.14800000000002</v>
      </c>
      <c r="P586" s="4">
        <v>683</v>
      </c>
      <c r="Q586" s="3" t="s">
        <v>26</v>
      </c>
      <c r="R586" s="3">
        <v>0</v>
      </c>
      <c r="S586" s="3" t="s">
        <v>304</v>
      </c>
      <c r="T586" s="3" t="s">
        <v>441</v>
      </c>
      <c r="U586" s="3">
        <v>0</v>
      </c>
      <c r="V586" s="3">
        <v>35</v>
      </c>
      <c r="W586" s="3">
        <v>62</v>
      </c>
    </row>
    <row r="587" spans="1:23" ht="11.25" customHeight="1" x14ac:dyDescent="0.25">
      <c r="A587" s="3" t="s">
        <v>27</v>
      </c>
      <c r="B587" s="3" t="s">
        <v>33</v>
      </c>
      <c r="C587" s="3" t="s">
        <v>23</v>
      </c>
      <c r="D587" s="3" t="s">
        <v>34</v>
      </c>
      <c r="E587" s="3" t="s">
        <v>25</v>
      </c>
      <c r="F587" s="3" t="s">
        <v>25</v>
      </c>
      <c r="G587" s="3" t="s">
        <v>25</v>
      </c>
      <c r="H587" s="3" t="s">
        <v>25</v>
      </c>
      <c r="I587" s="6">
        <v>44501</v>
      </c>
      <c r="J587" s="4">
        <v>0</v>
      </c>
      <c r="K587" s="4">
        <v>0</v>
      </c>
      <c r="L587" s="4">
        <v>-232.19200000000001</v>
      </c>
      <c r="M587" s="4">
        <v>-232.19200000000001</v>
      </c>
      <c r="N587" s="4">
        <v>-232.19200000000001</v>
      </c>
      <c r="O587" s="4">
        <v>-232.19200000000001</v>
      </c>
      <c r="P587" s="4">
        <v>0</v>
      </c>
      <c r="Q587" s="3" t="s">
        <v>26</v>
      </c>
      <c r="R587" s="3">
        <v>0</v>
      </c>
      <c r="S587" s="3" t="s">
        <v>304</v>
      </c>
      <c r="T587" s="3" t="s">
        <v>441</v>
      </c>
      <c r="U587" s="3">
        <v>0</v>
      </c>
      <c r="V587" s="3">
        <v>35</v>
      </c>
      <c r="W587" s="3">
        <v>62</v>
      </c>
    </row>
    <row r="588" spans="1:23" ht="11.25" customHeight="1" x14ac:dyDescent="0.25">
      <c r="A588" s="3" t="s">
        <v>28</v>
      </c>
      <c r="B588" s="3" t="s">
        <v>33</v>
      </c>
      <c r="C588" s="3" t="s">
        <v>23</v>
      </c>
      <c r="D588" s="3" t="s">
        <v>34</v>
      </c>
      <c r="E588" s="3" t="s">
        <v>25</v>
      </c>
      <c r="F588" s="3" t="s">
        <v>25</v>
      </c>
      <c r="G588" s="3" t="s">
        <v>25</v>
      </c>
      <c r="H588" s="3" t="s">
        <v>25</v>
      </c>
      <c r="I588" s="6">
        <v>44501</v>
      </c>
      <c r="J588" s="4">
        <v>0</v>
      </c>
      <c r="K588" s="4">
        <v>0</v>
      </c>
      <c r="L588" s="4">
        <v>42.582000000000001</v>
      </c>
      <c r="M588" s="4">
        <v>42.582000000000001</v>
      </c>
      <c r="N588" s="4">
        <v>42.582000000000001</v>
      </c>
      <c r="O588" s="4">
        <v>42.582000000000001</v>
      </c>
      <c r="P588" s="4">
        <v>43</v>
      </c>
      <c r="Q588" s="3" t="s">
        <v>26</v>
      </c>
      <c r="R588" s="3">
        <v>0</v>
      </c>
      <c r="S588" s="3" t="s">
        <v>304</v>
      </c>
      <c r="T588" s="3" t="s">
        <v>441</v>
      </c>
      <c r="U588" s="3">
        <v>0</v>
      </c>
      <c r="V588" s="3">
        <v>35</v>
      </c>
      <c r="W588" s="3">
        <v>62</v>
      </c>
    </row>
    <row r="589" spans="1:23" ht="11.25" customHeight="1" x14ac:dyDescent="0.25">
      <c r="A589" s="3" t="s">
        <v>21</v>
      </c>
      <c r="B589" s="3" t="s">
        <v>33</v>
      </c>
      <c r="C589" s="3" t="s">
        <v>23</v>
      </c>
      <c r="D589" s="3" t="s">
        <v>34</v>
      </c>
      <c r="E589" s="3" t="s">
        <v>25</v>
      </c>
      <c r="F589" s="3" t="s">
        <v>25</v>
      </c>
      <c r="G589" s="3" t="s">
        <v>25</v>
      </c>
      <c r="H589" s="3" t="s">
        <v>25</v>
      </c>
      <c r="I589" s="6">
        <v>44531</v>
      </c>
      <c r="J589" s="4">
        <v>0</v>
      </c>
      <c r="K589" s="4">
        <v>0</v>
      </c>
      <c r="L589" s="4">
        <v>453.23700000000002</v>
      </c>
      <c r="M589" s="4">
        <v>453.23700000000002</v>
      </c>
      <c r="N589" s="4">
        <v>453.23700000000002</v>
      </c>
      <c r="O589" s="4">
        <v>453.23700000000002</v>
      </c>
      <c r="P589" s="4">
        <v>683</v>
      </c>
      <c r="Q589" s="3" t="s">
        <v>26</v>
      </c>
      <c r="R589" s="3">
        <v>0</v>
      </c>
      <c r="S589" s="3" t="s">
        <v>305</v>
      </c>
      <c r="T589" s="3" t="s">
        <v>442</v>
      </c>
      <c r="U589" s="3">
        <v>0</v>
      </c>
      <c r="V589" s="3">
        <v>35</v>
      </c>
      <c r="W589" s="3">
        <v>62</v>
      </c>
    </row>
    <row r="590" spans="1:23" ht="11.25" customHeight="1" x14ac:dyDescent="0.25">
      <c r="A590" s="3" t="s">
        <v>28</v>
      </c>
      <c r="B590" s="3" t="s">
        <v>33</v>
      </c>
      <c r="C590" s="3" t="s">
        <v>23</v>
      </c>
      <c r="D590" s="3" t="s">
        <v>34</v>
      </c>
      <c r="E590" s="3" t="s">
        <v>25</v>
      </c>
      <c r="F590" s="3" t="s">
        <v>25</v>
      </c>
      <c r="G590" s="3" t="s">
        <v>25</v>
      </c>
      <c r="H590" s="3" t="s">
        <v>25</v>
      </c>
      <c r="I590" s="6">
        <v>44531</v>
      </c>
      <c r="J590" s="4">
        <v>0</v>
      </c>
      <c r="K590" s="4">
        <v>0</v>
      </c>
      <c r="L590" s="4">
        <v>45.506999999999998</v>
      </c>
      <c r="M590" s="4">
        <v>45.506999999999998</v>
      </c>
      <c r="N590" s="4">
        <v>45.506999999999998</v>
      </c>
      <c r="O590" s="4">
        <v>45.506999999999998</v>
      </c>
      <c r="P590" s="4">
        <v>47</v>
      </c>
      <c r="Q590" s="3" t="s">
        <v>26</v>
      </c>
      <c r="R590" s="3">
        <v>0</v>
      </c>
      <c r="S590" s="3" t="s">
        <v>305</v>
      </c>
      <c r="T590" s="3" t="s">
        <v>442</v>
      </c>
      <c r="U590" s="3">
        <v>0</v>
      </c>
      <c r="V590" s="3">
        <v>35</v>
      </c>
      <c r="W590" s="3">
        <v>62</v>
      </c>
    </row>
    <row r="591" spans="1:23" ht="11.25" customHeight="1" x14ac:dyDescent="0.25">
      <c r="A591" s="3" t="s">
        <v>21</v>
      </c>
      <c r="B591" s="3" t="s">
        <v>33</v>
      </c>
      <c r="C591" s="3" t="s">
        <v>23</v>
      </c>
      <c r="D591" s="3" t="s">
        <v>34</v>
      </c>
      <c r="E591" s="3" t="s">
        <v>25</v>
      </c>
      <c r="F591" s="3" t="s">
        <v>25</v>
      </c>
      <c r="G591" s="3" t="s">
        <v>25</v>
      </c>
      <c r="H591" s="3" t="s">
        <v>25</v>
      </c>
      <c r="I591" s="6">
        <v>44562</v>
      </c>
      <c r="J591" s="4">
        <v>0</v>
      </c>
      <c r="K591" s="4">
        <v>0</v>
      </c>
      <c r="L591" s="4">
        <v>383.63600000000002</v>
      </c>
      <c r="M591" s="4">
        <v>383.63600000000002</v>
      </c>
      <c r="N591" s="4">
        <v>383.63600000000002</v>
      </c>
      <c r="O591" s="4">
        <v>383.63600000000002</v>
      </c>
      <c r="P591" s="4">
        <v>682</v>
      </c>
      <c r="Q591" s="3" t="s">
        <v>26</v>
      </c>
      <c r="R591" s="3">
        <v>0</v>
      </c>
      <c r="S591" s="3" t="s">
        <v>306</v>
      </c>
      <c r="T591" s="3" t="s">
        <v>443</v>
      </c>
      <c r="U591" s="3">
        <v>0</v>
      </c>
      <c r="V591" s="3">
        <v>35</v>
      </c>
      <c r="W591" s="3">
        <v>62</v>
      </c>
    </row>
    <row r="592" spans="1:23" ht="11.25" customHeight="1" x14ac:dyDescent="0.25">
      <c r="A592" s="3" t="s">
        <v>27</v>
      </c>
      <c r="B592" s="3" t="s">
        <v>33</v>
      </c>
      <c r="C592" s="3" t="s">
        <v>23</v>
      </c>
      <c r="D592" s="3" t="s">
        <v>34</v>
      </c>
      <c r="E592" s="3" t="s">
        <v>25</v>
      </c>
      <c r="F592" s="3" t="s">
        <v>25</v>
      </c>
      <c r="G592" s="3" t="s">
        <v>25</v>
      </c>
      <c r="H592" s="3" t="s">
        <v>25</v>
      </c>
      <c r="I592" s="6">
        <v>44562</v>
      </c>
      <c r="J592" s="4">
        <v>0</v>
      </c>
      <c r="K592" s="4">
        <v>0</v>
      </c>
      <c r="L592" s="4">
        <v>-0.53200000000000003</v>
      </c>
      <c r="M592" s="4">
        <v>-0.53200000000000003</v>
      </c>
      <c r="N592" s="4">
        <v>-0.53200000000000003</v>
      </c>
      <c r="O592" s="4">
        <v>-0.53200000000000003</v>
      </c>
      <c r="P592" s="4">
        <v>0</v>
      </c>
      <c r="Q592" s="3" t="s">
        <v>26</v>
      </c>
      <c r="R592" s="3">
        <v>0</v>
      </c>
      <c r="S592" s="3" t="s">
        <v>306</v>
      </c>
      <c r="T592" s="3" t="s">
        <v>443</v>
      </c>
      <c r="U592" s="3">
        <v>0</v>
      </c>
      <c r="V592" s="3">
        <v>35</v>
      </c>
      <c r="W592" s="3">
        <v>62</v>
      </c>
    </row>
    <row r="593" spans="1:23" ht="11.25" customHeight="1" x14ac:dyDescent="0.25">
      <c r="A593" s="3" t="s">
        <v>28</v>
      </c>
      <c r="B593" s="3" t="s">
        <v>33</v>
      </c>
      <c r="C593" s="3" t="s">
        <v>23</v>
      </c>
      <c r="D593" s="3" t="s">
        <v>34</v>
      </c>
      <c r="E593" s="3" t="s">
        <v>25</v>
      </c>
      <c r="F593" s="3" t="s">
        <v>25</v>
      </c>
      <c r="G593" s="3" t="s">
        <v>25</v>
      </c>
      <c r="H593" s="3" t="s">
        <v>25</v>
      </c>
      <c r="I593" s="6">
        <v>44562</v>
      </c>
      <c r="J593" s="4">
        <v>0</v>
      </c>
      <c r="K593" s="4">
        <v>0</v>
      </c>
      <c r="L593" s="4">
        <v>30.292000000000002</v>
      </c>
      <c r="M593" s="4">
        <v>30.292000000000002</v>
      </c>
      <c r="N593" s="4">
        <v>30.292000000000002</v>
      </c>
      <c r="O593" s="4">
        <v>30.292000000000002</v>
      </c>
      <c r="P593" s="4">
        <v>47</v>
      </c>
      <c r="Q593" s="3" t="s">
        <v>26</v>
      </c>
      <c r="R593" s="3">
        <v>0</v>
      </c>
      <c r="S593" s="3" t="s">
        <v>306</v>
      </c>
      <c r="T593" s="3" t="s">
        <v>443</v>
      </c>
      <c r="U593" s="3">
        <v>0</v>
      </c>
      <c r="V593" s="3">
        <v>35</v>
      </c>
      <c r="W593" s="3">
        <v>62</v>
      </c>
    </row>
    <row r="594" spans="1:23" ht="11.25" customHeight="1" x14ac:dyDescent="0.25">
      <c r="A594" s="3" t="s">
        <v>21</v>
      </c>
      <c r="B594" s="3" t="s">
        <v>33</v>
      </c>
      <c r="C594" s="3" t="s">
        <v>23</v>
      </c>
      <c r="D594" s="3" t="s">
        <v>34</v>
      </c>
      <c r="E594" s="3" t="s">
        <v>25</v>
      </c>
      <c r="F594" s="3" t="s">
        <v>25</v>
      </c>
      <c r="G594" s="3" t="s">
        <v>25</v>
      </c>
      <c r="H594" s="3" t="s">
        <v>25</v>
      </c>
      <c r="I594" s="6">
        <v>44593</v>
      </c>
      <c r="J594" s="4">
        <v>0</v>
      </c>
      <c r="K594" s="4">
        <v>0</v>
      </c>
      <c r="L594" s="4">
        <v>515.07299999999998</v>
      </c>
      <c r="M594" s="4">
        <v>515.07299999999998</v>
      </c>
      <c r="N594" s="4">
        <v>515.07299999999998</v>
      </c>
      <c r="O594" s="4">
        <v>515.07299999999998</v>
      </c>
      <c r="P594" s="4">
        <v>688</v>
      </c>
      <c r="Q594" s="3" t="s">
        <v>26</v>
      </c>
      <c r="R594" s="3">
        <v>0</v>
      </c>
      <c r="S594" s="3" t="s">
        <v>307</v>
      </c>
      <c r="T594" s="3" t="s">
        <v>444</v>
      </c>
      <c r="U594" s="3">
        <v>0</v>
      </c>
      <c r="V594" s="3">
        <v>35</v>
      </c>
      <c r="W594" s="3">
        <v>62</v>
      </c>
    </row>
    <row r="595" spans="1:23" ht="11.25" customHeight="1" x14ac:dyDescent="0.25">
      <c r="A595" s="3" t="s">
        <v>27</v>
      </c>
      <c r="B595" s="3" t="s">
        <v>33</v>
      </c>
      <c r="C595" s="3" t="s">
        <v>23</v>
      </c>
      <c r="D595" s="3" t="s">
        <v>34</v>
      </c>
      <c r="E595" s="3" t="s">
        <v>25</v>
      </c>
      <c r="F595" s="3" t="s">
        <v>25</v>
      </c>
      <c r="G595" s="3" t="s">
        <v>25</v>
      </c>
      <c r="H595" s="3" t="s">
        <v>25</v>
      </c>
      <c r="I595" s="6">
        <v>44593</v>
      </c>
      <c r="J595" s="4">
        <v>0</v>
      </c>
      <c r="K595" s="4">
        <v>0</v>
      </c>
      <c r="L595" s="4">
        <v>-1.825</v>
      </c>
      <c r="M595" s="4">
        <v>-1.825</v>
      </c>
      <c r="N595" s="4">
        <v>-1.825</v>
      </c>
      <c r="O595" s="4">
        <v>-1.825</v>
      </c>
      <c r="P595" s="4">
        <v>0</v>
      </c>
      <c r="Q595" s="3" t="s">
        <v>26</v>
      </c>
      <c r="R595" s="3">
        <v>0</v>
      </c>
      <c r="S595" s="3" t="s">
        <v>307</v>
      </c>
      <c r="T595" s="3" t="s">
        <v>444</v>
      </c>
      <c r="U595" s="3">
        <v>0</v>
      </c>
      <c r="V595" s="3">
        <v>35</v>
      </c>
      <c r="W595" s="3">
        <v>62</v>
      </c>
    </row>
    <row r="596" spans="1:23" ht="11.25" customHeight="1" x14ac:dyDescent="0.25">
      <c r="A596" s="3" t="s">
        <v>28</v>
      </c>
      <c r="B596" s="3" t="s">
        <v>33</v>
      </c>
      <c r="C596" s="3" t="s">
        <v>23</v>
      </c>
      <c r="D596" s="3" t="s">
        <v>34</v>
      </c>
      <c r="E596" s="3" t="s">
        <v>25</v>
      </c>
      <c r="F596" s="3" t="s">
        <v>25</v>
      </c>
      <c r="G596" s="3" t="s">
        <v>25</v>
      </c>
      <c r="H596" s="3" t="s">
        <v>25</v>
      </c>
      <c r="I596" s="6">
        <v>44593</v>
      </c>
      <c r="J596" s="4">
        <v>0</v>
      </c>
      <c r="K596" s="4">
        <v>0</v>
      </c>
      <c r="L596" s="4">
        <v>49.747999999999998</v>
      </c>
      <c r="M596" s="4">
        <v>49.747999999999998</v>
      </c>
      <c r="N596" s="4">
        <v>49.747999999999998</v>
      </c>
      <c r="O596" s="4">
        <v>49.747999999999998</v>
      </c>
      <c r="P596" s="4">
        <v>48</v>
      </c>
      <c r="Q596" s="3" t="s">
        <v>26</v>
      </c>
      <c r="R596" s="3">
        <v>0</v>
      </c>
      <c r="S596" s="3" t="s">
        <v>307</v>
      </c>
      <c r="T596" s="3" t="s">
        <v>444</v>
      </c>
      <c r="U596" s="3">
        <v>0</v>
      </c>
      <c r="V596" s="3">
        <v>35</v>
      </c>
      <c r="W596" s="3">
        <v>62</v>
      </c>
    </row>
    <row r="597" spans="1:23" ht="11.25" customHeight="1" x14ac:dyDescent="0.25">
      <c r="A597" s="3" t="s">
        <v>21</v>
      </c>
      <c r="B597" s="3" t="s">
        <v>33</v>
      </c>
      <c r="C597" s="3" t="s">
        <v>23</v>
      </c>
      <c r="D597" s="3" t="s">
        <v>34</v>
      </c>
      <c r="E597" s="3" t="s">
        <v>25</v>
      </c>
      <c r="F597" s="3" t="s">
        <v>25</v>
      </c>
      <c r="G597" s="3" t="s">
        <v>25</v>
      </c>
      <c r="H597" s="3" t="s">
        <v>25</v>
      </c>
      <c r="I597" s="6">
        <v>44621</v>
      </c>
      <c r="J597" s="4">
        <v>0</v>
      </c>
      <c r="K597" s="4">
        <v>0</v>
      </c>
      <c r="L597" s="4">
        <v>471.63200000000001</v>
      </c>
      <c r="M597" s="4">
        <v>471.63200000000001</v>
      </c>
      <c r="N597" s="4">
        <v>471.63200000000001</v>
      </c>
      <c r="O597" s="4">
        <v>471.63200000000001</v>
      </c>
      <c r="P597" s="4">
        <v>684</v>
      </c>
      <c r="Q597" s="3" t="s">
        <v>26</v>
      </c>
      <c r="R597" s="3">
        <v>0</v>
      </c>
      <c r="S597" s="3" t="s">
        <v>308</v>
      </c>
      <c r="T597" s="3" t="s">
        <v>445</v>
      </c>
      <c r="U597" s="3">
        <v>0</v>
      </c>
      <c r="V597" s="3">
        <v>35</v>
      </c>
      <c r="W597" s="3">
        <v>62</v>
      </c>
    </row>
    <row r="598" spans="1:23" ht="11.25" customHeight="1" x14ac:dyDescent="0.25">
      <c r="A598" s="3" t="s">
        <v>28</v>
      </c>
      <c r="B598" s="3" t="s">
        <v>33</v>
      </c>
      <c r="C598" s="3" t="s">
        <v>23</v>
      </c>
      <c r="D598" s="3" t="s">
        <v>34</v>
      </c>
      <c r="E598" s="3" t="s">
        <v>25</v>
      </c>
      <c r="F598" s="3" t="s">
        <v>25</v>
      </c>
      <c r="G598" s="3" t="s">
        <v>25</v>
      </c>
      <c r="H598" s="3" t="s">
        <v>25</v>
      </c>
      <c r="I598" s="6">
        <v>44621</v>
      </c>
      <c r="J598" s="4">
        <v>0</v>
      </c>
      <c r="K598" s="4">
        <v>0</v>
      </c>
      <c r="L598" s="4">
        <v>48.302</v>
      </c>
      <c r="M598" s="4">
        <v>48.302</v>
      </c>
      <c r="N598" s="4">
        <v>48.302</v>
      </c>
      <c r="O598" s="4">
        <v>48.302</v>
      </c>
      <c r="P598" s="4">
        <v>49</v>
      </c>
      <c r="Q598" s="3" t="s">
        <v>26</v>
      </c>
      <c r="R598" s="3">
        <v>0</v>
      </c>
      <c r="S598" s="3" t="s">
        <v>308</v>
      </c>
      <c r="T598" s="3" t="s">
        <v>445</v>
      </c>
      <c r="U598" s="3">
        <v>0</v>
      </c>
      <c r="V598" s="3">
        <v>35</v>
      </c>
      <c r="W598" s="3">
        <v>62</v>
      </c>
    </row>
    <row r="599" spans="1:23" ht="11.25" customHeight="1" x14ac:dyDescent="0.25">
      <c r="A599" s="3" t="s">
        <v>21</v>
      </c>
      <c r="B599" s="3" t="s">
        <v>33</v>
      </c>
      <c r="C599" s="3" t="s">
        <v>23</v>
      </c>
      <c r="D599" s="3" t="s">
        <v>34</v>
      </c>
      <c r="E599" s="3" t="s">
        <v>25</v>
      </c>
      <c r="F599" s="3" t="s">
        <v>25</v>
      </c>
      <c r="G599" s="3" t="s">
        <v>25</v>
      </c>
      <c r="H599" s="3" t="s">
        <v>25</v>
      </c>
      <c r="I599" s="6">
        <v>44652</v>
      </c>
      <c r="J599" s="4">
        <v>0</v>
      </c>
      <c r="K599" s="4">
        <v>0</v>
      </c>
      <c r="L599" s="4">
        <v>434.47199999999998</v>
      </c>
      <c r="M599" s="4">
        <v>434.47199999999998</v>
      </c>
      <c r="N599" s="4">
        <v>434.47199999999998</v>
      </c>
      <c r="O599" s="4">
        <v>434.47199999999998</v>
      </c>
      <c r="P599" s="4">
        <v>683</v>
      </c>
      <c r="Q599" s="3" t="s">
        <v>26</v>
      </c>
      <c r="R599" s="3">
        <v>0</v>
      </c>
      <c r="S599" s="3" t="s">
        <v>309</v>
      </c>
      <c r="T599" s="3" t="s">
        <v>446</v>
      </c>
      <c r="U599" s="3">
        <v>0</v>
      </c>
      <c r="V599" s="3">
        <v>35</v>
      </c>
      <c r="W599" s="3">
        <v>62</v>
      </c>
    </row>
    <row r="600" spans="1:23" ht="11.25" customHeight="1" x14ac:dyDescent="0.25">
      <c r="A600" s="3" t="s">
        <v>28</v>
      </c>
      <c r="B600" s="3" t="s">
        <v>33</v>
      </c>
      <c r="C600" s="3" t="s">
        <v>23</v>
      </c>
      <c r="D600" s="3" t="s">
        <v>34</v>
      </c>
      <c r="E600" s="3" t="s">
        <v>25</v>
      </c>
      <c r="F600" s="3" t="s">
        <v>25</v>
      </c>
      <c r="G600" s="3" t="s">
        <v>25</v>
      </c>
      <c r="H600" s="3" t="s">
        <v>25</v>
      </c>
      <c r="I600" s="6">
        <v>44652</v>
      </c>
      <c r="J600" s="4">
        <v>0</v>
      </c>
      <c r="K600" s="4">
        <v>0</v>
      </c>
      <c r="L600" s="4">
        <v>36.625999999999998</v>
      </c>
      <c r="M600" s="4">
        <v>36.625999999999998</v>
      </c>
      <c r="N600" s="4">
        <v>36.625999999999998</v>
      </c>
      <c r="O600" s="4">
        <v>36.625999999999998</v>
      </c>
      <c r="P600" s="4">
        <v>49</v>
      </c>
      <c r="Q600" s="3" t="s">
        <v>26</v>
      </c>
      <c r="R600" s="3">
        <v>0</v>
      </c>
      <c r="S600" s="3" t="s">
        <v>309</v>
      </c>
      <c r="T600" s="3" t="s">
        <v>446</v>
      </c>
      <c r="U600" s="3">
        <v>0</v>
      </c>
      <c r="V600" s="3">
        <v>35</v>
      </c>
      <c r="W600" s="3">
        <v>62</v>
      </c>
    </row>
    <row r="601" spans="1:23" ht="11.25" customHeight="1" x14ac:dyDescent="0.25">
      <c r="A601" s="3" t="s">
        <v>21</v>
      </c>
      <c r="B601" s="3" t="s">
        <v>33</v>
      </c>
      <c r="C601" s="3" t="s">
        <v>23</v>
      </c>
      <c r="D601" s="3" t="s">
        <v>34</v>
      </c>
      <c r="E601" s="3" t="s">
        <v>25</v>
      </c>
      <c r="F601" s="3" t="s">
        <v>25</v>
      </c>
      <c r="G601" s="3" t="s">
        <v>25</v>
      </c>
      <c r="H601" s="3" t="s">
        <v>25</v>
      </c>
      <c r="I601" s="6">
        <v>44682</v>
      </c>
      <c r="J601" s="4">
        <v>0</v>
      </c>
      <c r="K601" s="4">
        <v>0</v>
      </c>
      <c r="L601" s="4">
        <v>409.39</v>
      </c>
      <c r="M601" s="4">
        <v>409.39</v>
      </c>
      <c r="N601" s="4">
        <v>409.39</v>
      </c>
      <c r="O601" s="4">
        <v>409.39</v>
      </c>
      <c r="P601" s="4">
        <v>683</v>
      </c>
      <c r="Q601" s="3" t="s">
        <v>26</v>
      </c>
      <c r="R601" s="3">
        <v>0</v>
      </c>
      <c r="S601" s="3" t="s">
        <v>310</v>
      </c>
      <c r="T601" s="3" t="s">
        <v>447</v>
      </c>
      <c r="U601" s="3">
        <v>0</v>
      </c>
      <c r="V601" s="3">
        <v>35</v>
      </c>
      <c r="W601" s="3">
        <v>62</v>
      </c>
    </row>
    <row r="602" spans="1:23" ht="11.25" customHeight="1" x14ac:dyDescent="0.25">
      <c r="A602" s="3" t="s">
        <v>28</v>
      </c>
      <c r="B602" s="3" t="s">
        <v>33</v>
      </c>
      <c r="C602" s="3" t="s">
        <v>23</v>
      </c>
      <c r="D602" s="3" t="s">
        <v>34</v>
      </c>
      <c r="E602" s="3" t="s">
        <v>25</v>
      </c>
      <c r="F602" s="3" t="s">
        <v>25</v>
      </c>
      <c r="G602" s="3" t="s">
        <v>25</v>
      </c>
      <c r="H602" s="3" t="s">
        <v>25</v>
      </c>
      <c r="I602" s="6">
        <v>44682</v>
      </c>
      <c r="J602" s="4">
        <v>0</v>
      </c>
      <c r="K602" s="4">
        <v>0</v>
      </c>
      <c r="L602" s="4">
        <v>42.908999999999999</v>
      </c>
      <c r="M602" s="4">
        <v>42.908999999999999</v>
      </c>
      <c r="N602" s="4">
        <v>42.908999999999999</v>
      </c>
      <c r="O602" s="4">
        <v>42.908999999999999</v>
      </c>
      <c r="P602" s="4">
        <v>51</v>
      </c>
      <c r="Q602" s="3" t="s">
        <v>26</v>
      </c>
      <c r="R602" s="3">
        <v>0</v>
      </c>
      <c r="S602" s="3" t="s">
        <v>310</v>
      </c>
      <c r="T602" s="3" t="s">
        <v>447</v>
      </c>
      <c r="U602" s="3">
        <v>0</v>
      </c>
      <c r="V602" s="3">
        <v>35</v>
      </c>
      <c r="W602" s="3">
        <v>62</v>
      </c>
    </row>
    <row r="603" spans="1:23" ht="11.25" customHeight="1" x14ac:dyDescent="0.25">
      <c r="A603" s="3" t="s">
        <v>21</v>
      </c>
      <c r="B603" s="3" t="s">
        <v>33</v>
      </c>
      <c r="C603" s="3" t="s">
        <v>23</v>
      </c>
      <c r="D603" s="3" t="s">
        <v>34</v>
      </c>
      <c r="E603" s="3" t="s">
        <v>25</v>
      </c>
      <c r="F603" s="3" t="s">
        <v>25</v>
      </c>
      <c r="G603" s="3" t="s">
        <v>25</v>
      </c>
      <c r="H603" s="3" t="s">
        <v>25</v>
      </c>
      <c r="I603" s="6">
        <v>44713</v>
      </c>
      <c r="J603" s="4">
        <v>0</v>
      </c>
      <c r="K603" s="4">
        <v>0</v>
      </c>
      <c r="L603" s="4">
        <v>431.96899999999999</v>
      </c>
      <c r="M603" s="4">
        <v>431.96899999999999</v>
      </c>
      <c r="N603" s="4">
        <v>431.96899999999999</v>
      </c>
      <c r="O603" s="4">
        <v>431.96899999999999</v>
      </c>
      <c r="P603" s="4">
        <v>677</v>
      </c>
      <c r="Q603" s="3" t="s">
        <v>26</v>
      </c>
      <c r="R603" s="3">
        <v>0</v>
      </c>
      <c r="S603" s="3" t="s">
        <v>311</v>
      </c>
      <c r="T603" s="3" t="s">
        <v>448</v>
      </c>
      <c r="U603" s="3">
        <v>0</v>
      </c>
      <c r="V603" s="3">
        <v>35</v>
      </c>
      <c r="W603" s="3">
        <v>62</v>
      </c>
    </row>
    <row r="604" spans="1:23" ht="11.25" customHeight="1" x14ac:dyDescent="0.25">
      <c r="A604" s="3" t="s">
        <v>27</v>
      </c>
      <c r="B604" s="3" t="s">
        <v>33</v>
      </c>
      <c r="C604" s="3" t="s">
        <v>23</v>
      </c>
      <c r="D604" s="3" t="s">
        <v>34</v>
      </c>
      <c r="E604" s="3" t="s">
        <v>25</v>
      </c>
      <c r="F604" s="3" t="s">
        <v>25</v>
      </c>
      <c r="G604" s="3" t="s">
        <v>25</v>
      </c>
      <c r="H604" s="3" t="s">
        <v>25</v>
      </c>
      <c r="I604" s="6">
        <v>44713</v>
      </c>
      <c r="J604" s="4">
        <v>0</v>
      </c>
      <c r="K604" s="4">
        <v>0</v>
      </c>
      <c r="L604" s="4">
        <v>-1.4450000000000001</v>
      </c>
      <c r="M604" s="4">
        <v>-1.4450000000000001</v>
      </c>
      <c r="N604" s="4">
        <v>-1.4450000000000001</v>
      </c>
      <c r="O604" s="4">
        <v>-1.4450000000000001</v>
      </c>
      <c r="P604" s="4">
        <v>0</v>
      </c>
      <c r="Q604" s="3" t="s">
        <v>26</v>
      </c>
      <c r="R604" s="3">
        <v>0</v>
      </c>
      <c r="S604" s="3" t="s">
        <v>311</v>
      </c>
      <c r="T604" s="3" t="s">
        <v>448</v>
      </c>
      <c r="U604" s="3">
        <v>0</v>
      </c>
      <c r="V604" s="3">
        <v>35</v>
      </c>
      <c r="W604" s="3">
        <v>62</v>
      </c>
    </row>
    <row r="605" spans="1:23" ht="11.25" customHeight="1" x14ac:dyDescent="0.25">
      <c r="A605" s="3" t="s">
        <v>28</v>
      </c>
      <c r="B605" s="3" t="s">
        <v>33</v>
      </c>
      <c r="C605" s="3" t="s">
        <v>23</v>
      </c>
      <c r="D605" s="3" t="s">
        <v>34</v>
      </c>
      <c r="E605" s="3" t="s">
        <v>25</v>
      </c>
      <c r="F605" s="3" t="s">
        <v>25</v>
      </c>
      <c r="G605" s="3" t="s">
        <v>25</v>
      </c>
      <c r="H605" s="3" t="s">
        <v>25</v>
      </c>
      <c r="I605" s="6">
        <v>44713</v>
      </c>
      <c r="J605" s="4">
        <v>0</v>
      </c>
      <c r="K605" s="4">
        <v>0</v>
      </c>
      <c r="L605" s="4">
        <v>52.77</v>
      </c>
      <c r="M605" s="4">
        <v>52.77</v>
      </c>
      <c r="N605" s="4">
        <v>52.77</v>
      </c>
      <c r="O605" s="4">
        <v>52.77</v>
      </c>
      <c r="P605" s="4">
        <v>53</v>
      </c>
      <c r="Q605" s="3" t="s">
        <v>26</v>
      </c>
      <c r="R605" s="3">
        <v>0</v>
      </c>
      <c r="S605" s="3" t="s">
        <v>311</v>
      </c>
      <c r="T605" s="3" t="s">
        <v>448</v>
      </c>
      <c r="U605" s="3">
        <v>0</v>
      </c>
      <c r="V605" s="3">
        <v>35</v>
      </c>
      <c r="W605" s="3">
        <v>62</v>
      </c>
    </row>
    <row r="606" spans="1:23" ht="11.25" customHeight="1" x14ac:dyDescent="0.25">
      <c r="A606" s="3" t="s">
        <v>21</v>
      </c>
      <c r="B606" s="3" t="s">
        <v>33</v>
      </c>
      <c r="C606" s="3" t="s">
        <v>23</v>
      </c>
      <c r="D606" s="3" t="s">
        <v>34</v>
      </c>
      <c r="E606" s="3" t="s">
        <v>25</v>
      </c>
      <c r="F606" s="3" t="s">
        <v>25</v>
      </c>
      <c r="G606" s="3" t="s">
        <v>25</v>
      </c>
      <c r="H606" s="3" t="s">
        <v>25</v>
      </c>
      <c r="I606" s="6">
        <v>44743</v>
      </c>
      <c r="J606" s="4">
        <v>0</v>
      </c>
      <c r="K606" s="4">
        <v>0</v>
      </c>
      <c r="L606" s="4">
        <v>417.428</v>
      </c>
      <c r="M606" s="4">
        <v>417.428</v>
      </c>
      <c r="N606" s="4">
        <v>417.428</v>
      </c>
      <c r="O606" s="4">
        <v>417.428</v>
      </c>
      <c r="P606" s="4">
        <v>675</v>
      </c>
      <c r="Q606" s="3" t="s">
        <v>26</v>
      </c>
      <c r="R606" s="3">
        <v>0</v>
      </c>
      <c r="S606" s="3" t="s">
        <v>312</v>
      </c>
      <c r="T606" s="3" t="s">
        <v>449</v>
      </c>
      <c r="U606" s="3">
        <v>0</v>
      </c>
      <c r="V606" s="3">
        <v>35</v>
      </c>
      <c r="W606" s="3">
        <v>62</v>
      </c>
    </row>
    <row r="607" spans="1:23" ht="11.25" customHeight="1" x14ac:dyDescent="0.25">
      <c r="A607" s="3" t="s">
        <v>21</v>
      </c>
      <c r="B607" s="3" t="s">
        <v>33</v>
      </c>
      <c r="C607" s="3" t="s">
        <v>23</v>
      </c>
      <c r="D607" s="3" t="s">
        <v>34</v>
      </c>
      <c r="E607" s="3" t="s">
        <v>25</v>
      </c>
      <c r="F607" s="3" t="s">
        <v>25</v>
      </c>
      <c r="G607" s="3" t="s">
        <v>25</v>
      </c>
      <c r="H607" s="3" t="s">
        <v>25</v>
      </c>
      <c r="I607" s="6">
        <v>44774</v>
      </c>
      <c r="J607" s="4">
        <v>0</v>
      </c>
      <c r="K607" s="4">
        <v>0</v>
      </c>
      <c r="L607" s="4">
        <v>436.89299999999997</v>
      </c>
      <c r="M607" s="4">
        <v>436.89299999999997</v>
      </c>
      <c r="N607" s="4">
        <v>436.89299999999997</v>
      </c>
      <c r="O607" s="4">
        <v>436.89299999999997</v>
      </c>
      <c r="P607" s="4">
        <v>673</v>
      </c>
      <c r="Q607" s="3" t="s">
        <v>26</v>
      </c>
      <c r="R607" s="3">
        <v>0</v>
      </c>
      <c r="S607" s="3" t="s">
        <v>313</v>
      </c>
      <c r="T607" s="3" t="s">
        <v>450</v>
      </c>
      <c r="U607" s="3">
        <v>0</v>
      </c>
      <c r="V607" s="3">
        <v>35</v>
      </c>
      <c r="W607" s="3">
        <v>62</v>
      </c>
    </row>
    <row r="608" spans="1:23" ht="11.25" customHeight="1" x14ac:dyDescent="0.25">
      <c r="A608" s="3" t="s">
        <v>28</v>
      </c>
      <c r="B608" s="3" t="s">
        <v>33</v>
      </c>
      <c r="C608" s="3" t="s">
        <v>23</v>
      </c>
      <c r="D608" s="3" t="s">
        <v>34</v>
      </c>
      <c r="E608" s="3" t="s">
        <v>25</v>
      </c>
      <c r="F608" s="3" t="s">
        <v>25</v>
      </c>
      <c r="G608" s="3" t="s">
        <v>25</v>
      </c>
      <c r="H608" s="3" t="s">
        <v>25</v>
      </c>
      <c r="I608" s="6">
        <v>44774</v>
      </c>
      <c r="J608" s="4">
        <v>0</v>
      </c>
      <c r="K608" s="4">
        <v>0</v>
      </c>
      <c r="L608" s="4">
        <v>57.353999999999999</v>
      </c>
      <c r="M608" s="4">
        <v>57.353999999999999</v>
      </c>
      <c r="N608" s="4">
        <v>57.353999999999999</v>
      </c>
      <c r="O608" s="4">
        <v>57.353999999999999</v>
      </c>
      <c r="P608" s="4">
        <v>58</v>
      </c>
      <c r="Q608" s="3" t="s">
        <v>26</v>
      </c>
      <c r="R608" s="3">
        <v>0</v>
      </c>
      <c r="S608" s="3" t="s">
        <v>313</v>
      </c>
      <c r="T608" s="3" t="s">
        <v>450</v>
      </c>
      <c r="U608" s="3">
        <v>0</v>
      </c>
      <c r="V608" s="3">
        <v>35</v>
      </c>
      <c r="W608" s="3">
        <v>62</v>
      </c>
    </row>
    <row r="609" spans="1:23" ht="11.25" customHeight="1" x14ac:dyDescent="0.25">
      <c r="A609" s="3" t="s">
        <v>21</v>
      </c>
      <c r="B609" s="3" t="s">
        <v>33</v>
      </c>
      <c r="C609" s="3" t="s">
        <v>23</v>
      </c>
      <c r="D609" s="3" t="s">
        <v>42</v>
      </c>
      <c r="E609" s="3" t="s">
        <v>25</v>
      </c>
      <c r="F609" s="3" t="s">
        <v>25</v>
      </c>
      <c r="G609" s="3" t="s">
        <v>25</v>
      </c>
      <c r="H609" s="3" t="s">
        <v>25</v>
      </c>
      <c r="I609" s="6">
        <v>44440</v>
      </c>
      <c r="J609" s="4">
        <v>0</v>
      </c>
      <c r="K609" s="4">
        <v>0</v>
      </c>
      <c r="L609" s="4">
        <v>99.13</v>
      </c>
      <c r="M609" s="4">
        <v>99.13</v>
      </c>
      <c r="N609" s="4">
        <v>99.13</v>
      </c>
      <c r="O609" s="4">
        <v>99.13</v>
      </c>
      <c r="P609" s="4">
        <v>156</v>
      </c>
      <c r="Q609" s="3" t="s">
        <v>26</v>
      </c>
      <c r="R609" s="3">
        <v>0</v>
      </c>
      <c r="S609" s="3" t="s">
        <v>302</v>
      </c>
      <c r="T609" s="3" t="s">
        <v>439</v>
      </c>
      <c r="U609" s="3">
        <v>0</v>
      </c>
      <c r="V609" s="3">
        <v>35</v>
      </c>
      <c r="W609" s="3">
        <v>62</v>
      </c>
    </row>
    <row r="610" spans="1:23" ht="11.25" customHeight="1" x14ac:dyDescent="0.25">
      <c r="A610" s="3" t="s">
        <v>21</v>
      </c>
      <c r="B610" s="3" t="s">
        <v>33</v>
      </c>
      <c r="C610" s="3" t="s">
        <v>23</v>
      </c>
      <c r="D610" s="3" t="s">
        <v>42</v>
      </c>
      <c r="E610" s="3" t="s">
        <v>25</v>
      </c>
      <c r="F610" s="3" t="s">
        <v>25</v>
      </c>
      <c r="G610" s="3" t="s">
        <v>25</v>
      </c>
      <c r="H610" s="3" t="s">
        <v>25</v>
      </c>
      <c r="I610" s="6">
        <v>44470</v>
      </c>
      <c r="J610" s="4">
        <v>0</v>
      </c>
      <c r="K610" s="4">
        <v>0</v>
      </c>
      <c r="L610" s="4">
        <v>104.185</v>
      </c>
      <c r="M610" s="4">
        <v>104.185</v>
      </c>
      <c r="N610" s="4">
        <v>104.185</v>
      </c>
      <c r="O610" s="4">
        <v>104.185</v>
      </c>
      <c r="P610" s="4">
        <v>167</v>
      </c>
      <c r="Q610" s="3" t="s">
        <v>26</v>
      </c>
      <c r="R610" s="3">
        <v>0</v>
      </c>
      <c r="S610" s="3" t="s">
        <v>303</v>
      </c>
      <c r="T610" s="3" t="s">
        <v>440</v>
      </c>
      <c r="U610" s="3">
        <v>0</v>
      </c>
      <c r="V610" s="3">
        <v>35</v>
      </c>
      <c r="W610" s="3">
        <v>62</v>
      </c>
    </row>
    <row r="611" spans="1:23" ht="11.25" customHeight="1" x14ac:dyDescent="0.25">
      <c r="A611" s="3" t="s">
        <v>21</v>
      </c>
      <c r="B611" s="3" t="s">
        <v>33</v>
      </c>
      <c r="C611" s="3" t="s">
        <v>23</v>
      </c>
      <c r="D611" s="3" t="s">
        <v>42</v>
      </c>
      <c r="E611" s="3" t="s">
        <v>25</v>
      </c>
      <c r="F611" s="3" t="s">
        <v>25</v>
      </c>
      <c r="G611" s="3" t="s">
        <v>25</v>
      </c>
      <c r="H611" s="3" t="s">
        <v>25</v>
      </c>
      <c r="I611" s="6">
        <v>44501</v>
      </c>
      <c r="J611" s="4">
        <v>0</v>
      </c>
      <c r="K611" s="4">
        <v>0</v>
      </c>
      <c r="L611" s="4">
        <v>134.24700000000001</v>
      </c>
      <c r="M611" s="4">
        <v>134.24700000000001</v>
      </c>
      <c r="N611" s="4">
        <v>134.24700000000001</v>
      </c>
      <c r="O611" s="4">
        <v>134.24700000000001</v>
      </c>
      <c r="P611" s="4">
        <v>167</v>
      </c>
      <c r="Q611" s="3" t="s">
        <v>26</v>
      </c>
      <c r="R611" s="3">
        <v>0</v>
      </c>
      <c r="S611" s="3" t="s">
        <v>304</v>
      </c>
      <c r="T611" s="3" t="s">
        <v>441</v>
      </c>
      <c r="U611" s="3">
        <v>0</v>
      </c>
      <c r="V611" s="3">
        <v>35</v>
      </c>
      <c r="W611" s="3">
        <v>62</v>
      </c>
    </row>
    <row r="612" spans="1:23" ht="11.25" customHeight="1" x14ac:dyDescent="0.25">
      <c r="A612" s="3" t="s">
        <v>21</v>
      </c>
      <c r="B612" s="3" t="s">
        <v>33</v>
      </c>
      <c r="C612" s="3" t="s">
        <v>23</v>
      </c>
      <c r="D612" s="3" t="s">
        <v>42</v>
      </c>
      <c r="E612" s="3" t="s">
        <v>25</v>
      </c>
      <c r="F612" s="3" t="s">
        <v>25</v>
      </c>
      <c r="G612" s="3" t="s">
        <v>25</v>
      </c>
      <c r="H612" s="3" t="s">
        <v>25</v>
      </c>
      <c r="I612" s="6">
        <v>44531</v>
      </c>
      <c r="J612" s="4">
        <v>0</v>
      </c>
      <c r="K612" s="4">
        <v>0</v>
      </c>
      <c r="L612" s="4">
        <v>137.59899999999999</v>
      </c>
      <c r="M612" s="4">
        <v>137.59899999999999</v>
      </c>
      <c r="N612" s="4">
        <v>137.59899999999999</v>
      </c>
      <c r="O612" s="4">
        <v>137.59899999999999</v>
      </c>
      <c r="P612" s="4">
        <v>167</v>
      </c>
      <c r="Q612" s="3" t="s">
        <v>26</v>
      </c>
      <c r="R612" s="3">
        <v>0</v>
      </c>
      <c r="S612" s="3" t="s">
        <v>305</v>
      </c>
      <c r="T612" s="3" t="s">
        <v>442</v>
      </c>
      <c r="U612" s="3">
        <v>0</v>
      </c>
      <c r="V612" s="3">
        <v>35</v>
      </c>
      <c r="W612" s="3">
        <v>62</v>
      </c>
    </row>
    <row r="613" spans="1:23" ht="11.25" customHeight="1" x14ac:dyDescent="0.25">
      <c r="A613" s="3" t="s">
        <v>21</v>
      </c>
      <c r="B613" s="3" t="s">
        <v>33</v>
      </c>
      <c r="C613" s="3" t="s">
        <v>23</v>
      </c>
      <c r="D613" s="3" t="s">
        <v>42</v>
      </c>
      <c r="E613" s="3" t="s">
        <v>25</v>
      </c>
      <c r="F613" s="3" t="s">
        <v>25</v>
      </c>
      <c r="G613" s="3" t="s">
        <v>25</v>
      </c>
      <c r="H613" s="3" t="s">
        <v>25</v>
      </c>
      <c r="I613" s="6">
        <v>44562</v>
      </c>
      <c r="J613" s="4">
        <v>0</v>
      </c>
      <c r="K613" s="4">
        <v>0</v>
      </c>
      <c r="L613" s="4">
        <v>112.33499999999999</v>
      </c>
      <c r="M613" s="4">
        <v>112.33499999999999</v>
      </c>
      <c r="N613" s="4">
        <v>112.33499999999999</v>
      </c>
      <c r="O613" s="4">
        <v>112.33499999999999</v>
      </c>
      <c r="P613" s="4">
        <v>167</v>
      </c>
      <c r="Q613" s="3" t="s">
        <v>26</v>
      </c>
      <c r="R613" s="3">
        <v>0</v>
      </c>
      <c r="S613" s="3" t="s">
        <v>306</v>
      </c>
      <c r="T613" s="3" t="s">
        <v>443</v>
      </c>
      <c r="U613" s="3">
        <v>0</v>
      </c>
      <c r="V613" s="3">
        <v>35</v>
      </c>
      <c r="W613" s="3">
        <v>62</v>
      </c>
    </row>
    <row r="614" spans="1:23" ht="11.25" customHeight="1" x14ac:dyDescent="0.25">
      <c r="A614" s="3" t="s">
        <v>21</v>
      </c>
      <c r="B614" s="3" t="s">
        <v>33</v>
      </c>
      <c r="C614" s="3" t="s">
        <v>23</v>
      </c>
      <c r="D614" s="3" t="s">
        <v>42</v>
      </c>
      <c r="E614" s="3" t="s">
        <v>25</v>
      </c>
      <c r="F614" s="3" t="s">
        <v>25</v>
      </c>
      <c r="G614" s="3" t="s">
        <v>25</v>
      </c>
      <c r="H614" s="3" t="s">
        <v>25</v>
      </c>
      <c r="I614" s="6">
        <v>44593</v>
      </c>
      <c r="J614" s="4">
        <v>0</v>
      </c>
      <c r="K614" s="4">
        <v>0</v>
      </c>
      <c r="L614" s="4">
        <v>166.108</v>
      </c>
      <c r="M614" s="4">
        <v>166.108</v>
      </c>
      <c r="N614" s="4">
        <v>166.108</v>
      </c>
      <c r="O614" s="4">
        <v>166.108</v>
      </c>
      <c r="P614" s="4">
        <v>168</v>
      </c>
      <c r="Q614" s="3" t="s">
        <v>26</v>
      </c>
      <c r="R614" s="3">
        <v>0</v>
      </c>
      <c r="S614" s="3" t="s">
        <v>307</v>
      </c>
      <c r="T614" s="3" t="s">
        <v>444</v>
      </c>
      <c r="U614" s="3">
        <v>0</v>
      </c>
      <c r="V614" s="3">
        <v>35</v>
      </c>
      <c r="W614" s="3">
        <v>62</v>
      </c>
    </row>
    <row r="615" spans="1:23" ht="11.25" customHeight="1" x14ac:dyDescent="0.25">
      <c r="A615" s="3" t="s">
        <v>21</v>
      </c>
      <c r="B615" s="3" t="s">
        <v>33</v>
      </c>
      <c r="C615" s="3" t="s">
        <v>23</v>
      </c>
      <c r="D615" s="3" t="s">
        <v>42</v>
      </c>
      <c r="E615" s="3" t="s">
        <v>25</v>
      </c>
      <c r="F615" s="3" t="s">
        <v>25</v>
      </c>
      <c r="G615" s="3" t="s">
        <v>25</v>
      </c>
      <c r="H615" s="3" t="s">
        <v>25</v>
      </c>
      <c r="I615" s="6">
        <v>44621</v>
      </c>
      <c r="J615" s="4">
        <v>0</v>
      </c>
      <c r="K615" s="4">
        <v>0</v>
      </c>
      <c r="L615" s="4">
        <v>181.74299999999999</v>
      </c>
      <c r="M615" s="4">
        <v>181.74299999999999</v>
      </c>
      <c r="N615" s="4">
        <v>181.74299999999999</v>
      </c>
      <c r="O615" s="4">
        <v>181.74299999999999</v>
      </c>
      <c r="P615" s="4">
        <v>168</v>
      </c>
      <c r="Q615" s="3" t="s">
        <v>26</v>
      </c>
      <c r="R615" s="3">
        <v>0</v>
      </c>
      <c r="S615" s="3" t="s">
        <v>308</v>
      </c>
      <c r="T615" s="3" t="s">
        <v>445</v>
      </c>
      <c r="U615" s="3">
        <v>0</v>
      </c>
      <c r="V615" s="3">
        <v>35</v>
      </c>
      <c r="W615" s="3">
        <v>62</v>
      </c>
    </row>
    <row r="616" spans="1:23" ht="11.25" customHeight="1" x14ac:dyDescent="0.25">
      <c r="A616" s="3" t="s">
        <v>21</v>
      </c>
      <c r="B616" s="3" t="s">
        <v>33</v>
      </c>
      <c r="C616" s="3" t="s">
        <v>23</v>
      </c>
      <c r="D616" s="3" t="s">
        <v>42</v>
      </c>
      <c r="E616" s="3" t="s">
        <v>25</v>
      </c>
      <c r="F616" s="3" t="s">
        <v>25</v>
      </c>
      <c r="G616" s="3" t="s">
        <v>25</v>
      </c>
      <c r="H616" s="3" t="s">
        <v>25</v>
      </c>
      <c r="I616" s="6">
        <v>44652</v>
      </c>
      <c r="J616" s="4">
        <v>0</v>
      </c>
      <c r="K616" s="4">
        <v>0</v>
      </c>
      <c r="L616" s="4">
        <v>126.41500000000001</v>
      </c>
      <c r="M616" s="4">
        <v>126.41500000000001</v>
      </c>
      <c r="N616" s="4">
        <v>126.41500000000001</v>
      </c>
      <c r="O616" s="4">
        <v>126.41500000000001</v>
      </c>
      <c r="P616" s="4">
        <v>167</v>
      </c>
      <c r="Q616" s="3" t="s">
        <v>26</v>
      </c>
      <c r="R616" s="3">
        <v>0</v>
      </c>
      <c r="S616" s="3" t="s">
        <v>309</v>
      </c>
      <c r="T616" s="3" t="s">
        <v>446</v>
      </c>
      <c r="U616" s="3">
        <v>0</v>
      </c>
      <c r="V616" s="3">
        <v>35</v>
      </c>
      <c r="W616" s="3">
        <v>62</v>
      </c>
    </row>
    <row r="617" spans="1:23" ht="11.25" customHeight="1" x14ac:dyDescent="0.25">
      <c r="A617" s="3" t="s">
        <v>21</v>
      </c>
      <c r="B617" s="3" t="s">
        <v>33</v>
      </c>
      <c r="C617" s="3" t="s">
        <v>23</v>
      </c>
      <c r="D617" s="3" t="s">
        <v>42</v>
      </c>
      <c r="E617" s="3" t="s">
        <v>25</v>
      </c>
      <c r="F617" s="3" t="s">
        <v>25</v>
      </c>
      <c r="G617" s="3" t="s">
        <v>25</v>
      </c>
      <c r="H617" s="3" t="s">
        <v>25</v>
      </c>
      <c r="I617" s="6">
        <v>44682</v>
      </c>
      <c r="J617" s="4">
        <v>0</v>
      </c>
      <c r="K617" s="4">
        <v>0</v>
      </c>
      <c r="L617" s="4">
        <v>108.601</v>
      </c>
      <c r="M617" s="4">
        <v>108.601</v>
      </c>
      <c r="N617" s="4">
        <v>108.601</v>
      </c>
      <c r="O617" s="4">
        <v>108.601</v>
      </c>
      <c r="P617" s="4">
        <v>167</v>
      </c>
      <c r="Q617" s="3" t="s">
        <v>26</v>
      </c>
      <c r="R617" s="3">
        <v>0</v>
      </c>
      <c r="S617" s="3" t="s">
        <v>310</v>
      </c>
      <c r="T617" s="3" t="s">
        <v>447</v>
      </c>
      <c r="U617" s="3">
        <v>0</v>
      </c>
      <c r="V617" s="3">
        <v>35</v>
      </c>
      <c r="W617" s="3">
        <v>62</v>
      </c>
    </row>
    <row r="618" spans="1:23" ht="11.25" customHeight="1" x14ac:dyDescent="0.25">
      <c r="A618" s="3" t="s">
        <v>21</v>
      </c>
      <c r="B618" s="3" t="s">
        <v>33</v>
      </c>
      <c r="C618" s="3" t="s">
        <v>23</v>
      </c>
      <c r="D618" s="3" t="s">
        <v>42</v>
      </c>
      <c r="E618" s="3" t="s">
        <v>25</v>
      </c>
      <c r="F618" s="3" t="s">
        <v>25</v>
      </c>
      <c r="G618" s="3" t="s">
        <v>25</v>
      </c>
      <c r="H618" s="3" t="s">
        <v>25</v>
      </c>
      <c r="I618" s="6">
        <v>44713</v>
      </c>
      <c r="J618" s="4">
        <v>0</v>
      </c>
      <c r="K618" s="4">
        <v>0</v>
      </c>
      <c r="L618" s="4">
        <v>111.941</v>
      </c>
      <c r="M618" s="4">
        <v>111.941</v>
      </c>
      <c r="N618" s="4">
        <v>111.941</v>
      </c>
      <c r="O618" s="4">
        <v>111.941</v>
      </c>
      <c r="P618" s="4">
        <v>168</v>
      </c>
      <c r="Q618" s="3" t="s">
        <v>26</v>
      </c>
      <c r="R618" s="3">
        <v>0</v>
      </c>
      <c r="S618" s="3" t="s">
        <v>311</v>
      </c>
      <c r="T618" s="3" t="s">
        <v>448</v>
      </c>
      <c r="U618" s="3">
        <v>0</v>
      </c>
      <c r="V618" s="3">
        <v>35</v>
      </c>
      <c r="W618" s="3">
        <v>62</v>
      </c>
    </row>
    <row r="619" spans="1:23" ht="11.25" customHeight="1" x14ac:dyDescent="0.25">
      <c r="A619" s="3" t="s">
        <v>21</v>
      </c>
      <c r="B619" s="3" t="s">
        <v>33</v>
      </c>
      <c r="C619" s="3" t="s">
        <v>23</v>
      </c>
      <c r="D619" s="3" t="s">
        <v>42</v>
      </c>
      <c r="E619" s="3" t="s">
        <v>25</v>
      </c>
      <c r="F619" s="3" t="s">
        <v>25</v>
      </c>
      <c r="G619" s="3" t="s">
        <v>25</v>
      </c>
      <c r="H619" s="3" t="s">
        <v>25</v>
      </c>
      <c r="I619" s="6">
        <v>44743</v>
      </c>
      <c r="J619" s="4">
        <v>0</v>
      </c>
      <c r="K619" s="4">
        <v>0</v>
      </c>
      <c r="L619" s="4">
        <v>132.96600000000001</v>
      </c>
      <c r="M619" s="4">
        <v>132.96600000000001</v>
      </c>
      <c r="N619" s="4">
        <v>132.96600000000001</v>
      </c>
      <c r="O619" s="4">
        <v>132.96600000000001</v>
      </c>
      <c r="P619" s="4">
        <v>168</v>
      </c>
      <c r="Q619" s="3" t="s">
        <v>26</v>
      </c>
      <c r="R619" s="3">
        <v>0</v>
      </c>
      <c r="S619" s="3" t="s">
        <v>312</v>
      </c>
      <c r="T619" s="3" t="s">
        <v>449</v>
      </c>
      <c r="U619" s="3">
        <v>0</v>
      </c>
      <c r="V619" s="3">
        <v>35</v>
      </c>
      <c r="W619" s="3">
        <v>62</v>
      </c>
    </row>
    <row r="620" spans="1:23" ht="11.25" customHeight="1" x14ac:dyDescent="0.25">
      <c r="A620" s="3" t="s">
        <v>21</v>
      </c>
      <c r="B620" s="3" t="s">
        <v>33</v>
      </c>
      <c r="C620" s="3" t="s">
        <v>23</v>
      </c>
      <c r="D620" s="3" t="s">
        <v>42</v>
      </c>
      <c r="E620" s="3" t="s">
        <v>25</v>
      </c>
      <c r="F620" s="3" t="s">
        <v>25</v>
      </c>
      <c r="G620" s="3" t="s">
        <v>25</v>
      </c>
      <c r="H620" s="3" t="s">
        <v>25</v>
      </c>
      <c r="I620" s="6">
        <v>44774</v>
      </c>
      <c r="J620" s="4">
        <v>0</v>
      </c>
      <c r="K620" s="4">
        <v>0</v>
      </c>
      <c r="L620" s="4">
        <v>107.05800000000001</v>
      </c>
      <c r="M620" s="4">
        <v>107.05800000000001</v>
      </c>
      <c r="N620" s="4">
        <v>107.05800000000001</v>
      </c>
      <c r="O620" s="4">
        <v>107.05800000000001</v>
      </c>
      <c r="P620" s="4">
        <v>178</v>
      </c>
      <c r="Q620" s="3" t="s">
        <v>26</v>
      </c>
      <c r="R620" s="3">
        <v>0</v>
      </c>
      <c r="S620" s="3" t="s">
        <v>313</v>
      </c>
      <c r="T620" s="3" t="s">
        <v>450</v>
      </c>
      <c r="U620" s="3">
        <v>0</v>
      </c>
      <c r="V620" s="3">
        <v>35</v>
      </c>
      <c r="W620" s="3">
        <v>62</v>
      </c>
    </row>
    <row r="621" spans="1:23" ht="11.25" customHeight="1" x14ac:dyDescent="0.25">
      <c r="A621" s="3" t="s">
        <v>21</v>
      </c>
      <c r="B621" s="3" t="s">
        <v>33</v>
      </c>
      <c r="C621" s="3" t="s">
        <v>23</v>
      </c>
      <c r="D621" s="3" t="s">
        <v>46</v>
      </c>
      <c r="E621" s="3" t="s">
        <v>47</v>
      </c>
      <c r="F621" s="3" t="s">
        <v>25</v>
      </c>
      <c r="G621" s="3" t="s">
        <v>25</v>
      </c>
      <c r="H621" s="3" t="s">
        <v>25</v>
      </c>
      <c r="I621" s="6">
        <v>44440</v>
      </c>
      <c r="J621" s="4">
        <v>0</v>
      </c>
      <c r="K621" s="4">
        <v>0</v>
      </c>
      <c r="L621" s="4">
        <v>16.821000000000002</v>
      </c>
      <c r="M621" s="4">
        <v>15.81174</v>
      </c>
      <c r="N621" s="4">
        <v>16.821000000000002</v>
      </c>
      <c r="O621" s="4">
        <v>15.81174</v>
      </c>
      <c r="P621" s="4">
        <v>12</v>
      </c>
      <c r="Q621" s="3" t="s">
        <v>26</v>
      </c>
      <c r="R621" s="3">
        <v>0</v>
      </c>
      <c r="S621" s="3" t="s">
        <v>302</v>
      </c>
      <c r="T621" s="3" t="s">
        <v>439</v>
      </c>
      <c r="U621" s="3">
        <v>0</v>
      </c>
      <c r="V621" s="3">
        <v>35</v>
      </c>
      <c r="W621" s="3">
        <v>62</v>
      </c>
    </row>
    <row r="622" spans="1:23" ht="11.25" customHeight="1" x14ac:dyDescent="0.25">
      <c r="A622" s="3" t="s">
        <v>21</v>
      </c>
      <c r="B622" s="3" t="s">
        <v>33</v>
      </c>
      <c r="C622" s="3" t="s">
        <v>23</v>
      </c>
      <c r="D622" s="3" t="s">
        <v>46</v>
      </c>
      <c r="E622" s="3" t="s">
        <v>47</v>
      </c>
      <c r="F622" s="3" t="s">
        <v>25</v>
      </c>
      <c r="G622" s="3" t="s">
        <v>25</v>
      </c>
      <c r="H622" s="3" t="s">
        <v>25</v>
      </c>
      <c r="I622" s="6">
        <v>44470</v>
      </c>
      <c r="J622" s="4">
        <v>0</v>
      </c>
      <c r="K622" s="4">
        <v>0</v>
      </c>
      <c r="L622" s="4">
        <v>17.177</v>
      </c>
      <c r="M622" s="4">
        <v>16.146379999999997</v>
      </c>
      <c r="N622" s="4">
        <v>17.177</v>
      </c>
      <c r="O622" s="4">
        <v>16.146379999999997</v>
      </c>
      <c r="P622" s="4">
        <v>12</v>
      </c>
      <c r="Q622" s="3" t="s">
        <v>26</v>
      </c>
      <c r="R622" s="3">
        <v>0</v>
      </c>
      <c r="S622" s="3" t="s">
        <v>303</v>
      </c>
      <c r="T622" s="3" t="s">
        <v>440</v>
      </c>
      <c r="U622" s="3">
        <v>0</v>
      </c>
      <c r="V622" s="3">
        <v>35</v>
      </c>
      <c r="W622" s="3">
        <v>62</v>
      </c>
    </row>
    <row r="623" spans="1:23" ht="11.25" customHeight="1" x14ac:dyDescent="0.25">
      <c r="A623" s="3" t="s">
        <v>21</v>
      </c>
      <c r="B623" s="3" t="s">
        <v>33</v>
      </c>
      <c r="C623" s="3" t="s">
        <v>23</v>
      </c>
      <c r="D623" s="3" t="s">
        <v>46</v>
      </c>
      <c r="E623" s="3" t="s">
        <v>47</v>
      </c>
      <c r="F623" s="3" t="s">
        <v>25</v>
      </c>
      <c r="G623" s="3" t="s">
        <v>25</v>
      </c>
      <c r="H623" s="3" t="s">
        <v>25</v>
      </c>
      <c r="I623" s="6">
        <v>44501</v>
      </c>
      <c r="J623" s="4">
        <v>0</v>
      </c>
      <c r="K623" s="4">
        <v>0</v>
      </c>
      <c r="L623" s="4">
        <v>18.698</v>
      </c>
      <c r="M623" s="4">
        <v>17.57612</v>
      </c>
      <c r="N623" s="4">
        <v>18.698</v>
      </c>
      <c r="O623" s="4">
        <v>17.57612</v>
      </c>
      <c r="P623" s="4">
        <v>12</v>
      </c>
      <c r="Q623" s="3" t="s">
        <v>26</v>
      </c>
      <c r="R623" s="3">
        <v>0</v>
      </c>
      <c r="S623" s="3" t="s">
        <v>304</v>
      </c>
      <c r="T623" s="3" t="s">
        <v>441</v>
      </c>
      <c r="U623" s="3">
        <v>0</v>
      </c>
      <c r="V623" s="3">
        <v>35</v>
      </c>
      <c r="W623" s="3">
        <v>62</v>
      </c>
    </row>
    <row r="624" spans="1:23" ht="11.25" customHeight="1" x14ac:dyDescent="0.25">
      <c r="A624" s="3" t="s">
        <v>21</v>
      </c>
      <c r="B624" s="3" t="s">
        <v>33</v>
      </c>
      <c r="C624" s="3" t="s">
        <v>23</v>
      </c>
      <c r="D624" s="3" t="s">
        <v>46</v>
      </c>
      <c r="E624" s="3" t="s">
        <v>47</v>
      </c>
      <c r="F624" s="3" t="s">
        <v>25</v>
      </c>
      <c r="G624" s="3" t="s">
        <v>25</v>
      </c>
      <c r="H624" s="3" t="s">
        <v>25</v>
      </c>
      <c r="I624" s="6">
        <v>44531</v>
      </c>
      <c r="J624" s="4">
        <v>0</v>
      </c>
      <c r="K624" s="4">
        <v>0</v>
      </c>
      <c r="L624" s="4">
        <v>18.474</v>
      </c>
      <c r="M624" s="4">
        <v>17.365559999999999</v>
      </c>
      <c r="N624" s="4">
        <v>18.474</v>
      </c>
      <c r="O624" s="4">
        <v>17.365559999999999</v>
      </c>
      <c r="P624" s="4">
        <v>12</v>
      </c>
      <c r="Q624" s="3" t="s">
        <v>26</v>
      </c>
      <c r="R624" s="3">
        <v>0</v>
      </c>
      <c r="S624" s="3" t="s">
        <v>305</v>
      </c>
      <c r="T624" s="3" t="s">
        <v>442</v>
      </c>
      <c r="U624" s="3">
        <v>0</v>
      </c>
      <c r="V624" s="3">
        <v>35</v>
      </c>
      <c r="W624" s="3">
        <v>62</v>
      </c>
    </row>
    <row r="625" spans="1:23" ht="11.25" customHeight="1" x14ac:dyDescent="0.25">
      <c r="A625" s="3" t="s">
        <v>21</v>
      </c>
      <c r="B625" s="3" t="s">
        <v>33</v>
      </c>
      <c r="C625" s="3" t="s">
        <v>23</v>
      </c>
      <c r="D625" s="3" t="s">
        <v>46</v>
      </c>
      <c r="E625" s="3" t="s">
        <v>47</v>
      </c>
      <c r="F625" s="3" t="s">
        <v>25</v>
      </c>
      <c r="G625" s="3" t="s">
        <v>25</v>
      </c>
      <c r="H625" s="3" t="s">
        <v>25</v>
      </c>
      <c r="I625" s="6">
        <v>44562</v>
      </c>
      <c r="J625" s="4">
        <v>0</v>
      </c>
      <c r="K625" s="4">
        <v>0</v>
      </c>
      <c r="L625" s="4">
        <v>17.599</v>
      </c>
      <c r="M625" s="4">
        <v>16.543060000000001</v>
      </c>
      <c r="N625" s="4">
        <v>17.599</v>
      </c>
      <c r="O625" s="4">
        <v>16.543060000000001</v>
      </c>
      <c r="P625" s="4">
        <v>12</v>
      </c>
      <c r="Q625" s="3" t="s">
        <v>26</v>
      </c>
      <c r="R625" s="3">
        <v>0</v>
      </c>
      <c r="S625" s="3" t="s">
        <v>306</v>
      </c>
      <c r="T625" s="3" t="s">
        <v>443</v>
      </c>
      <c r="U625" s="3">
        <v>0</v>
      </c>
      <c r="V625" s="3">
        <v>35</v>
      </c>
      <c r="W625" s="3">
        <v>62</v>
      </c>
    </row>
    <row r="626" spans="1:23" ht="11.25" customHeight="1" x14ac:dyDescent="0.25">
      <c r="A626" s="3" t="s">
        <v>21</v>
      </c>
      <c r="B626" s="3" t="s">
        <v>33</v>
      </c>
      <c r="C626" s="3" t="s">
        <v>23</v>
      </c>
      <c r="D626" s="3" t="s">
        <v>46</v>
      </c>
      <c r="E626" s="3" t="s">
        <v>47</v>
      </c>
      <c r="F626" s="3" t="s">
        <v>25</v>
      </c>
      <c r="G626" s="3" t="s">
        <v>25</v>
      </c>
      <c r="H626" s="3" t="s">
        <v>25</v>
      </c>
      <c r="I626" s="6">
        <v>44593</v>
      </c>
      <c r="J626" s="4">
        <v>0</v>
      </c>
      <c r="K626" s="4">
        <v>0</v>
      </c>
      <c r="L626" s="4">
        <v>18.004000000000001</v>
      </c>
      <c r="M626" s="4">
        <v>16.923760000000001</v>
      </c>
      <c r="N626" s="4">
        <v>18.004000000000001</v>
      </c>
      <c r="O626" s="4">
        <v>16.923760000000001</v>
      </c>
      <c r="P626" s="4">
        <v>12</v>
      </c>
      <c r="Q626" s="3" t="s">
        <v>26</v>
      </c>
      <c r="R626" s="3">
        <v>0</v>
      </c>
      <c r="S626" s="3" t="s">
        <v>307</v>
      </c>
      <c r="T626" s="3" t="s">
        <v>444</v>
      </c>
      <c r="U626" s="3">
        <v>0</v>
      </c>
      <c r="V626" s="3">
        <v>35</v>
      </c>
      <c r="W626" s="3">
        <v>62</v>
      </c>
    </row>
    <row r="627" spans="1:23" ht="11.25" customHeight="1" x14ac:dyDescent="0.25">
      <c r="A627" s="3" t="s">
        <v>21</v>
      </c>
      <c r="B627" s="3" t="s">
        <v>33</v>
      </c>
      <c r="C627" s="3" t="s">
        <v>23</v>
      </c>
      <c r="D627" s="3" t="s">
        <v>46</v>
      </c>
      <c r="E627" s="3" t="s">
        <v>47</v>
      </c>
      <c r="F627" s="3" t="s">
        <v>25</v>
      </c>
      <c r="G627" s="3" t="s">
        <v>25</v>
      </c>
      <c r="H627" s="3" t="s">
        <v>25</v>
      </c>
      <c r="I627" s="6">
        <v>44621</v>
      </c>
      <c r="J627" s="4">
        <v>0</v>
      </c>
      <c r="K627" s="4">
        <v>0</v>
      </c>
      <c r="L627" s="4">
        <v>17.201000000000001</v>
      </c>
      <c r="M627" s="4">
        <v>16.168939999999999</v>
      </c>
      <c r="N627" s="4">
        <v>17.201000000000001</v>
      </c>
      <c r="O627" s="4">
        <v>16.168939999999999</v>
      </c>
      <c r="P627" s="4">
        <v>12</v>
      </c>
      <c r="Q627" s="3" t="s">
        <v>26</v>
      </c>
      <c r="R627" s="3">
        <v>0</v>
      </c>
      <c r="S627" s="3" t="s">
        <v>308</v>
      </c>
      <c r="T627" s="3" t="s">
        <v>445</v>
      </c>
      <c r="U627" s="3">
        <v>0</v>
      </c>
      <c r="V627" s="3">
        <v>35</v>
      </c>
      <c r="W627" s="3">
        <v>62</v>
      </c>
    </row>
    <row r="628" spans="1:23" ht="11.25" customHeight="1" x14ac:dyDescent="0.25">
      <c r="A628" s="3" t="s">
        <v>21</v>
      </c>
      <c r="B628" s="3" t="s">
        <v>33</v>
      </c>
      <c r="C628" s="3" t="s">
        <v>23</v>
      </c>
      <c r="D628" s="3" t="s">
        <v>46</v>
      </c>
      <c r="E628" s="3" t="s">
        <v>47</v>
      </c>
      <c r="F628" s="3" t="s">
        <v>25</v>
      </c>
      <c r="G628" s="3" t="s">
        <v>25</v>
      </c>
      <c r="H628" s="3" t="s">
        <v>25</v>
      </c>
      <c r="I628" s="6">
        <v>44652</v>
      </c>
      <c r="J628" s="4">
        <v>0</v>
      </c>
      <c r="K628" s="4">
        <v>0</v>
      </c>
      <c r="L628" s="4">
        <v>19.294</v>
      </c>
      <c r="M628" s="4">
        <v>18.13636</v>
      </c>
      <c r="N628" s="4">
        <v>19.294</v>
      </c>
      <c r="O628" s="4">
        <v>18.13636</v>
      </c>
      <c r="P628" s="4">
        <v>12</v>
      </c>
      <c r="Q628" s="3" t="s">
        <v>26</v>
      </c>
      <c r="R628" s="3">
        <v>0</v>
      </c>
      <c r="S628" s="3" t="s">
        <v>309</v>
      </c>
      <c r="T628" s="3" t="s">
        <v>446</v>
      </c>
      <c r="U628" s="3">
        <v>0</v>
      </c>
      <c r="V628" s="3">
        <v>35</v>
      </c>
      <c r="W628" s="3">
        <v>62</v>
      </c>
    </row>
    <row r="629" spans="1:23" ht="11.25" customHeight="1" x14ac:dyDescent="0.25">
      <c r="A629" s="3" t="s">
        <v>21</v>
      </c>
      <c r="B629" s="3" t="s">
        <v>33</v>
      </c>
      <c r="C629" s="3" t="s">
        <v>23</v>
      </c>
      <c r="D629" s="3" t="s">
        <v>46</v>
      </c>
      <c r="E629" s="3" t="s">
        <v>47</v>
      </c>
      <c r="F629" s="3" t="s">
        <v>25</v>
      </c>
      <c r="G629" s="3" t="s">
        <v>25</v>
      </c>
      <c r="H629" s="3" t="s">
        <v>25</v>
      </c>
      <c r="I629" s="6">
        <v>44682</v>
      </c>
      <c r="J629" s="4">
        <v>0</v>
      </c>
      <c r="K629" s="4">
        <v>0</v>
      </c>
      <c r="L629" s="4">
        <v>18.248999999999999</v>
      </c>
      <c r="M629" s="4">
        <v>17.154060000000001</v>
      </c>
      <c r="N629" s="4">
        <v>18.248999999999999</v>
      </c>
      <c r="O629" s="4">
        <v>17.154060000000001</v>
      </c>
      <c r="P629" s="4">
        <v>12</v>
      </c>
      <c r="Q629" s="3" t="s">
        <v>26</v>
      </c>
      <c r="R629" s="3">
        <v>0</v>
      </c>
      <c r="S629" s="3" t="s">
        <v>310</v>
      </c>
      <c r="T629" s="3" t="s">
        <v>447</v>
      </c>
      <c r="U629" s="3">
        <v>0</v>
      </c>
      <c r="V629" s="3">
        <v>35</v>
      </c>
      <c r="W629" s="3">
        <v>62</v>
      </c>
    </row>
    <row r="630" spans="1:23" ht="11.25" customHeight="1" x14ac:dyDescent="0.25">
      <c r="A630" s="3" t="s">
        <v>21</v>
      </c>
      <c r="B630" s="3" t="s">
        <v>33</v>
      </c>
      <c r="C630" s="3" t="s">
        <v>23</v>
      </c>
      <c r="D630" s="3" t="s">
        <v>46</v>
      </c>
      <c r="E630" s="3" t="s">
        <v>47</v>
      </c>
      <c r="F630" s="3" t="s">
        <v>25</v>
      </c>
      <c r="G630" s="3" t="s">
        <v>25</v>
      </c>
      <c r="H630" s="3" t="s">
        <v>25</v>
      </c>
      <c r="I630" s="6">
        <v>44713</v>
      </c>
      <c r="J630" s="4">
        <v>0</v>
      </c>
      <c r="K630" s="4">
        <v>0</v>
      </c>
      <c r="L630" s="4">
        <v>19.920999999999999</v>
      </c>
      <c r="M630" s="4">
        <v>18.725739999999998</v>
      </c>
      <c r="N630" s="4">
        <v>19.920999999999999</v>
      </c>
      <c r="O630" s="4">
        <v>18.725739999999998</v>
      </c>
      <c r="P630" s="4">
        <v>12</v>
      </c>
      <c r="Q630" s="3" t="s">
        <v>26</v>
      </c>
      <c r="R630" s="3">
        <v>0</v>
      </c>
      <c r="S630" s="3" t="s">
        <v>311</v>
      </c>
      <c r="T630" s="3" t="s">
        <v>448</v>
      </c>
      <c r="U630" s="3">
        <v>0</v>
      </c>
      <c r="V630" s="3">
        <v>35</v>
      </c>
      <c r="W630" s="3">
        <v>62</v>
      </c>
    </row>
    <row r="631" spans="1:23" ht="11.25" customHeight="1" x14ac:dyDescent="0.25">
      <c r="A631" s="3" t="s">
        <v>21</v>
      </c>
      <c r="B631" s="3" t="s">
        <v>33</v>
      </c>
      <c r="C631" s="3" t="s">
        <v>23</v>
      </c>
      <c r="D631" s="3" t="s">
        <v>46</v>
      </c>
      <c r="E631" s="3" t="s">
        <v>47</v>
      </c>
      <c r="F631" s="3" t="s">
        <v>25</v>
      </c>
      <c r="G631" s="3" t="s">
        <v>25</v>
      </c>
      <c r="H631" s="3" t="s">
        <v>25</v>
      </c>
      <c r="I631" s="6">
        <v>44743</v>
      </c>
      <c r="J631" s="4">
        <v>0</v>
      </c>
      <c r="K631" s="4">
        <v>0</v>
      </c>
      <c r="L631" s="4">
        <v>19.454999999999998</v>
      </c>
      <c r="M631" s="4">
        <v>18.287700000000001</v>
      </c>
      <c r="N631" s="4">
        <v>19.454999999999998</v>
      </c>
      <c r="O631" s="4">
        <v>18.287700000000001</v>
      </c>
      <c r="P631" s="4">
        <v>12</v>
      </c>
      <c r="Q631" s="3" t="s">
        <v>26</v>
      </c>
      <c r="R631" s="3">
        <v>0</v>
      </c>
      <c r="S631" s="3" t="s">
        <v>312</v>
      </c>
      <c r="T631" s="3" t="s">
        <v>449</v>
      </c>
      <c r="U631" s="3">
        <v>0</v>
      </c>
      <c r="V631" s="3">
        <v>35</v>
      </c>
      <c r="W631" s="3">
        <v>62</v>
      </c>
    </row>
    <row r="632" spans="1:23" ht="11.25" customHeight="1" x14ac:dyDescent="0.25">
      <c r="A632" s="3" t="s">
        <v>21</v>
      </c>
      <c r="B632" s="3" t="s">
        <v>33</v>
      </c>
      <c r="C632" s="3" t="s">
        <v>23</v>
      </c>
      <c r="D632" s="3" t="s">
        <v>46</v>
      </c>
      <c r="E632" s="3" t="s">
        <v>47</v>
      </c>
      <c r="F632" s="3" t="s">
        <v>25</v>
      </c>
      <c r="G632" s="3" t="s">
        <v>25</v>
      </c>
      <c r="H632" s="3" t="s">
        <v>25</v>
      </c>
      <c r="I632" s="6">
        <v>44774</v>
      </c>
      <c r="J632" s="4">
        <v>0</v>
      </c>
      <c r="K632" s="4">
        <v>0</v>
      </c>
      <c r="L632" s="4">
        <v>19.423999999999999</v>
      </c>
      <c r="M632" s="4">
        <v>18.258559999999999</v>
      </c>
      <c r="N632" s="4">
        <v>19.423999999999999</v>
      </c>
      <c r="O632" s="4">
        <v>18.258559999999999</v>
      </c>
      <c r="P632" s="4">
        <v>12</v>
      </c>
      <c r="Q632" s="3" t="s">
        <v>26</v>
      </c>
      <c r="R632" s="3">
        <v>0</v>
      </c>
      <c r="S632" s="3" t="s">
        <v>313</v>
      </c>
      <c r="T632" s="3" t="s">
        <v>450</v>
      </c>
      <c r="U632" s="3">
        <v>0</v>
      </c>
      <c r="V632" s="3">
        <v>35</v>
      </c>
      <c r="W632" s="3">
        <v>62</v>
      </c>
    </row>
    <row r="633" spans="1:23" ht="11.25" customHeight="1" x14ac:dyDescent="0.25">
      <c r="A633" s="3" t="s">
        <v>21</v>
      </c>
      <c r="B633" s="3" t="s">
        <v>43</v>
      </c>
      <c r="C633" s="3" t="s">
        <v>23</v>
      </c>
      <c r="D633" s="3" t="s">
        <v>44</v>
      </c>
      <c r="E633" s="3" t="s">
        <v>45</v>
      </c>
      <c r="F633" s="3" t="s">
        <v>25</v>
      </c>
      <c r="G633" s="3" t="s">
        <v>25</v>
      </c>
      <c r="H633" s="3" t="s">
        <v>25</v>
      </c>
      <c r="I633" s="6">
        <v>44440</v>
      </c>
      <c r="J633" s="4">
        <v>0</v>
      </c>
      <c r="K633" s="4">
        <v>0</v>
      </c>
      <c r="L633" s="4">
        <v>476.20100000000002</v>
      </c>
      <c r="M633" s="4">
        <v>476.20100000000002</v>
      </c>
      <c r="N633" s="4">
        <v>476.20100000000002</v>
      </c>
      <c r="O633" s="4">
        <v>476.20100000000002</v>
      </c>
      <c r="P633" s="4">
        <v>3</v>
      </c>
      <c r="Q633" s="3" t="s">
        <v>26</v>
      </c>
      <c r="R633" s="3">
        <v>0</v>
      </c>
      <c r="S633" s="3" t="s">
        <v>314</v>
      </c>
      <c r="T633" s="3" t="s">
        <v>451</v>
      </c>
      <c r="U633" s="3">
        <v>0</v>
      </c>
      <c r="V633" s="3">
        <v>33</v>
      </c>
      <c r="W633" s="3">
        <v>81</v>
      </c>
    </row>
    <row r="634" spans="1:23" ht="11.25" customHeight="1" x14ac:dyDescent="0.25">
      <c r="A634" s="3" t="s">
        <v>21</v>
      </c>
      <c r="B634" s="3" t="s">
        <v>43</v>
      </c>
      <c r="C634" s="3" t="s">
        <v>23</v>
      </c>
      <c r="D634" s="3" t="s">
        <v>44</v>
      </c>
      <c r="E634" s="3" t="s">
        <v>45</v>
      </c>
      <c r="F634" s="3" t="s">
        <v>25</v>
      </c>
      <c r="G634" s="3" t="s">
        <v>25</v>
      </c>
      <c r="H634" s="3" t="s">
        <v>25</v>
      </c>
      <c r="I634" s="6">
        <v>44470</v>
      </c>
      <c r="J634" s="4">
        <v>0</v>
      </c>
      <c r="K634" s="4">
        <v>0</v>
      </c>
      <c r="L634" s="4">
        <v>476.90100000000001</v>
      </c>
      <c r="M634" s="4">
        <v>476.90100000000001</v>
      </c>
      <c r="N634" s="4">
        <v>476.90100000000001</v>
      </c>
      <c r="O634" s="4">
        <v>476.90100000000001</v>
      </c>
      <c r="P634" s="4">
        <v>3</v>
      </c>
      <c r="Q634" s="3" t="s">
        <v>26</v>
      </c>
      <c r="R634" s="3">
        <v>0</v>
      </c>
      <c r="S634" s="3" t="s">
        <v>315</v>
      </c>
      <c r="T634" s="3" t="s">
        <v>452</v>
      </c>
      <c r="U634" s="3">
        <v>0</v>
      </c>
      <c r="V634" s="3">
        <v>33</v>
      </c>
      <c r="W634" s="3">
        <v>81</v>
      </c>
    </row>
    <row r="635" spans="1:23" ht="11.25" customHeight="1" x14ac:dyDescent="0.25">
      <c r="A635" s="3" t="s">
        <v>21</v>
      </c>
      <c r="B635" s="3" t="s">
        <v>43</v>
      </c>
      <c r="C635" s="3" t="s">
        <v>23</v>
      </c>
      <c r="D635" s="3" t="s">
        <v>44</v>
      </c>
      <c r="E635" s="3" t="s">
        <v>45</v>
      </c>
      <c r="F635" s="3" t="s">
        <v>25</v>
      </c>
      <c r="G635" s="3" t="s">
        <v>25</v>
      </c>
      <c r="H635" s="3" t="s">
        <v>25</v>
      </c>
      <c r="I635" s="6">
        <v>44501</v>
      </c>
      <c r="J635" s="4">
        <v>0</v>
      </c>
      <c r="K635" s="4">
        <v>0</v>
      </c>
      <c r="L635" s="4">
        <v>457.16300000000001</v>
      </c>
      <c r="M635" s="4">
        <v>457.16300000000001</v>
      </c>
      <c r="N635" s="4">
        <v>457.16300000000001</v>
      </c>
      <c r="O635" s="4">
        <v>457.16300000000001</v>
      </c>
      <c r="P635" s="4">
        <v>3</v>
      </c>
      <c r="Q635" s="3" t="s">
        <v>26</v>
      </c>
      <c r="R635" s="3">
        <v>0</v>
      </c>
      <c r="S635" s="3" t="s">
        <v>316</v>
      </c>
      <c r="T635" s="3" t="s">
        <v>453</v>
      </c>
      <c r="U635" s="3">
        <v>0</v>
      </c>
      <c r="V635" s="3">
        <v>33</v>
      </c>
      <c r="W635" s="3">
        <v>81</v>
      </c>
    </row>
    <row r="636" spans="1:23" ht="11.25" customHeight="1" x14ac:dyDescent="0.25">
      <c r="A636" s="3" t="s">
        <v>21</v>
      </c>
      <c r="B636" s="3" t="s">
        <v>43</v>
      </c>
      <c r="C636" s="3" t="s">
        <v>23</v>
      </c>
      <c r="D636" s="3" t="s">
        <v>44</v>
      </c>
      <c r="E636" s="3" t="s">
        <v>45</v>
      </c>
      <c r="F636" s="3" t="s">
        <v>25</v>
      </c>
      <c r="G636" s="3" t="s">
        <v>25</v>
      </c>
      <c r="H636" s="3" t="s">
        <v>25</v>
      </c>
      <c r="I636" s="6">
        <v>44531</v>
      </c>
      <c r="J636" s="4">
        <v>0</v>
      </c>
      <c r="K636" s="4">
        <v>0</v>
      </c>
      <c r="L636" s="4">
        <v>437.16899999999998</v>
      </c>
      <c r="M636" s="4">
        <v>437.16899999999998</v>
      </c>
      <c r="N636" s="4">
        <v>437.16899999999998</v>
      </c>
      <c r="O636" s="4">
        <v>437.16899999999998</v>
      </c>
      <c r="P636" s="4">
        <v>3</v>
      </c>
      <c r="Q636" s="3" t="s">
        <v>26</v>
      </c>
      <c r="R636" s="3">
        <v>0</v>
      </c>
      <c r="S636" s="3" t="s">
        <v>317</v>
      </c>
      <c r="T636" s="3" t="s">
        <v>454</v>
      </c>
      <c r="U636" s="3">
        <v>0</v>
      </c>
      <c r="V636" s="3">
        <v>33</v>
      </c>
      <c r="W636" s="3">
        <v>81</v>
      </c>
    </row>
    <row r="637" spans="1:23" ht="11.25" customHeight="1" x14ac:dyDescent="0.25">
      <c r="A637" s="3" t="s">
        <v>21</v>
      </c>
      <c r="B637" s="3" t="s">
        <v>43</v>
      </c>
      <c r="C637" s="3" t="s">
        <v>23</v>
      </c>
      <c r="D637" s="3" t="s">
        <v>44</v>
      </c>
      <c r="E637" s="3" t="s">
        <v>45</v>
      </c>
      <c r="F637" s="3" t="s">
        <v>25</v>
      </c>
      <c r="G637" s="3" t="s">
        <v>25</v>
      </c>
      <c r="H637" s="3" t="s">
        <v>25</v>
      </c>
      <c r="I637" s="6">
        <v>44562</v>
      </c>
      <c r="J637" s="4">
        <v>0</v>
      </c>
      <c r="K637" s="4">
        <v>0</v>
      </c>
      <c r="L637" s="4">
        <v>409.19</v>
      </c>
      <c r="M637" s="4">
        <v>409.19</v>
      </c>
      <c r="N637" s="4">
        <v>409.19</v>
      </c>
      <c r="O637" s="4">
        <v>409.19</v>
      </c>
      <c r="P637" s="4">
        <v>3</v>
      </c>
      <c r="Q637" s="3" t="s">
        <v>26</v>
      </c>
      <c r="R637" s="3">
        <v>0</v>
      </c>
      <c r="S637" s="3" t="s">
        <v>318</v>
      </c>
      <c r="T637" s="3" t="s">
        <v>455</v>
      </c>
      <c r="U637" s="3">
        <v>0</v>
      </c>
      <c r="V637" s="3">
        <v>33</v>
      </c>
      <c r="W637" s="3">
        <v>81</v>
      </c>
    </row>
    <row r="638" spans="1:23" ht="11.25" customHeight="1" x14ac:dyDescent="0.25">
      <c r="A638" s="3" t="s">
        <v>21</v>
      </c>
      <c r="B638" s="3" t="s">
        <v>43</v>
      </c>
      <c r="C638" s="3" t="s">
        <v>23</v>
      </c>
      <c r="D638" s="3" t="s">
        <v>44</v>
      </c>
      <c r="E638" s="3" t="s">
        <v>45</v>
      </c>
      <c r="F638" s="3" t="s">
        <v>25</v>
      </c>
      <c r="G638" s="3" t="s">
        <v>25</v>
      </c>
      <c r="H638" s="3" t="s">
        <v>25</v>
      </c>
      <c r="I638" s="6">
        <v>44593</v>
      </c>
      <c r="J638" s="4">
        <v>0</v>
      </c>
      <c r="K638" s="4">
        <v>0</v>
      </c>
      <c r="L638" s="4">
        <v>372.28399999999999</v>
      </c>
      <c r="M638" s="4">
        <v>372.28399999999999</v>
      </c>
      <c r="N638" s="4">
        <v>372.28399999999999</v>
      </c>
      <c r="O638" s="4">
        <v>372.28399999999999</v>
      </c>
      <c r="P638" s="4">
        <v>3</v>
      </c>
      <c r="Q638" s="3" t="s">
        <v>26</v>
      </c>
      <c r="R638" s="3">
        <v>0</v>
      </c>
      <c r="S638" s="3" t="s">
        <v>319</v>
      </c>
      <c r="T638" s="3" t="s">
        <v>456</v>
      </c>
      <c r="U638" s="3">
        <v>0</v>
      </c>
      <c r="V638" s="3">
        <v>33</v>
      </c>
      <c r="W638" s="3">
        <v>81</v>
      </c>
    </row>
    <row r="639" spans="1:23" ht="11.25" customHeight="1" x14ac:dyDescent="0.25">
      <c r="A639" s="3" t="s">
        <v>21</v>
      </c>
      <c r="B639" s="3" t="s">
        <v>43</v>
      </c>
      <c r="C639" s="3" t="s">
        <v>23</v>
      </c>
      <c r="D639" s="3" t="s">
        <v>44</v>
      </c>
      <c r="E639" s="3" t="s">
        <v>45</v>
      </c>
      <c r="F639" s="3" t="s">
        <v>25</v>
      </c>
      <c r="G639" s="3" t="s">
        <v>25</v>
      </c>
      <c r="H639" s="3" t="s">
        <v>25</v>
      </c>
      <c r="I639" s="6">
        <v>44621</v>
      </c>
      <c r="J639" s="4">
        <v>0</v>
      </c>
      <c r="K639" s="4">
        <v>0</v>
      </c>
      <c r="L639" s="4">
        <v>349.851</v>
      </c>
      <c r="M639" s="4">
        <v>349.851</v>
      </c>
      <c r="N639" s="4">
        <v>349.851</v>
      </c>
      <c r="O639" s="4">
        <v>349.851</v>
      </c>
      <c r="P639" s="4">
        <v>3</v>
      </c>
      <c r="Q639" s="3" t="s">
        <v>26</v>
      </c>
      <c r="R639" s="3">
        <v>0</v>
      </c>
      <c r="S639" s="3" t="s">
        <v>320</v>
      </c>
      <c r="T639" s="3" t="s">
        <v>457</v>
      </c>
      <c r="U639" s="3">
        <v>0</v>
      </c>
      <c r="V639" s="3">
        <v>33</v>
      </c>
      <c r="W639" s="3">
        <v>81</v>
      </c>
    </row>
    <row r="640" spans="1:23" ht="11.25" customHeight="1" x14ac:dyDescent="0.25">
      <c r="A640" s="3" t="s">
        <v>21</v>
      </c>
      <c r="B640" s="3" t="s">
        <v>43</v>
      </c>
      <c r="C640" s="3" t="s">
        <v>23</v>
      </c>
      <c r="D640" s="3" t="s">
        <v>44</v>
      </c>
      <c r="E640" s="3" t="s">
        <v>45</v>
      </c>
      <c r="F640" s="3" t="s">
        <v>25</v>
      </c>
      <c r="G640" s="3" t="s">
        <v>25</v>
      </c>
      <c r="H640" s="3" t="s">
        <v>25</v>
      </c>
      <c r="I640" s="6">
        <v>44652</v>
      </c>
      <c r="J640" s="4">
        <v>0</v>
      </c>
      <c r="K640" s="4">
        <v>0</v>
      </c>
      <c r="L640" s="4">
        <v>308.34399999999999</v>
      </c>
      <c r="M640" s="4">
        <v>308.34399999999999</v>
      </c>
      <c r="N640" s="4">
        <v>308.34399999999999</v>
      </c>
      <c r="O640" s="4">
        <v>308.34399999999999</v>
      </c>
      <c r="P640" s="4">
        <v>3</v>
      </c>
      <c r="Q640" s="3" t="s">
        <v>26</v>
      </c>
      <c r="R640" s="3">
        <v>0</v>
      </c>
      <c r="S640" s="3" t="s">
        <v>321</v>
      </c>
      <c r="T640" s="3" t="s">
        <v>458</v>
      </c>
      <c r="U640" s="3">
        <v>0</v>
      </c>
      <c r="V640" s="3">
        <v>33</v>
      </c>
      <c r="W640" s="3">
        <v>81</v>
      </c>
    </row>
    <row r="641" spans="1:23" ht="11.25" customHeight="1" x14ac:dyDescent="0.25">
      <c r="A641" s="3" t="s">
        <v>21</v>
      </c>
      <c r="B641" s="3" t="s">
        <v>43</v>
      </c>
      <c r="C641" s="3" t="s">
        <v>23</v>
      </c>
      <c r="D641" s="3" t="s">
        <v>44</v>
      </c>
      <c r="E641" s="3" t="s">
        <v>45</v>
      </c>
      <c r="F641" s="3" t="s">
        <v>25</v>
      </c>
      <c r="G641" s="3" t="s">
        <v>25</v>
      </c>
      <c r="H641" s="3" t="s">
        <v>25</v>
      </c>
      <c r="I641" s="6">
        <v>44682</v>
      </c>
      <c r="J641" s="4">
        <v>0</v>
      </c>
      <c r="K641" s="4">
        <v>0</v>
      </c>
      <c r="L641" s="4">
        <v>313.791</v>
      </c>
      <c r="M641" s="4">
        <v>313.791</v>
      </c>
      <c r="N641" s="4">
        <v>313.791</v>
      </c>
      <c r="O641" s="4">
        <v>313.791</v>
      </c>
      <c r="P641" s="4">
        <v>3</v>
      </c>
      <c r="Q641" s="3" t="s">
        <v>26</v>
      </c>
      <c r="R641" s="3">
        <v>0</v>
      </c>
      <c r="S641" s="3" t="s">
        <v>322</v>
      </c>
      <c r="T641" s="3" t="s">
        <v>459</v>
      </c>
      <c r="U641" s="3">
        <v>0</v>
      </c>
      <c r="V641" s="3">
        <v>33</v>
      </c>
      <c r="W641" s="3">
        <v>81</v>
      </c>
    </row>
    <row r="642" spans="1:23" ht="11.25" customHeight="1" x14ac:dyDescent="0.25">
      <c r="A642" s="3" t="s">
        <v>21</v>
      </c>
      <c r="B642" s="3" t="s">
        <v>43</v>
      </c>
      <c r="C642" s="3" t="s">
        <v>23</v>
      </c>
      <c r="D642" s="3" t="s">
        <v>44</v>
      </c>
      <c r="E642" s="3" t="s">
        <v>45</v>
      </c>
      <c r="F642" s="3" t="s">
        <v>25</v>
      </c>
      <c r="G642" s="3" t="s">
        <v>25</v>
      </c>
      <c r="H642" s="3" t="s">
        <v>25</v>
      </c>
      <c r="I642" s="6">
        <v>44713</v>
      </c>
      <c r="J642" s="4">
        <v>0</v>
      </c>
      <c r="K642" s="4">
        <v>0</v>
      </c>
      <c r="L642" s="4">
        <v>308.44099999999997</v>
      </c>
      <c r="M642" s="4">
        <v>308.44099999999997</v>
      </c>
      <c r="N642" s="4">
        <v>308.44099999999997</v>
      </c>
      <c r="O642" s="4">
        <v>308.44099999999997</v>
      </c>
      <c r="P642" s="4">
        <v>3</v>
      </c>
      <c r="Q642" s="3" t="s">
        <v>26</v>
      </c>
      <c r="R642" s="3">
        <v>0</v>
      </c>
      <c r="S642" s="3" t="s">
        <v>323</v>
      </c>
      <c r="T642" s="3" t="s">
        <v>460</v>
      </c>
      <c r="U642" s="3">
        <v>0</v>
      </c>
      <c r="V642" s="3">
        <v>33</v>
      </c>
      <c r="W642" s="3">
        <v>81</v>
      </c>
    </row>
    <row r="643" spans="1:23" ht="11.25" customHeight="1" x14ac:dyDescent="0.25">
      <c r="A643" s="3" t="s">
        <v>21</v>
      </c>
      <c r="B643" s="3" t="s">
        <v>43</v>
      </c>
      <c r="C643" s="3" t="s">
        <v>23</v>
      </c>
      <c r="D643" s="3" t="s">
        <v>44</v>
      </c>
      <c r="E643" s="3" t="s">
        <v>45</v>
      </c>
      <c r="F643" s="3" t="s">
        <v>25</v>
      </c>
      <c r="G643" s="3" t="s">
        <v>25</v>
      </c>
      <c r="H643" s="3" t="s">
        <v>25</v>
      </c>
      <c r="I643" s="6">
        <v>44743</v>
      </c>
      <c r="J643" s="4">
        <v>0</v>
      </c>
      <c r="K643" s="4">
        <v>0</v>
      </c>
      <c r="L643" s="4">
        <v>318.589</v>
      </c>
      <c r="M643" s="4">
        <v>318.589</v>
      </c>
      <c r="N643" s="4">
        <v>318.589</v>
      </c>
      <c r="O643" s="4">
        <v>318.589</v>
      </c>
      <c r="P643" s="4">
        <v>3</v>
      </c>
      <c r="Q643" s="3" t="s">
        <v>26</v>
      </c>
      <c r="R643" s="3">
        <v>0</v>
      </c>
      <c r="S643" s="3" t="s">
        <v>324</v>
      </c>
      <c r="T643" s="3" t="s">
        <v>461</v>
      </c>
      <c r="U643" s="3">
        <v>0</v>
      </c>
      <c r="V643" s="3">
        <v>33</v>
      </c>
      <c r="W643" s="3">
        <v>81</v>
      </c>
    </row>
    <row r="644" spans="1:23" ht="11.25" customHeight="1" x14ac:dyDescent="0.25">
      <c r="A644" s="3" t="s">
        <v>21</v>
      </c>
      <c r="B644" s="3" t="s">
        <v>43</v>
      </c>
      <c r="C644" s="3" t="s">
        <v>23</v>
      </c>
      <c r="D644" s="3" t="s">
        <v>44</v>
      </c>
      <c r="E644" s="3" t="s">
        <v>45</v>
      </c>
      <c r="F644" s="3" t="s">
        <v>25</v>
      </c>
      <c r="G644" s="3" t="s">
        <v>25</v>
      </c>
      <c r="H644" s="3" t="s">
        <v>25</v>
      </c>
      <c r="I644" s="6">
        <v>44774</v>
      </c>
      <c r="J644" s="4">
        <v>0</v>
      </c>
      <c r="K644" s="4">
        <v>0</v>
      </c>
      <c r="L644" s="4">
        <v>319.55200000000002</v>
      </c>
      <c r="M644" s="4">
        <v>319.55200000000002</v>
      </c>
      <c r="N644" s="4">
        <v>319.55200000000002</v>
      </c>
      <c r="O644" s="4">
        <v>319.55200000000002</v>
      </c>
      <c r="P644" s="4">
        <v>3</v>
      </c>
      <c r="Q644" s="3" t="s">
        <v>26</v>
      </c>
      <c r="R644" s="3">
        <v>0</v>
      </c>
      <c r="S644" s="3" t="s">
        <v>325</v>
      </c>
      <c r="T644" s="3" t="s">
        <v>462</v>
      </c>
      <c r="U644" s="3">
        <v>0</v>
      </c>
      <c r="V644" s="3">
        <v>33</v>
      </c>
      <c r="W644" s="3">
        <v>81</v>
      </c>
    </row>
  </sheetData>
  <sortState xmlns:xlrd2="http://schemas.microsoft.com/office/spreadsheetml/2017/richdata2" ref="A2:W644">
    <sortCondition ref="B2:B644"/>
    <sortCondition ref="C2:C644"/>
    <sortCondition ref="D2:D644"/>
    <sortCondition ref="E2:E644"/>
    <sortCondition ref="F2:F644"/>
    <sortCondition ref="H2:H6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A5C7-12C2-4424-BC55-0E6FA421795D}">
  <sheetPr codeName="Planilha3"/>
  <dimension ref="A1:H82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G1" s="7" t="s">
        <v>71</v>
      </c>
      <c r="H1" s="7">
        <f>COUNTA(A:A)</f>
        <v>82</v>
      </c>
    </row>
    <row r="2" spans="1:8" ht="11.25" customHeight="1" x14ac:dyDescent="0.25">
      <c r="A2" s="8" t="s">
        <v>363</v>
      </c>
      <c r="B2" s="8" t="s">
        <v>364</v>
      </c>
      <c r="C2" s="8" t="s">
        <v>365</v>
      </c>
      <c r="D2" s="8">
        <v>133</v>
      </c>
      <c r="E2" s="8" t="s">
        <v>366</v>
      </c>
    </row>
    <row r="3" spans="1:8" ht="11.25" customHeight="1" x14ac:dyDescent="0.25">
      <c r="A3" s="8" t="s">
        <v>363</v>
      </c>
      <c r="B3" s="8" t="s">
        <v>364</v>
      </c>
      <c r="C3" s="8" t="s">
        <v>365</v>
      </c>
      <c r="D3" s="8">
        <v>134</v>
      </c>
      <c r="E3" s="8" t="s">
        <v>366</v>
      </c>
    </row>
    <row r="4" spans="1:8" ht="11.25" customHeight="1" x14ac:dyDescent="0.25">
      <c r="A4" s="8" t="s">
        <v>363</v>
      </c>
      <c r="B4" s="8" t="s">
        <v>364</v>
      </c>
      <c r="C4" s="8" t="s">
        <v>365</v>
      </c>
      <c r="D4" s="8">
        <v>135</v>
      </c>
      <c r="E4" s="8" t="s">
        <v>366</v>
      </c>
    </row>
    <row r="5" spans="1:8" ht="11.25" customHeight="1" x14ac:dyDescent="0.25">
      <c r="A5" s="8" t="s">
        <v>363</v>
      </c>
      <c r="B5" s="8" t="s">
        <v>364</v>
      </c>
      <c r="C5" s="8" t="s">
        <v>365</v>
      </c>
      <c r="D5" s="8">
        <v>136</v>
      </c>
      <c r="E5" s="8" t="s">
        <v>366</v>
      </c>
    </row>
    <row r="6" spans="1:8" ht="11.25" customHeight="1" x14ac:dyDescent="0.25">
      <c r="A6" s="8" t="s">
        <v>363</v>
      </c>
      <c r="B6" s="8" t="s">
        <v>364</v>
      </c>
      <c r="C6" s="8" t="s">
        <v>365</v>
      </c>
      <c r="D6" s="8">
        <v>137</v>
      </c>
      <c r="E6" s="8" t="s">
        <v>366</v>
      </c>
    </row>
    <row r="7" spans="1:8" ht="11.25" customHeight="1" x14ac:dyDescent="0.25">
      <c r="A7" s="8" t="s">
        <v>363</v>
      </c>
      <c r="B7" s="8" t="s">
        <v>364</v>
      </c>
      <c r="C7" s="8" t="s">
        <v>365</v>
      </c>
      <c r="D7" s="8">
        <v>138</v>
      </c>
      <c r="E7" s="8" t="s">
        <v>366</v>
      </c>
    </row>
    <row r="8" spans="1:8" ht="11.25" customHeight="1" x14ac:dyDescent="0.25">
      <c r="A8" s="8" t="s">
        <v>363</v>
      </c>
      <c r="B8" s="8" t="s">
        <v>364</v>
      </c>
      <c r="C8" s="8" t="s">
        <v>365</v>
      </c>
      <c r="D8" s="8">
        <v>139</v>
      </c>
      <c r="E8" s="8" t="s">
        <v>366</v>
      </c>
    </row>
    <row r="9" spans="1:8" ht="11.25" customHeight="1" x14ac:dyDescent="0.25">
      <c r="A9" s="8" t="s">
        <v>363</v>
      </c>
      <c r="B9" s="8" t="s">
        <v>364</v>
      </c>
      <c r="C9" s="8" t="s">
        <v>365</v>
      </c>
      <c r="D9" s="8">
        <v>140</v>
      </c>
      <c r="E9" s="8" t="s">
        <v>366</v>
      </c>
    </row>
    <row r="10" spans="1:8" ht="11.25" customHeight="1" x14ac:dyDescent="0.25">
      <c r="A10" s="8" t="s">
        <v>363</v>
      </c>
      <c r="B10" s="8" t="s">
        <v>364</v>
      </c>
      <c r="C10" s="8" t="s">
        <v>365</v>
      </c>
      <c r="D10" s="8">
        <v>141</v>
      </c>
      <c r="E10" s="8" t="s">
        <v>366</v>
      </c>
    </row>
    <row r="11" spans="1:8" ht="11.25" customHeight="1" x14ac:dyDescent="0.25">
      <c r="A11" s="8" t="s">
        <v>363</v>
      </c>
      <c r="B11" s="8" t="s">
        <v>364</v>
      </c>
      <c r="C11" s="8" t="s">
        <v>365</v>
      </c>
      <c r="D11" s="8">
        <v>142</v>
      </c>
      <c r="E11" s="8" t="s">
        <v>366</v>
      </c>
    </row>
    <row r="12" spans="1:8" ht="11.25" customHeight="1" x14ac:dyDescent="0.25">
      <c r="A12" s="8" t="s">
        <v>363</v>
      </c>
      <c r="B12" s="8" t="s">
        <v>364</v>
      </c>
      <c r="C12" s="8" t="s">
        <v>365</v>
      </c>
      <c r="D12" s="8">
        <v>143</v>
      </c>
      <c r="E12" s="8" t="s">
        <v>366</v>
      </c>
    </row>
    <row r="13" spans="1:8" ht="11.25" customHeight="1" x14ac:dyDescent="0.25">
      <c r="A13" s="8" t="s">
        <v>363</v>
      </c>
      <c r="B13" s="8" t="s">
        <v>364</v>
      </c>
      <c r="C13" s="8" t="s">
        <v>365</v>
      </c>
      <c r="D13" s="8">
        <v>144</v>
      </c>
      <c r="E13" s="8" t="s">
        <v>366</v>
      </c>
    </row>
    <row r="14" spans="1:8" ht="11.25" customHeight="1" x14ac:dyDescent="0.25">
      <c r="A14" s="8" t="s">
        <v>363</v>
      </c>
      <c r="B14" s="8" t="s">
        <v>364</v>
      </c>
      <c r="C14" s="8" t="s">
        <v>365</v>
      </c>
      <c r="D14" s="8">
        <v>145</v>
      </c>
      <c r="E14" s="8" t="s">
        <v>366</v>
      </c>
    </row>
    <row r="15" spans="1:8" ht="11.25" customHeight="1" x14ac:dyDescent="0.25">
      <c r="A15" s="8" t="s">
        <v>363</v>
      </c>
      <c r="B15" s="8" t="s">
        <v>364</v>
      </c>
      <c r="C15" s="8" t="s">
        <v>365</v>
      </c>
      <c r="D15" s="8">
        <v>146</v>
      </c>
      <c r="E15" s="8" t="s">
        <v>366</v>
      </c>
    </row>
    <row r="16" spans="1:8" ht="11.25" customHeight="1" x14ac:dyDescent="0.25">
      <c r="A16" s="8" t="s">
        <v>363</v>
      </c>
      <c r="B16" s="8" t="s">
        <v>364</v>
      </c>
      <c r="C16" s="8" t="s">
        <v>365</v>
      </c>
      <c r="D16" s="8">
        <v>147</v>
      </c>
      <c r="E16" s="8" t="s">
        <v>366</v>
      </c>
    </row>
    <row r="17" spans="1:5" ht="11.25" customHeight="1" x14ac:dyDescent="0.25">
      <c r="A17" s="8" t="s">
        <v>363</v>
      </c>
      <c r="B17" s="8" t="s">
        <v>364</v>
      </c>
      <c r="C17" s="8" t="s">
        <v>365</v>
      </c>
      <c r="D17" s="8">
        <v>148</v>
      </c>
      <c r="E17" s="8" t="s">
        <v>366</v>
      </c>
    </row>
    <row r="18" spans="1:5" ht="11.25" customHeight="1" x14ac:dyDescent="0.25">
      <c r="A18" s="8" t="s">
        <v>363</v>
      </c>
      <c r="B18" s="8" t="s">
        <v>364</v>
      </c>
      <c r="C18" s="8" t="s">
        <v>365</v>
      </c>
      <c r="D18" s="8">
        <v>149</v>
      </c>
      <c r="E18" s="8" t="s">
        <v>366</v>
      </c>
    </row>
    <row r="19" spans="1:5" ht="11.25" customHeight="1" x14ac:dyDescent="0.25">
      <c r="A19" s="8" t="s">
        <v>363</v>
      </c>
      <c r="B19" s="8" t="s">
        <v>364</v>
      </c>
      <c r="C19" s="8" t="s">
        <v>365</v>
      </c>
      <c r="D19" s="8">
        <v>150</v>
      </c>
      <c r="E19" s="8" t="s">
        <v>366</v>
      </c>
    </row>
    <row r="20" spans="1:5" ht="11.25" customHeight="1" x14ac:dyDescent="0.25">
      <c r="A20" s="8" t="s">
        <v>363</v>
      </c>
      <c r="B20" s="8" t="s">
        <v>364</v>
      </c>
      <c r="C20" s="8" t="s">
        <v>365</v>
      </c>
      <c r="D20" s="8">
        <v>151</v>
      </c>
      <c r="E20" s="8" t="s">
        <v>366</v>
      </c>
    </row>
    <row r="21" spans="1:5" ht="11.25" customHeight="1" x14ac:dyDescent="0.25">
      <c r="A21" s="8" t="s">
        <v>363</v>
      </c>
      <c r="B21" s="8" t="s">
        <v>364</v>
      </c>
      <c r="C21" s="8" t="s">
        <v>365</v>
      </c>
      <c r="D21" s="8">
        <v>152</v>
      </c>
      <c r="E21" s="8" t="s">
        <v>366</v>
      </c>
    </row>
    <row r="22" spans="1:5" ht="11.25" customHeight="1" x14ac:dyDescent="0.25">
      <c r="A22" s="8" t="s">
        <v>363</v>
      </c>
      <c r="B22" s="8" t="s">
        <v>364</v>
      </c>
      <c r="C22" s="8" t="s">
        <v>365</v>
      </c>
      <c r="D22" s="8">
        <v>153</v>
      </c>
      <c r="E22" s="8" t="s">
        <v>366</v>
      </c>
    </row>
    <row r="23" spans="1:5" ht="11.25" customHeight="1" x14ac:dyDescent="0.25">
      <c r="A23" s="8" t="s">
        <v>363</v>
      </c>
      <c r="B23" s="8" t="s">
        <v>364</v>
      </c>
      <c r="C23" s="8" t="s">
        <v>365</v>
      </c>
      <c r="D23" s="8">
        <v>154</v>
      </c>
      <c r="E23" s="8" t="s">
        <v>366</v>
      </c>
    </row>
    <row r="24" spans="1:5" ht="11.25" customHeight="1" x14ac:dyDescent="0.25">
      <c r="A24" s="8" t="s">
        <v>363</v>
      </c>
      <c r="B24" s="8" t="s">
        <v>364</v>
      </c>
      <c r="C24" s="8" t="s">
        <v>365</v>
      </c>
      <c r="D24" s="8">
        <v>155</v>
      </c>
      <c r="E24" s="8" t="s">
        <v>366</v>
      </c>
    </row>
    <row r="25" spans="1:5" ht="11.25" customHeight="1" x14ac:dyDescent="0.25">
      <c r="A25" s="8" t="s">
        <v>363</v>
      </c>
      <c r="B25" s="8" t="s">
        <v>364</v>
      </c>
      <c r="C25" s="8" t="s">
        <v>365</v>
      </c>
      <c r="D25" s="8">
        <v>233</v>
      </c>
      <c r="E25" s="8" t="s">
        <v>366</v>
      </c>
    </row>
    <row r="26" spans="1:5" ht="11.25" customHeight="1" x14ac:dyDescent="0.25">
      <c r="A26" s="8" t="s">
        <v>363</v>
      </c>
      <c r="B26" s="8" t="s">
        <v>364</v>
      </c>
      <c r="C26" s="8" t="s">
        <v>365</v>
      </c>
      <c r="D26" s="8">
        <v>234</v>
      </c>
      <c r="E26" s="8" t="s">
        <v>366</v>
      </c>
    </row>
    <row r="27" spans="1:5" ht="11.25" customHeight="1" x14ac:dyDescent="0.25">
      <c r="A27" s="8" t="s">
        <v>363</v>
      </c>
      <c r="B27" s="8" t="s">
        <v>364</v>
      </c>
      <c r="C27" s="8" t="s">
        <v>365</v>
      </c>
      <c r="D27" s="8">
        <v>235</v>
      </c>
      <c r="E27" s="8" t="s">
        <v>366</v>
      </c>
    </row>
    <row r="28" spans="1:5" ht="11.25" customHeight="1" x14ac:dyDescent="0.25">
      <c r="A28" s="8" t="s">
        <v>363</v>
      </c>
      <c r="B28" s="8" t="s">
        <v>364</v>
      </c>
      <c r="C28" s="8" t="s">
        <v>365</v>
      </c>
      <c r="D28" s="8">
        <v>236</v>
      </c>
      <c r="E28" s="8" t="s">
        <v>366</v>
      </c>
    </row>
    <row r="29" spans="1:5" ht="11.25" customHeight="1" x14ac:dyDescent="0.25">
      <c r="A29" s="8" t="s">
        <v>363</v>
      </c>
      <c r="B29" s="8" t="s">
        <v>364</v>
      </c>
      <c r="C29" s="8" t="s">
        <v>365</v>
      </c>
      <c r="D29" s="8">
        <v>237</v>
      </c>
      <c r="E29" s="8" t="s">
        <v>366</v>
      </c>
    </row>
    <row r="30" spans="1:5" ht="11.25" customHeight="1" x14ac:dyDescent="0.25">
      <c r="A30" s="8" t="s">
        <v>363</v>
      </c>
      <c r="B30" s="8" t="s">
        <v>364</v>
      </c>
      <c r="C30" s="8" t="s">
        <v>365</v>
      </c>
      <c r="D30" s="8">
        <v>238</v>
      </c>
      <c r="E30" s="8" t="s">
        <v>366</v>
      </c>
    </row>
    <row r="31" spans="1:5" ht="11.25" customHeight="1" x14ac:dyDescent="0.25">
      <c r="A31" s="8" t="s">
        <v>363</v>
      </c>
      <c r="B31" s="8" t="s">
        <v>364</v>
      </c>
      <c r="C31" s="8" t="s">
        <v>365</v>
      </c>
      <c r="D31" s="8">
        <v>239</v>
      </c>
      <c r="E31" s="8" t="s">
        <v>366</v>
      </c>
    </row>
    <row r="32" spans="1:5" ht="11.25" customHeight="1" x14ac:dyDescent="0.25">
      <c r="A32" s="8" t="s">
        <v>363</v>
      </c>
      <c r="B32" s="8" t="s">
        <v>364</v>
      </c>
      <c r="C32" s="8" t="s">
        <v>365</v>
      </c>
      <c r="D32" s="8">
        <v>240</v>
      </c>
      <c r="E32" s="8" t="s">
        <v>366</v>
      </c>
    </row>
    <row r="33" spans="1:5" ht="11.25" customHeight="1" x14ac:dyDescent="0.25">
      <c r="A33" s="8" t="s">
        <v>363</v>
      </c>
      <c r="B33" s="8" t="s">
        <v>364</v>
      </c>
      <c r="C33" s="8" t="s">
        <v>365</v>
      </c>
      <c r="D33" s="8">
        <v>241</v>
      </c>
      <c r="E33" s="8" t="s">
        <v>366</v>
      </c>
    </row>
    <row r="34" spans="1:5" ht="11.25" customHeight="1" x14ac:dyDescent="0.25">
      <c r="A34" s="8" t="s">
        <v>363</v>
      </c>
      <c r="B34" s="8" t="s">
        <v>364</v>
      </c>
      <c r="C34" s="8" t="s">
        <v>365</v>
      </c>
      <c r="D34" s="8">
        <v>242</v>
      </c>
      <c r="E34" s="8" t="s">
        <v>366</v>
      </c>
    </row>
    <row r="35" spans="1:5" ht="11.25" customHeight="1" x14ac:dyDescent="0.25">
      <c r="A35" s="8" t="s">
        <v>363</v>
      </c>
      <c r="B35" s="8" t="s">
        <v>364</v>
      </c>
      <c r="C35" s="8" t="s">
        <v>365</v>
      </c>
      <c r="D35" s="8">
        <v>243</v>
      </c>
      <c r="E35" s="8" t="s">
        <v>366</v>
      </c>
    </row>
    <row r="36" spans="1:5" ht="11.25" customHeight="1" x14ac:dyDescent="0.25">
      <c r="A36" s="8" t="s">
        <v>363</v>
      </c>
      <c r="B36" s="8" t="s">
        <v>364</v>
      </c>
      <c r="C36" s="8" t="s">
        <v>365</v>
      </c>
      <c r="D36" s="8">
        <v>244</v>
      </c>
      <c r="E36" s="8" t="s">
        <v>366</v>
      </c>
    </row>
    <row r="37" spans="1:5" ht="11.25" customHeight="1" x14ac:dyDescent="0.25">
      <c r="A37" s="8" t="s">
        <v>363</v>
      </c>
      <c r="B37" s="8" t="s">
        <v>364</v>
      </c>
      <c r="C37" s="8" t="s">
        <v>365</v>
      </c>
      <c r="D37" s="8">
        <v>245</v>
      </c>
      <c r="E37" s="8" t="s">
        <v>366</v>
      </c>
    </row>
    <row r="38" spans="1:5" ht="11.25" customHeight="1" x14ac:dyDescent="0.25">
      <c r="A38" s="8" t="s">
        <v>363</v>
      </c>
      <c r="B38" s="8" t="s">
        <v>364</v>
      </c>
      <c r="C38" s="8" t="s">
        <v>365</v>
      </c>
      <c r="D38" s="8">
        <v>246</v>
      </c>
      <c r="E38" s="8" t="s">
        <v>366</v>
      </c>
    </row>
    <row r="39" spans="1:5" ht="11.25" customHeight="1" x14ac:dyDescent="0.25">
      <c r="A39" s="8" t="s">
        <v>363</v>
      </c>
      <c r="B39" s="8" t="s">
        <v>364</v>
      </c>
      <c r="C39" s="8" t="s">
        <v>365</v>
      </c>
      <c r="D39" s="8">
        <v>247</v>
      </c>
      <c r="E39" s="8" t="s">
        <v>366</v>
      </c>
    </row>
    <row r="40" spans="1:5" ht="11.25" customHeight="1" x14ac:dyDescent="0.25">
      <c r="A40" s="8" t="s">
        <v>363</v>
      </c>
      <c r="B40" s="8" t="s">
        <v>364</v>
      </c>
      <c r="C40" s="8" t="s">
        <v>365</v>
      </c>
      <c r="D40" s="8">
        <v>248</v>
      </c>
      <c r="E40" s="8" t="s">
        <v>366</v>
      </c>
    </row>
    <row r="41" spans="1:5" ht="11.25" customHeight="1" x14ac:dyDescent="0.25">
      <c r="A41" s="8" t="s">
        <v>363</v>
      </c>
      <c r="B41" s="8" t="s">
        <v>364</v>
      </c>
      <c r="C41" s="8" t="s">
        <v>365</v>
      </c>
      <c r="D41" s="8">
        <v>249</v>
      </c>
      <c r="E41" s="8" t="s">
        <v>366</v>
      </c>
    </row>
    <row r="42" spans="1:5" ht="11.25" customHeight="1" x14ac:dyDescent="0.25">
      <c r="A42" s="8" t="s">
        <v>363</v>
      </c>
      <c r="B42" s="8" t="s">
        <v>364</v>
      </c>
      <c r="C42" s="8" t="s">
        <v>365</v>
      </c>
      <c r="D42" s="8">
        <v>250</v>
      </c>
      <c r="E42" s="8" t="s">
        <v>366</v>
      </c>
    </row>
    <row r="43" spans="1:5" ht="11.25" customHeight="1" x14ac:dyDescent="0.25">
      <c r="A43" s="8" t="s">
        <v>363</v>
      </c>
      <c r="B43" s="8" t="s">
        <v>364</v>
      </c>
      <c r="C43" s="8" t="s">
        <v>365</v>
      </c>
      <c r="D43" s="8">
        <v>251</v>
      </c>
      <c r="E43" s="8" t="s">
        <v>366</v>
      </c>
    </row>
    <row r="44" spans="1:5" ht="11.25" customHeight="1" x14ac:dyDescent="0.25">
      <c r="A44" s="8" t="s">
        <v>363</v>
      </c>
      <c r="B44" s="8" t="s">
        <v>364</v>
      </c>
      <c r="C44" s="8" t="s">
        <v>365</v>
      </c>
      <c r="D44" s="8">
        <v>252</v>
      </c>
      <c r="E44" s="8" t="s">
        <v>366</v>
      </c>
    </row>
    <row r="45" spans="1:5" ht="11.25" customHeight="1" x14ac:dyDescent="0.25">
      <c r="A45" s="8" t="s">
        <v>363</v>
      </c>
      <c r="B45" s="8" t="s">
        <v>364</v>
      </c>
      <c r="C45" s="8" t="s">
        <v>365</v>
      </c>
      <c r="D45" s="8">
        <v>253</v>
      </c>
      <c r="E45" s="8" t="s">
        <v>366</v>
      </c>
    </row>
    <row r="46" spans="1:5" ht="11.25" customHeight="1" x14ac:dyDescent="0.25">
      <c r="A46" s="8" t="s">
        <v>363</v>
      </c>
      <c r="B46" s="8" t="s">
        <v>364</v>
      </c>
      <c r="C46" s="8" t="s">
        <v>365</v>
      </c>
      <c r="D46" s="8">
        <v>254</v>
      </c>
      <c r="E46" s="8" t="s">
        <v>366</v>
      </c>
    </row>
    <row r="47" spans="1:5" ht="11.25" customHeight="1" x14ac:dyDescent="0.25">
      <c r="A47" s="8" t="s">
        <v>363</v>
      </c>
      <c r="B47" s="8" t="s">
        <v>364</v>
      </c>
      <c r="C47" s="8" t="s">
        <v>365</v>
      </c>
      <c r="D47" s="8">
        <v>255</v>
      </c>
      <c r="E47" s="8" t="s">
        <v>366</v>
      </c>
    </row>
    <row r="48" spans="1:5" ht="11.25" customHeight="1" x14ac:dyDescent="0.25">
      <c r="A48" s="8" t="s">
        <v>363</v>
      </c>
      <c r="B48" s="8" t="s">
        <v>364</v>
      </c>
      <c r="C48" s="8" t="s">
        <v>365</v>
      </c>
      <c r="D48" s="8">
        <v>256</v>
      </c>
      <c r="E48" s="8" t="s">
        <v>366</v>
      </c>
    </row>
    <row r="49" spans="1:5" ht="11.25" customHeight="1" x14ac:dyDescent="0.25">
      <c r="A49" s="8" t="s">
        <v>363</v>
      </c>
      <c r="B49" s="8" t="s">
        <v>364</v>
      </c>
      <c r="C49" s="8" t="s">
        <v>365</v>
      </c>
      <c r="D49" s="8">
        <v>257</v>
      </c>
      <c r="E49" s="8" t="s">
        <v>366</v>
      </c>
    </row>
    <row r="50" spans="1:5" ht="11.25" customHeight="1" x14ac:dyDescent="0.25">
      <c r="A50" s="8" t="s">
        <v>363</v>
      </c>
      <c r="B50" s="8" t="s">
        <v>364</v>
      </c>
      <c r="C50" s="8" t="s">
        <v>365</v>
      </c>
      <c r="D50" s="8">
        <v>258</v>
      </c>
      <c r="E50" s="8" t="s">
        <v>366</v>
      </c>
    </row>
    <row r="51" spans="1:5" ht="11.25" customHeight="1" x14ac:dyDescent="0.25">
      <c r="A51" s="8" t="s">
        <v>363</v>
      </c>
      <c r="B51" s="8" t="s">
        <v>364</v>
      </c>
      <c r="C51" s="8" t="s">
        <v>365</v>
      </c>
      <c r="D51" s="8">
        <v>295</v>
      </c>
      <c r="E51" s="8" t="s">
        <v>366</v>
      </c>
    </row>
    <row r="52" spans="1:5" ht="11.25" customHeight="1" x14ac:dyDescent="0.25">
      <c r="A52" s="8" t="s">
        <v>363</v>
      </c>
      <c r="B52" s="8" t="s">
        <v>364</v>
      </c>
      <c r="C52" s="8" t="s">
        <v>365</v>
      </c>
      <c r="D52" s="8">
        <v>296</v>
      </c>
      <c r="E52" s="8" t="s">
        <v>366</v>
      </c>
    </row>
    <row r="53" spans="1:5" ht="11.25" customHeight="1" x14ac:dyDescent="0.25">
      <c r="A53" s="8" t="s">
        <v>363</v>
      </c>
      <c r="B53" s="8" t="s">
        <v>364</v>
      </c>
      <c r="C53" s="8" t="s">
        <v>365</v>
      </c>
      <c r="D53" s="8">
        <v>297</v>
      </c>
      <c r="E53" s="8" t="s">
        <v>366</v>
      </c>
    </row>
    <row r="54" spans="1:5" ht="11.25" customHeight="1" x14ac:dyDescent="0.25">
      <c r="A54" s="8" t="s">
        <v>363</v>
      </c>
      <c r="B54" s="8" t="s">
        <v>364</v>
      </c>
      <c r="C54" s="8" t="s">
        <v>365</v>
      </c>
      <c r="D54" s="8">
        <v>298</v>
      </c>
      <c r="E54" s="8" t="s">
        <v>366</v>
      </c>
    </row>
    <row r="55" spans="1:5" ht="11.25" customHeight="1" x14ac:dyDescent="0.25">
      <c r="A55" s="8" t="s">
        <v>363</v>
      </c>
      <c r="B55" s="8" t="s">
        <v>364</v>
      </c>
      <c r="C55" s="8" t="s">
        <v>365</v>
      </c>
      <c r="D55" s="8">
        <v>299</v>
      </c>
      <c r="E55" s="8" t="s">
        <v>366</v>
      </c>
    </row>
    <row r="56" spans="1:5" ht="11.25" customHeight="1" x14ac:dyDescent="0.25">
      <c r="A56" s="8" t="s">
        <v>363</v>
      </c>
      <c r="B56" s="8" t="s">
        <v>364</v>
      </c>
      <c r="C56" s="8" t="s">
        <v>365</v>
      </c>
      <c r="D56" s="8">
        <v>300</v>
      </c>
      <c r="E56" s="8" t="s">
        <v>366</v>
      </c>
    </row>
    <row r="57" spans="1:5" ht="11.25" customHeight="1" x14ac:dyDescent="0.25">
      <c r="A57" s="8" t="s">
        <v>363</v>
      </c>
      <c r="B57" s="8" t="s">
        <v>364</v>
      </c>
      <c r="C57" s="8" t="s">
        <v>365</v>
      </c>
      <c r="D57" s="8">
        <v>301</v>
      </c>
      <c r="E57" s="8" t="s">
        <v>366</v>
      </c>
    </row>
    <row r="58" spans="1:5" ht="11.25" customHeight="1" x14ac:dyDescent="0.25">
      <c r="A58" s="8" t="s">
        <v>363</v>
      </c>
      <c r="B58" s="8" t="s">
        <v>364</v>
      </c>
      <c r="C58" s="8" t="s">
        <v>365</v>
      </c>
      <c r="D58" s="8">
        <v>302</v>
      </c>
      <c r="E58" s="8" t="s">
        <v>366</v>
      </c>
    </row>
    <row r="59" spans="1:5" ht="11.25" customHeight="1" x14ac:dyDescent="0.25">
      <c r="A59" s="8" t="s">
        <v>363</v>
      </c>
      <c r="B59" s="8" t="s">
        <v>364</v>
      </c>
      <c r="C59" s="8" t="s">
        <v>365</v>
      </c>
      <c r="D59" s="8">
        <v>303</v>
      </c>
      <c r="E59" s="8" t="s">
        <v>366</v>
      </c>
    </row>
    <row r="60" spans="1:5" ht="11.25" customHeight="1" x14ac:dyDescent="0.25">
      <c r="A60" s="8" t="s">
        <v>363</v>
      </c>
      <c r="B60" s="8" t="s">
        <v>364</v>
      </c>
      <c r="C60" s="8" t="s">
        <v>365</v>
      </c>
      <c r="D60" s="8">
        <v>304</v>
      </c>
      <c r="E60" s="8" t="s">
        <v>366</v>
      </c>
    </row>
    <row r="61" spans="1:5" ht="11.25" customHeight="1" x14ac:dyDescent="0.25">
      <c r="A61" s="8" t="s">
        <v>363</v>
      </c>
      <c r="B61" s="8" t="s">
        <v>364</v>
      </c>
      <c r="C61" s="8" t="s">
        <v>365</v>
      </c>
      <c r="D61" s="8">
        <v>305</v>
      </c>
      <c r="E61" s="8" t="s">
        <v>366</v>
      </c>
    </row>
    <row r="62" spans="1:5" ht="11.25" customHeight="1" x14ac:dyDescent="0.25">
      <c r="A62" s="8" t="s">
        <v>363</v>
      </c>
      <c r="B62" s="8" t="s">
        <v>364</v>
      </c>
      <c r="C62" s="8" t="s">
        <v>365</v>
      </c>
      <c r="D62" s="8">
        <v>306</v>
      </c>
      <c r="E62" s="8" t="s">
        <v>366</v>
      </c>
    </row>
    <row r="63" spans="1:5" ht="11.25" customHeight="1" x14ac:dyDescent="0.25">
      <c r="A63" s="8" t="s">
        <v>363</v>
      </c>
      <c r="B63" s="8" t="s">
        <v>364</v>
      </c>
      <c r="C63" s="8" t="s">
        <v>365</v>
      </c>
      <c r="D63" s="8">
        <v>331</v>
      </c>
      <c r="E63" s="8" t="s">
        <v>366</v>
      </c>
    </row>
    <row r="64" spans="1:5" ht="11.25" customHeight="1" x14ac:dyDescent="0.25">
      <c r="A64" s="8" t="s">
        <v>363</v>
      </c>
      <c r="B64" s="8" t="s">
        <v>364</v>
      </c>
      <c r="C64" s="8" t="s">
        <v>365</v>
      </c>
      <c r="D64" s="8">
        <v>332</v>
      </c>
      <c r="E64" s="8" t="s">
        <v>366</v>
      </c>
    </row>
    <row r="65" spans="1:5" ht="11.25" customHeight="1" x14ac:dyDescent="0.25">
      <c r="A65" s="8" t="s">
        <v>363</v>
      </c>
      <c r="B65" s="8" t="s">
        <v>364</v>
      </c>
      <c r="C65" s="8" t="s">
        <v>365</v>
      </c>
      <c r="D65" s="8">
        <v>333</v>
      </c>
      <c r="E65" s="8" t="s">
        <v>366</v>
      </c>
    </row>
    <row r="66" spans="1:5" ht="11.25" customHeight="1" x14ac:dyDescent="0.25">
      <c r="A66" s="8" t="s">
        <v>363</v>
      </c>
      <c r="B66" s="8" t="s">
        <v>364</v>
      </c>
      <c r="C66" s="8" t="s">
        <v>365</v>
      </c>
      <c r="D66" s="8">
        <v>334</v>
      </c>
      <c r="E66" s="8" t="s">
        <v>366</v>
      </c>
    </row>
    <row r="67" spans="1:5" ht="11.25" customHeight="1" x14ac:dyDescent="0.25">
      <c r="A67" s="8" t="s">
        <v>363</v>
      </c>
      <c r="B67" s="8" t="s">
        <v>364</v>
      </c>
      <c r="C67" s="8" t="s">
        <v>365</v>
      </c>
      <c r="D67" s="8">
        <v>335</v>
      </c>
      <c r="E67" s="8" t="s">
        <v>366</v>
      </c>
    </row>
    <row r="68" spans="1:5" ht="11.25" customHeight="1" x14ac:dyDescent="0.25">
      <c r="A68" s="8" t="s">
        <v>363</v>
      </c>
      <c r="B68" s="8" t="s">
        <v>364</v>
      </c>
      <c r="C68" s="8" t="s">
        <v>365</v>
      </c>
      <c r="D68" s="8">
        <v>336</v>
      </c>
      <c r="E68" s="8" t="s">
        <v>366</v>
      </c>
    </row>
    <row r="69" spans="1:5" ht="11.25" customHeight="1" x14ac:dyDescent="0.25">
      <c r="A69" s="8" t="s">
        <v>363</v>
      </c>
      <c r="B69" s="8" t="s">
        <v>364</v>
      </c>
      <c r="C69" s="8" t="s">
        <v>365</v>
      </c>
      <c r="D69" s="8">
        <v>337</v>
      </c>
      <c r="E69" s="8" t="s">
        <v>366</v>
      </c>
    </row>
    <row r="70" spans="1:5" ht="11.25" customHeight="1" x14ac:dyDescent="0.25">
      <c r="A70" s="8" t="s">
        <v>363</v>
      </c>
      <c r="B70" s="8" t="s">
        <v>364</v>
      </c>
      <c r="C70" s="8" t="s">
        <v>365</v>
      </c>
      <c r="D70" s="8">
        <v>338</v>
      </c>
      <c r="E70" s="8" t="s">
        <v>366</v>
      </c>
    </row>
    <row r="71" spans="1:5" ht="11.25" customHeight="1" x14ac:dyDescent="0.25">
      <c r="A71" s="8" t="s">
        <v>363</v>
      </c>
      <c r="B71" s="8" t="s">
        <v>364</v>
      </c>
      <c r="C71" s="8" t="s">
        <v>365</v>
      </c>
      <c r="D71" s="8">
        <v>339</v>
      </c>
      <c r="E71" s="8" t="s">
        <v>366</v>
      </c>
    </row>
    <row r="72" spans="1:5" ht="11.25" customHeight="1" x14ac:dyDescent="0.25">
      <c r="A72" s="8" t="s">
        <v>363</v>
      </c>
      <c r="B72" s="8" t="s">
        <v>364</v>
      </c>
      <c r="C72" s="8" t="s">
        <v>365</v>
      </c>
      <c r="D72" s="8">
        <v>340</v>
      </c>
      <c r="E72" s="8" t="s">
        <v>366</v>
      </c>
    </row>
    <row r="73" spans="1:5" ht="11.25" customHeight="1" x14ac:dyDescent="0.25">
      <c r="A73" s="8" t="s">
        <v>363</v>
      </c>
      <c r="B73" s="8" t="s">
        <v>364</v>
      </c>
      <c r="C73" s="8" t="s">
        <v>365</v>
      </c>
      <c r="D73" s="8">
        <v>341</v>
      </c>
      <c r="E73" s="8" t="s">
        <v>366</v>
      </c>
    </row>
    <row r="74" spans="1:5" ht="11.25" customHeight="1" x14ac:dyDescent="0.25">
      <c r="A74" s="8" t="s">
        <v>363</v>
      </c>
      <c r="B74" s="8" t="s">
        <v>364</v>
      </c>
      <c r="C74" s="8" t="s">
        <v>365</v>
      </c>
      <c r="D74" s="8">
        <v>342</v>
      </c>
      <c r="E74" s="8" t="s">
        <v>366</v>
      </c>
    </row>
    <row r="75" spans="1:5" ht="11.25" customHeight="1" x14ac:dyDescent="0.25">
      <c r="A75" s="8" t="s">
        <v>363</v>
      </c>
      <c r="C75" s="8" t="s">
        <v>552</v>
      </c>
      <c r="D75" s="8">
        <v>40</v>
      </c>
      <c r="E75" s="8" t="s">
        <v>9</v>
      </c>
    </row>
    <row r="76" spans="1:5" ht="11.25" customHeight="1" x14ac:dyDescent="0.25">
      <c r="A76" s="8" t="s">
        <v>363</v>
      </c>
      <c r="C76" s="8" t="s">
        <v>552</v>
      </c>
      <c r="D76" s="8">
        <v>40</v>
      </c>
      <c r="E76" s="8" t="s">
        <v>9</v>
      </c>
    </row>
    <row r="77" spans="1:5" ht="11.25" customHeight="1" x14ac:dyDescent="0.25">
      <c r="A77" s="8" t="s">
        <v>363</v>
      </c>
      <c r="C77" s="8" t="s">
        <v>552</v>
      </c>
      <c r="D77" s="8">
        <v>40</v>
      </c>
      <c r="E77" s="8" t="s">
        <v>9</v>
      </c>
    </row>
    <row r="78" spans="1:5" ht="11.25" customHeight="1" x14ac:dyDescent="0.25">
      <c r="A78" s="8" t="s">
        <v>363</v>
      </c>
      <c r="C78" s="8" t="s">
        <v>552</v>
      </c>
      <c r="D78" s="8">
        <v>40</v>
      </c>
      <c r="E78" s="8" t="s">
        <v>9</v>
      </c>
    </row>
    <row r="79" spans="1:5" ht="11.25" customHeight="1" x14ac:dyDescent="0.25">
      <c r="A79" s="8" t="s">
        <v>363</v>
      </c>
      <c r="C79" s="8" t="s">
        <v>552</v>
      </c>
      <c r="D79" s="8">
        <v>40</v>
      </c>
      <c r="E79" s="8" t="s">
        <v>9</v>
      </c>
    </row>
    <row r="80" spans="1:5" ht="11.25" customHeight="1" x14ac:dyDescent="0.25">
      <c r="A80" s="8" t="s">
        <v>363</v>
      </c>
      <c r="C80" s="8" t="s">
        <v>552</v>
      </c>
      <c r="D80" s="8">
        <v>40</v>
      </c>
      <c r="E80" s="8" t="s">
        <v>9</v>
      </c>
    </row>
    <row r="81" spans="1:5" ht="11.25" customHeight="1" x14ac:dyDescent="0.25">
      <c r="A81" s="8" t="s">
        <v>363</v>
      </c>
      <c r="C81" s="8" t="s">
        <v>552</v>
      </c>
      <c r="D81" s="8">
        <v>40</v>
      </c>
      <c r="E81" s="8" t="s">
        <v>9</v>
      </c>
    </row>
    <row r="82" spans="1:5" ht="11.25" customHeight="1" x14ac:dyDescent="0.25">
      <c r="A82" s="8" t="s">
        <v>363</v>
      </c>
      <c r="C82" s="8" t="s">
        <v>552</v>
      </c>
      <c r="D82" s="8">
        <v>40</v>
      </c>
      <c r="E82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71CE-E23B-4A0D-BF11-27D57A6AFD93}">
  <sheetPr codeName="Planilha2"/>
  <dimension ref="A1:AX91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7" width="10.28515625" style="8" bestFit="1" customWidth="1"/>
    <col min="8" max="8" width="11.7109375" style="8" bestFit="1" customWidth="1"/>
    <col min="9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613</v>
      </c>
      <c r="B1" s="30" t="s">
        <v>603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604</v>
      </c>
      <c r="K1" s="30" t="s">
        <v>605</v>
      </c>
      <c r="L1" s="30" t="s">
        <v>606</v>
      </c>
      <c r="M1" s="30" t="s">
        <v>607</v>
      </c>
      <c r="N1" s="30" t="s">
        <v>608</v>
      </c>
      <c r="O1" s="30" t="s">
        <v>484</v>
      </c>
      <c r="P1" s="30" t="s">
        <v>470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464</v>
      </c>
      <c r="C2" s="31" t="s">
        <v>35</v>
      </c>
      <c r="D2" s="31" t="s">
        <v>56</v>
      </c>
      <c r="E2" s="31" t="s">
        <v>25</v>
      </c>
      <c r="F2" s="31" t="s">
        <v>25</v>
      </c>
      <c r="G2" s="31" t="s">
        <v>25</v>
      </c>
      <c r="H2" s="31" t="s">
        <v>58</v>
      </c>
      <c r="I2" s="31" t="s">
        <v>25</v>
      </c>
      <c r="J2" s="31" t="s">
        <v>609</v>
      </c>
      <c r="K2" s="31" t="s">
        <v>610</v>
      </c>
      <c r="L2" s="31" t="s">
        <v>82</v>
      </c>
      <c r="M2" s="31">
        <v>2021</v>
      </c>
      <c r="N2" s="31">
        <v>0</v>
      </c>
      <c r="O2" s="31">
        <v>10.52</v>
      </c>
      <c r="P2" s="31">
        <v>0</v>
      </c>
    </row>
    <row r="3" spans="1:50" ht="11.25" customHeight="1" x14ac:dyDescent="0.25">
      <c r="A3" s="31">
        <v>2</v>
      </c>
      <c r="B3" s="31" t="s">
        <v>464</v>
      </c>
      <c r="C3" s="31" t="s">
        <v>22</v>
      </c>
      <c r="D3" s="31" t="s">
        <v>97</v>
      </c>
      <c r="E3" s="31" t="s">
        <v>24</v>
      </c>
      <c r="F3" s="31" t="s">
        <v>24</v>
      </c>
      <c r="G3" s="31" t="s">
        <v>25</v>
      </c>
      <c r="H3" s="31" t="s">
        <v>25</v>
      </c>
      <c r="I3" s="31" t="s">
        <v>37</v>
      </c>
      <c r="J3" s="31" t="s">
        <v>609</v>
      </c>
      <c r="K3" s="31" t="s">
        <v>610</v>
      </c>
      <c r="L3" s="31" t="s">
        <v>82</v>
      </c>
      <c r="M3" s="31">
        <v>2021</v>
      </c>
      <c r="N3" s="31">
        <v>0</v>
      </c>
      <c r="O3" s="31">
        <v>681.65</v>
      </c>
      <c r="P3" s="31">
        <v>58.371510023948801</v>
      </c>
    </row>
    <row r="4" spans="1:50" ht="11.25" customHeight="1" x14ac:dyDescent="0.25">
      <c r="A4" s="31">
        <v>3</v>
      </c>
      <c r="B4" s="31" t="s">
        <v>464</v>
      </c>
      <c r="C4" s="31" t="s">
        <v>35</v>
      </c>
      <c r="D4" s="31" t="s">
        <v>48</v>
      </c>
      <c r="E4" s="31" t="s">
        <v>25</v>
      </c>
      <c r="F4" s="31" t="s">
        <v>25</v>
      </c>
      <c r="G4" s="31" t="s">
        <v>54</v>
      </c>
      <c r="H4" s="31" t="s">
        <v>25</v>
      </c>
      <c r="I4" s="31" t="s">
        <v>25</v>
      </c>
      <c r="J4" s="31" t="s">
        <v>609</v>
      </c>
      <c r="K4" s="31" t="s">
        <v>610</v>
      </c>
      <c r="L4" s="31" t="s">
        <v>82</v>
      </c>
      <c r="M4" s="31">
        <v>2021</v>
      </c>
      <c r="N4" s="31">
        <v>0</v>
      </c>
      <c r="O4" s="31">
        <v>11.28</v>
      </c>
      <c r="P4" s="31">
        <v>0</v>
      </c>
    </row>
    <row r="5" spans="1:50" ht="11.25" customHeight="1" x14ac:dyDescent="0.25">
      <c r="A5" s="31">
        <v>4</v>
      </c>
      <c r="B5" s="31" t="s">
        <v>464</v>
      </c>
      <c r="C5" s="31" t="s">
        <v>35</v>
      </c>
      <c r="D5" s="31" t="s">
        <v>36</v>
      </c>
      <c r="E5" s="31" t="s">
        <v>25</v>
      </c>
      <c r="F5" s="31" t="s">
        <v>25</v>
      </c>
      <c r="G5" s="31" t="s">
        <v>54</v>
      </c>
      <c r="H5" s="31" t="s">
        <v>25</v>
      </c>
      <c r="I5" s="31" t="s">
        <v>37</v>
      </c>
      <c r="J5" s="31" t="s">
        <v>609</v>
      </c>
      <c r="K5" s="31" t="s">
        <v>610</v>
      </c>
      <c r="L5" s="31" t="s">
        <v>82</v>
      </c>
      <c r="M5" s="31">
        <v>2021</v>
      </c>
      <c r="N5" s="31">
        <v>0</v>
      </c>
      <c r="O5" s="31">
        <v>1366.23</v>
      </c>
      <c r="P5" s="31">
        <v>0</v>
      </c>
    </row>
    <row r="6" spans="1:50" ht="11.25" customHeight="1" x14ac:dyDescent="0.25">
      <c r="A6" s="31">
        <v>5</v>
      </c>
      <c r="B6" s="31" t="s">
        <v>464</v>
      </c>
      <c r="C6" s="31" t="s">
        <v>35</v>
      </c>
      <c r="D6" s="31" t="s">
        <v>36</v>
      </c>
      <c r="E6" s="31" t="s">
        <v>25</v>
      </c>
      <c r="F6" s="31" t="s">
        <v>25</v>
      </c>
      <c r="G6" s="31" t="s">
        <v>54</v>
      </c>
      <c r="H6" s="31" t="s">
        <v>25</v>
      </c>
      <c r="I6" s="31" t="s">
        <v>38</v>
      </c>
      <c r="J6" s="31" t="s">
        <v>609</v>
      </c>
      <c r="K6" s="31" t="s">
        <v>610</v>
      </c>
      <c r="L6" s="31" t="s">
        <v>82</v>
      </c>
      <c r="M6" s="31">
        <v>2021</v>
      </c>
      <c r="N6" s="31">
        <v>0</v>
      </c>
      <c r="O6" s="31">
        <v>11.28</v>
      </c>
      <c r="P6" s="31">
        <v>0</v>
      </c>
    </row>
    <row r="7" spans="1:50" ht="11.25" customHeight="1" x14ac:dyDescent="0.25">
      <c r="A7" s="31">
        <v>6</v>
      </c>
      <c r="B7" s="31" t="s">
        <v>464</v>
      </c>
      <c r="C7" s="31" t="s">
        <v>35</v>
      </c>
      <c r="D7" s="31" t="s">
        <v>56</v>
      </c>
      <c r="E7" s="31" t="s">
        <v>25</v>
      </c>
      <c r="F7" s="31" t="s">
        <v>25</v>
      </c>
      <c r="G7" s="31" t="s">
        <v>25</v>
      </c>
      <c r="H7" s="31" t="s">
        <v>58</v>
      </c>
      <c r="I7" s="31" t="s">
        <v>38</v>
      </c>
      <c r="J7" s="31" t="s">
        <v>611</v>
      </c>
      <c r="K7" s="31" t="s">
        <v>610</v>
      </c>
      <c r="L7" s="31" t="s">
        <v>88</v>
      </c>
      <c r="M7" s="31">
        <v>2021</v>
      </c>
      <c r="N7" s="31">
        <v>0</v>
      </c>
      <c r="O7" s="31">
        <v>14.44</v>
      </c>
      <c r="P7" s="31">
        <v>0</v>
      </c>
    </row>
    <row r="8" spans="1:50" ht="11.25" customHeight="1" x14ac:dyDescent="0.25">
      <c r="A8" s="31">
        <v>7</v>
      </c>
      <c r="B8" s="31" t="s">
        <v>464</v>
      </c>
      <c r="C8" s="31" t="s">
        <v>92</v>
      </c>
      <c r="D8" s="31" t="s">
        <v>60</v>
      </c>
      <c r="E8" s="31" t="s">
        <v>25</v>
      </c>
      <c r="F8" s="31" t="s">
        <v>25</v>
      </c>
      <c r="G8" s="31" t="s">
        <v>93</v>
      </c>
      <c r="H8" s="31" t="s">
        <v>25</v>
      </c>
      <c r="I8" s="31" t="s">
        <v>25</v>
      </c>
      <c r="J8" s="31" t="s">
        <v>611</v>
      </c>
      <c r="K8" s="31" t="s">
        <v>610</v>
      </c>
      <c r="L8" s="31" t="s">
        <v>88</v>
      </c>
      <c r="M8" s="31">
        <v>2021</v>
      </c>
      <c r="N8" s="31">
        <v>0</v>
      </c>
      <c r="O8" s="31">
        <v>4.83</v>
      </c>
      <c r="P8" s="31">
        <v>0</v>
      </c>
    </row>
    <row r="9" spans="1:50" ht="11.25" customHeight="1" x14ac:dyDescent="0.25">
      <c r="A9" s="31">
        <v>8</v>
      </c>
      <c r="B9" s="31" t="s">
        <v>464</v>
      </c>
      <c r="C9" s="31" t="s">
        <v>35</v>
      </c>
      <c r="D9" s="31" t="s">
        <v>48</v>
      </c>
      <c r="E9" s="31" t="s">
        <v>25</v>
      </c>
      <c r="F9" s="31" t="s">
        <v>25</v>
      </c>
      <c r="G9" s="31" t="s">
        <v>25</v>
      </c>
      <c r="H9" s="31" t="s">
        <v>25</v>
      </c>
      <c r="I9" s="31" t="s">
        <v>37</v>
      </c>
      <c r="J9" s="31" t="s">
        <v>611</v>
      </c>
      <c r="K9" s="31" t="s">
        <v>610</v>
      </c>
      <c r="L9" s="31" t="s">
        <v>88</v>
      </c>
      <c r="M9" s="31">
        <v>2021</v>
      </c>
      <c r="N9" s="31">
        <v>0</v>
      </c>
      <c r="O9" s="31">
        <v>56.33</v>
      </c>
      <c r="P9" s="31">
        <v>0</v>
      </c>
    </row>
    <row r="10" spans="1:50" ht="11.25" customHeight="1" x14ac:dyDescent="0.25">
      <c r="A10" s="31">
        <v>9</v>
      </c>
      <c r="B10" s="31" t="s">
        <v>464</v>
      </c>
      <c r="C10" s="31" t="s">
        <v>35</v>
      </c>
      <c r="D10" s="31" t="s">
        <v>36</v>
      </c>
      <c r="E10" s="31" t="s">
        <v>25</v>
      </c>
      <c r="F10" s="31" t="s">
        <v>25</v>
      </c>
      <c r="G10" s="31" t="s">
        <v>25</v>
      </c>
      <c r="H10" s="31" t="s">
        <v>25</v>
      </c>
      <c r="I10" s="31" t="s">
        <v>25</v>
      </c>
      <c r="J10" s="31" t="s">
        <v>611</v>
      </c>
      <c r="K10" s="31" t="s">
        <v>610</v>
      </c>
      <c r="L10" s="31" t="s">
        <v>88</v>
      </c>
      <c r="M10" s="31">
        <v>2021</v>
      </c>
      <c r="N10" s="31">
        <v>0</v>
      </c>
      <c r="O10" s="31">
        <v>18.149999999999999</v>
      </c>
      <c r="P10" s="31">
        <v>0</v>
      </c>
    </row>
    <row r="11" spans="1:50" ht="11.25" customHeight="1" x14ac:dyDescent="0.25">
      <c r="A11" s="31">
        <v>10</v>
      </c>
      <c r="B11" s="31" t="s">
        <v>464</v>
      </c>
      <c r="C11" s="31" t="s">
        <v>35</v>
      </c>
      <c r="D11" s="31" t="s">
        <v>36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37</v>
      </c>
      <c r="J11" s="31" t="s">
        <v>609</v>
      </c>
      <c r="K11" s="31" t="s">
        <v>610</v>
      </c>
      <c r="L11" s="31" t="s">
        <v>82</v>
      </c>
      <c r="M11" s="31">
        <v>2021</v>
      </c>
      <c r="N11" s="31">
        <v>0</v>
      </c>
      <c r="O11" s="31">
        <v>1426.09</v>
      </c>
      <c r="P11" s="31">
        <v>50.783213720835498</v>
      </c>
    </row>
    <row r="12" spans="1:50" ht="11.25" customHeight="1" x14ac:dyDescent="0.25">
      <c r="A12" s="31">
        <v>11</v>
      </c>
      <c r="B12" s="31" t="s">
        <v>464</v>
      </c>
      <c r="C12" s="31" t="s">
        <v>35</v>
      </c>
      <c r="D12" s="31" t="s">
        <v>48</v>
      </c>
      <c r="E12" s="31" t="s">
        <v>25</v>
      </c>
      <c r="F12" s="31" t="s">
        <v>25</v>
      </c>
      <c r="G12" s="31" t="s">
        <v>25</v>
      </c>
      <c r="H12" s="31" t="s">
        <v>25</v>
      </c>
      <c r="I12" s="31" t="s">
        <v>38</v>
      </c>
      <c r="J12" s="31" t="s">
        <v>611</v>
      </c>
      <c r="K12" s="31" t="s">
        <v>610</v>
      </c>
      <c r="L12" s="31" t="s">
        <v>88</v>
      </c>
      <c r="M12" s="31">
        <v>2021</v>
      </c>
      <c r="N12" s="31">
        <v>0</v>
      </c>
      <c r="O12" s="31">
        <v>18.149999999999999</v>
      </c>
      <c r="P12" s="31">
        <v>0</v>
      </c>
    </row>
    <row r="13" spans="1:50" ht="11.25" customHeight="1" x14ac:dyDescent="0.25">
      <c r="A13" s="31">
        <v>12</v>
      </c>
      <c r="B13" s="31" t="s">
        <v>464</v>
      </c>
      <c r="C13" s="31" t="s">
        <v>92</v>
      </c>
      <c r="D13" s="31" t="s">
        <v>60</v>
      </c>
      <c r="E13" s="31" t="s">
        <v>25</v>
      </c>
      <c r="F13" s="31" t="s">
        <v>25</v>
      </c>
      <c r="G13" s="31" t="s">
        <v>94</v>
      </c>
      <c r="H13" s="31" t="s">
        <v>25</v>
      </c>
      <c r="I13" s="31" t="s">
        <v>25</v>
      </c>
      <c r="J13" s="31" t="s">
        <v>611</v>
      </c>
      <c r="K13" s="31" t="s">
        <v>610</v>
      </c>
      <c r="L13" s="31" t="s">
        <v>88</v>
      </c>
      <c r="M13" s="31">
        <v>2021</v>
      </c>
      <c r="N13" s="31">
        <v>0</v>
      </c>
      <c r="O13" s="31">
        <v>9.82</v>
      </c>
      <c r="P13" s="31">
        <v>0</v>
      </c>
    </row>
    <row r="14" spans="1:50" ht="11.25" customHeight="1" x14ac:dyDescent="0.25">
      <c r="A14" s="31">
        <v>13</v>
      </c>
      <c r="B14" s="31" t="s">
        <v>464</v>
      </c>
      <c r="C14" s="31" t="s">
        <v>35</v>
      </c>
      <c r="D14" s="31" t="s">
        <v>36</v>
      </c>
      <c r="E14" s="31" t="s">
        <v>25</v>
      </c>
      <c r="F14" s="31" t="s">
        <v>25</v>
      </c>
      <c r="G14" s="31" t="s">
        <v>25</v>
      </c>
      <c r="H14" s="31" t="s">
        <v>25</v>
      </c>
      <c r="I14" s="31" t="s">
        <v>38</v>
      </c>
      <c r="J14" s="31" t="s">
        <v>609</v>
      </c>
      <c r="K14" s="31" t="s">
        <v>610</v>
      </c>
      <c r="L14" s="31" t="s">
        <v>82</v>
      </c>
      <c r="M14" s="31">
        <v>2021</v>
      </c>
      <c r="N14" s="31">
        <v>0</v>
      </c>
      <c r="O14" s="31">
        <v>71.14</v>
      </c>
      <c r="P14" s="31">
        <v>50.783213720835498</v>
      </c>
    </row>
    <row r="15" spans="1:50" ht="11.25" customHeight="1" x14ac:dyDescent="0.25">
      <c r="A15" s="31">
        <v>14</v>
      </c>
      <c r="B15" s="31" t="s">
        <v>464</v>
      </c>
      <c r="C15" s="31" t="s">
        <v>35</v>
      </c>
      <c r="D15" s="31" t="s">
        <v>48</v>
      </c>
      <c r="E15" s="31" t="s">
        <v>25</v>
      </c>
      <c r="F15" s="31" t="s">
        <v>25</v>
      </c>
      <c r="G15" s="31" t="s">
        <v>25</v>
      </c>
      <c r="H15" s="31" t="s">
        <v>25</v>
      </c>
      <c r="I15" s="31" t="s">
        <v>25</v>
      </c>
      <c r="J15" s="31" t="s">
        <v>609</v>
      </c>
      <c r="K15" s="31" t="s">
        <v>610</v>
      </c>
      <c r="L15" s="31" t="s">
        <v>82</v>
      </c>
      <c r="M15" s="31">
        <v>2021</v>
      </c>
      <c r="N15" s="31">
        <v>0</v>
      </c>
      <c r="O15" s="31">
        <v>71.14</v>
      </c>
      <c r="P15" s="31">
        <v>50.783213720835498</v>
      </c>
    </row>
    <row r="16" spans="1:50" ht="11.25" customHeight="1" x14ac:dyDescent="0.25">
      <c r="A16" s="31">
        <v>15</v>
      </c>
      <c r="B16" s="31" t="s">
        <v>464</v>
      </c>
      <c r="C16" s="31" t="s">
        <v>35</v>
      </c>
      <c r="D16" s="31" t="s">
        <v>56</v>
      </c>
      <c r="E16" s="31" t="s">
        <v>25</v>
      </c>
      <c r="F16" s="31" t="s">
        <v>25</v>
      </c>
      <c r="G16" s="31" t="s">
        <v>25</v>
      </c>
      <c r="H16" s="31" t="s">
        <v>58</v>
      </c>
      <c r="I16" s="31" t="s">
        <v>37</v>
      </c>
      <c r="J16" s="31" t="s">
        <v>611</v>
      </c>
      <c r="K16" s="31" t="s">
        <v>610</v>
      </c>
      <c r="L16" s="31" t="s">
        <v>88</v>
      </c>
      <c r="M16" s="31">
        <v>2021</v>
      </c>
      <c r="N16" s="31">
        <v>0</v>
      </c>
      <c r="O16" s="31">
        <v>43.03</v>
      </c>
      <c r="P16" s="31">
        <v>0</v>
      </c>
    </row>
    <row r="17" spans="1:16" ht="11.25" customHeight="1" x14ac:dyDescent="0.25">
      <c r="A17" s="31">
        <v>16</v>
      </c>
      <c r="B17" s="31" t="s">
        <v>464</v>
      </c>
      <c r="C17" s="31" t="s">
        <v>35</v>
      </c>
      <c r="D17" s="31" t="s">
        <v>60</v>
      </c>
      <c r="E17" s="31" t="s">
        <v>25</v>
      </c>
      <c r="F17" s="31" t="s">
        <v>25</v>
      </c>
      <c r="G17" s="31" t="s">
        <v>25</v>
      </c>
      <c r="H17" s="31" t="s">
        <v>25</v>
      </c>
      <c r="I17" s="31" t="s">
        <v>25</v>
      </c>
      <c r="J17" s="31" t="s">
        <v>611</v>
      </c>
      <c r="K17" s="31" t="s">
        <v>610</v>
      </c>
      <c r="L17" s="31" t="s">
        <v>88</v>
      </c>
      <c r="M17" s="31">
        <v>2021</v>
      </c>
      <c r="N17" s="31">
        <v>0</v>
      </c>
      <c r="O17" s="31">
        <v>3.52</v>
      </c>
      <c r="P17" s="31">
        <v>0</v>
      </c>
    </row>
    <row r="18" spans="1:16" ht="11.25" customHeight="1" x14ac:dyDescent="0.25">
      <c r="A18" s="31">
        <v>17</v>
      </c>
      <c r="B18" s="31" t="s">
        <v>464</v>
      </c>
      <c r="C18" s="31" t="s">
        <v>22</v>
      </c>
      <c r="D18" s="31" t="s">
        <v>23</v>
      </c>
      <c r="E18" s="31" t="s">
        <v>24</v>
      </c>
      <c r="F18" s="31" t="s">
        <v>30</v>
      </c>
      <c r="G18" s="31" t="s">
        <v>25</v>
      </c>
      <c r="H18" s="31" t="s">
        <v>25</v>
      </c>
      <c r="I18" s="31" t="s">
        <v>25</v>
      </c>
      <c r="J18" s="31" t="s">
        <v>609</v>
      </c>
      <c r="K18" s="31" t="s">
        <v>610</v>
      </c>
      <c r="L18" s="31" t="s">
        <v>82</v>
      </c>
      <c r="M18" s="31">
        <v>2021</v>
      </c>
      <c r="N18" s="31">
        <v>0</v>
      </c>
      <c r="O18" s="31">
        <v>147.12</v>
      </c>
      <c r="P18" s="31">
        <v>0</v>
      </c>
    </row>
    <row r="19" spans="1:16" ht="11.25" customHeight="1" x14ac:dyDescent="0.25">
      <c r="A19" s="31">
        <v>18</v>
      </c>
      <c r="B19" s="31" t="s">
        <v>464</v>
      </c>
      <c r="C19" s="31" t="s">
        <v>22</v>
      </c>
      <c r="D19" s="31" t="s">
        <v>23</v>
      </c>
      <c r="E19" s="31" t="s">
        <v>24</v>
      </c>
      <c r="F19" s="31" t="s">
        <v>31</v>
      </c>
      <c r="G19" s="31" t="s">
        <v>25</v>
      </c>
      <c r="H19" s="31" t="s">
        <v>25</v>
      </c>
      <c r="I19" s="31" t="s">
        <v>25</v>
      </c>
      <c r="J19" s="31" t="s">
        <v>609</v>
      </c>
      <c r="K19" s="31" t="s">
        <v>610</v>
      </c>
      <c r="L19" s="31" t="s">
        <v>82</v>
      </c>
      <c r="M19" s="31">
        <v>2021</v>
      </c>
      <c r="N19" s="31">
        <v>0</v>
      </c>
      <c r="O19" s="31">
        <v>220.68</v>
      </c>
      <c r="P19" s="31">
        <v>0</v>
      </c>
    </row>
    <row r="20" spans="1:16" ht="11.25" customHeight="1" x14ac:dyDescent="0.25">
      <c r="A20" s="31">
        <v>19</v>
      </c>
      <c r="B20" s="31" t="s">
        <v>464</v>
      </c>
      <c r="C20" s="31" t="s">
        <v>22</v>
      </c>
      <c r="D20" s="31" t="s">
        <v>97</v>
      </c>
      <c r="E20" s="31" t="s">
        <v>24</v>
      </c>
      <c r="F20" s="31" t="s">
        <v>24</v>
      </c>
      <c r="G20" s="31" t="s">
        <v>25</v>
      </c>
      <c r="H20" s="31" t="s">
        <v>25</v>
      </c>
      <c r="I20" s="31" t="s">
        <v>38</v>
      </c>
      <c r="J20" s="31" t="s">
        <v>609</v>
      </c>
      <c r="K20" s="31" t="s">
        <v>610</v>
      </c>
      <c r="L20" s="31" t="s">
        <v>82</v>
      </c>
      <c r="M20" s="31">
        <v>2021</v>
      </c>
      <c r="N20" s="31">
        <v>0</v>
      </c>
      <c r="O20" s="31">
        <v>212.87</v>
      </c>
      <c r="P20" s="31">
        <v>58.371510023948801</v>
      </c>
    </row>
    <row r="21" spans="1:16" ht="11.25" customHeight="1" x14ac:dyDescent="0.25">
      <c r="A21" s="31">
        <v>20</v>
      </c>
      <c r="B21" s="31" t="s">
        <v>464</v>
      </c>
      <c r="C21" s="31" t="s">
        <v>40</v>
      </c>
      <c r="D21" s="31" t="s">
        <v>97</v>
      </c>
      <c r="E21" s="31" t="s">
        <v>41</v>
      </c>
      <c r="F21" s="31" t="s">
        <v>25</v>
      </c>
      <c r="G21" s="31" t="s">
        <v>25</v>
      </c>
      <c r="H21" s="31" t="s">
        <v>25</v>
      </c>
      <c r="I21" s="31" t="s">
        <v>38</v>
      </c>
      <c r="J21" s="31" t="s">
        <v>609</v>
      </c>
      <c r="K21" s="31" t="s">
        <v>610</v>
      </c>
      <c r="L21" s="31" t="s">
        <v>82</v>
      </c>
      <c r="M21" s="31">
        <v>2021</v>
      </c>
      <c r="N21" s="31">
        <v>0</v>
      </c>
      <c r="O21" s="31">
        <v>202.37</v>
      </c>
      <c r="P21" s="31">
        <v>51.366928821075</v>
      </c>
    </row>
    <row r="22" spans="1:16" ht="11.25" customHeight="1" x14ac:dyDescent="0.25">
      <c r="A22" s="31">
        <v>21</v>
      </c>
      <c r="B22" s="31" t="s">
        <v>464</v>
      </c>
      <c r="C22" s="31" t="s">
        <v>22</v>
      </c>
      <c r="D22" s="31" t="s">
        <v>23</v>
      </c>
      <c r="E22" s="31" t="s">
        <v>24</v>
      </c>
      <c r="F22" s="31" t="s">
        <v>29</v>
      </c>
      <c r="G22" s="31" t="s">
        <v>25</v>
      </c>
      <c r="H22" s="31" t="s">
        <v>25</v>
      </c>
      <c r="I22" s="31" t="s">
        <v>25</v>
      </c>
      <c r="J22" s="31" t="s">
        <v>609</v>
      </c>
      <c r="K22" s="31" t="s">
        <v>610</v>
      </c>
      <c r="L22" s="31" t="s">
        <v>82</v>
      </c>
      <c r="M22" s="31">
        <v>2021</v>
      </c>
      <c r="N22" s="31">
        <v>0</v>
      </c>
      <c r="O22" s="31">
        <v>85.82</v>
      </c>
      <c r="P22" s="31">
        <v>0</v>
      </c>
    </row>
    <row r="23" spans="1:16" ht="11.25" customHeight="1" x14ac:dyDescent="0.25">
      <c r="A23" s="31">
        <v>22</v>
      </c>
      <c r="B23" s="31" t="s">
        <v>464</v>
      </c>
      <c r="C23" s="31" t="s">
        <v>40</v>
      </c>
      <c r="D23" s="31" t="s">
        <v>97</v>
      </c>
      <c r="E23" s="31" t="s">
        <v>41</v>
      </c>
      <c r="F23" s="31" t="s">
        <v>100</v>
      </c>
      <c r="G23" s="31" t="s">
        <v>25</v>
      </c>
      <c r="H23" s="31" t="s">
        <v>25</v>
      </c>
      <c r="I23" s="31" t="s">
        <v>612</v>
      </c>
      <c r="J23" s="31" t="s">
        <v>609</v>
      </c>
      <c r="K23" s="31" t="s">
        <v>610</v>
      </c>
      <c r="L23" s="31" t="s">
        <v>82</v>
      </c>
      <c r="M23" s="31">
        <v>2021</v>
      </c>
      <c r="N23" s="31">
        <v>0</v>
      </c>
      <c r="O23" s="31">
        <v>438.83</v>
      </c>
      <c r="P23" s="31">
        <v>51.366928821075</v>
      </c>
    </row>
    <row r="24" spans="1:16" ht="11.25" customHeight="1" x14ac:dyDescent="0.25">
      <c r="A24" s="31">
        <v>23</v>
      </c>
      <c r="B24" s="31" t="s">
        <v>464</v>
      </c>
      <c r="C24" s="31" t="s">
        <v>22</v>
      </c>
      <c r="D24" s="31" t="s">
        <v>23</v>
      </c>
      <c r="E24" s="31" t="s">
        <v>24</v>
      </c>
      <c r="F24" s="31" t="s">
        <v>24</v>
      </c>
      <c r="G24" s="31" t="s">
        <v>25</v>
      </c>
      <c r="H24" s="31" t="s">
        <v>25</v>
      </c>
      <c r="I24" s="31" t="s">
        <v>25</v>
      </c>
      <c r="J24" s="31" t="s">
        <v>609</v>
      </c>
      <c r="K24" s="31" t="s">
        <v>610</v>
      </c>
      <c r="L24" s="31" t="s">
        <v>82</v>
      </c>
      <c r="M24" s="31">
        <v>2021</v>
      </c>
      <c r="N24" s="31">
        <v>0</v>
      </c>
      <c r="O24" s="31">
        <v>312.64999999999998</v>
      </c>
      <c r="P24" s="31">
        <v>58.371510023948801</v>
      </c>
    </row>
    <row r="25" spans="1:16" ht="11.25" customHeight="1" x14ac:dyDescent="0.25">
      <c r="A25" s="31">
        <v>24</v>
      </c>
      <c r="B25" s="31" t="s">
        <v>464</v>
      </c>
      <c r="C25" s="31" t="s">
        <v>40</v>
      </c>
      <c r="D25" s="31" t="s">
        <v>23</v>
      </c>
      <c r="E25" s="31" t="s">
        <v>41</v>
      </c>
      <c r="F25" s="31" t="s">
        <v>25</v>
      </c>
      <c r="G25" s="31" t="s">
        <v>25</v>
      </c>
      <c r="H25" s="31" t="s">
        <v>25</v>
      </c>
      <c r="I25" s="31" t="s">
        <v>25</v>
      </c>
      <c r="J25" s="31" t="s">
        <v>609</v>
      </c>
      <c r="K25" s="31" t="s">
        <v>610</v>
      </c>
      <c r="L25" s="31" t="s">
        <v>82</v>
      </c>
      <c r="M25" s="31">
        <v>2021</v>
      </c>
      <c r="N25" s="31">
        <v>0</v>
      </c>
      <c r="O25" s="31">
        <v>275.13</v>
      </c>
      <c r="P25" s="31">
        <v>51.366928821075</v>
      </c>
    </row>
    <row r="26" spans="1:16" ht="11.25" customHeight="1" x14ac:dyDescent="0.25">
      <c r="A26" s="31">
        <v>25</v>
      </c>
      <c r="B26" s="31" t="s">
        <v>464</v>
      </c>
      <c r="C26" s="31" t="s">
        <v>40</v>
      </c>
      <c r="D26" s="31" t="s">
        <v>97</v>
      </c>
      <c r="E26" s="31" t="s">
        <v>41</v>
      </c>
      <c r="F26" s="31" t="s">
        <v>25</v>
      </c>
      <c r="G26" s="31" t="s">
        <v>25</v>
      </c>
      <c r="H26" s="31" t="s">
        <v>25</v>
      </c>
      <c r="I26" s="31" t="s">
        <v>37</v>
      </c>
      <c r="J26" s="31" t="s">
        <v>609</v>
      </c>
      <c r="K26" s="31" t="s">
        <v>610</v>
      </c>
      <c r="L26" s="31" t="s">
        <v>82</v>
      </c>
      <c r="M26" s="31">
        <v>2021</v>
      </c>
      <c r="N26" s="31">
        <v>0</v>
      </c>
      <c r="O26" s="31">
        <v>675.32</v>
      </c>
      <c r="P26" s="31">
        <v>51.366928821075</v>
      </c>
    </row>
    <row r="27" spans="1:16" ht="11.25" customHeight="1" x14ac:dyDescent="0.25">
      <c r="A27" s="31">
        <v>26</v>
      </c>
      <c r="B27" s="31" t="s">
        <v>464</v>
      </c>
      <c r="C27" s="31" t="s">
        <v>40</v>
      </c>
      <c r="D27" s="31" t="s">
        <v>99</v>
      </c>
      <c r="E27" s="31" t="s">
        <v>41</v>
      </c>
      <c r="F27" s="31" t="s">
        <v>100</v>
      </c>
      <c r="G27" s="31" t="s">
        <v>25</v>
      </c>
      <c r="H27" s="31" t="s">
        <v>25</v>
      </c>
      <c r="I27" s="31" t="s">
        <v>25</v>
      </c>
      <c r="J27" s="31" t="s">
        <v>609</v>
      </c>
      <c r="K27" s="31" t="s">
        <v>610</v>
      </c>
      <c r="L27" s="31" t="s">
        <v>82</v>
      </c>
      <c r="M27" s="31">
        <v>2021</v>
      </c>
      <c r="N27" s="31">
        <v>0</v>
      </c>
      <c r="O27" s="31">
        <v>275.13</v>
      </c>
      <c r="P27" s="31">
        <v>51.366928821075</v>
      </c>
    </row>
    <row r="28" spans="1:16" ht="11.25" customHeight="1" x14ac:dyDescent="0.25">
      <c r="A28" s="31">
        <v>27</v>
      </c>
      <c r="B28" s="31" t="s">
        <v>464</v>
      </c>
      <c r="C28" s="31" t="s">
        <v>40</v>
      </c>
      <c r="D28" s="31" t="s">
        <v>99</v>
      </c>
      <c r="E28" s="31" t="s">
        <v>41</v>
      </c>
      <c r="F28" s="31" t="s">
        <v>101</v>
      </c>
      <c r="G28" s="31" t="s">
        <v>25</v>
      </c>
      <c r="H28" s="31" t="s">
        <v>25</v>
      </c>
      <c r="I28" s="31" t="s">
        <v>25</v>
      </c>
      <c r="J28" s="31" t="s">
        <v>609</v>
      </c>
      <c r="K28" s="31" t="s">
        <v>610</v>
      </c>
      <c r="L28" s="31" t="s">
        <v>82</v>
      </c>
      <c r="M28" s="31">
        <v>2021</v>
      </c>
      <c r="N28" s="31">
        <v>0</v>
      </c>
      <c r="O28" s="31">
        <v>262.62</v>
      </c>
      <c r="P28" s="31">
        <v>49.032068420117</v>
      </c>
    </row>
    <row r="29" spans="1:16" ht="11.25" customHeight="1" x14ac:dyDescent="0.25">
      <c r="A29" s="31">
        <v>28</v>
      </c>
      <c r="B29" s="31" t="s">
        <v>464</v>
      </c>
      <c r="C29" s="31" t="s">
        <v>22</v>
      </c>
      <c r="D29" s="31" t="s">
        <v>97</v>
      </c>
      <c r="E29" s="31" t="s">
        <v>24</v>
      </c>
      <c r="F29" s="31" t="s">
        <v>24</v>
      </c>
      <c r="G29" s="31" t="s">
        <v>25</v>
      </c>
      <c r="H29" s="31" t="s">
        <v>25</v>
      </c>
      <c r="I29" s="31" t="s">
        <v>612</v>
      </c>
      <c r="J29" s="31" t="s">
        <v>609</v>
      </c>
      <c r="K29" s="31" t="s">
        <v>610</v>
      </c>
      <c r="L29" s="31" t="s">
        <v>82</v>
      </c>
      <c r="M29" s="31">
        <v>2021</v>
      </c>
      <c r="N29" s="31">
        <v>0</v>
      </c>
      <c r="O29" s="31">
        <v>447.24</v>
      </c>
      <c r="P29" s="31">
        <v>58.371510023948801</v>
      </c>
    </row>
    <row r="30" spans="1:16" ht="11.25" customHeight="1" x14ac:dyDescent="0.25">
      <c r="A30" s="31">
        <v>29</v>
      </c>
      <c r="B30" s="31" t="s">
        <v>464</v>
      </c>
      <c r="C30" s="31" t="s">
        <v>40</v>
      </c>
      <c r="D30" s="31" t="s">
        <v>97</v>
      </c>
      <c r="E30" s="31" t="s">
        <v>41</v>
      </c>
      <c r="F30" s="31" t="s">
        <v>25</v>
      </c>
      <c r="G30" s="31" t="s">
        <v>25</v>
      </c>
      <c r="H30" s="31" t="s">
        <v>25</v>
      </c>
      <c r="I30" s="31" t="s">
        <v>612</v>
      </c>
      <c r="J30" s="31" t="s">
        <v>609</v>
      </c>
      <c r="K30" s="31" t="s">
        <v>610</v>
      </c>
      <c r="L30" s="31" t="s">
        <v>82</v>
      </c>
      <c r="M30" s="31">
        <v>2021</v>
      </c>
      <c r="N30" s="31">
        <v>0</v>
      </c>
      <c r="O30" s="31">
        <v>438.83</v>
      </c>
      <c r="P30" s="31">
        <v>51.366928821075</v>
      </c>
    </row>
    <row r="31" spans="1:16" ht="11.25" customHeight="1" x14ac:dyDescent="0.25">
      <c r="A31" s="31">
        <v>30</v>
      </c>
      <c r="B31" s="31" t="s">
        <v>464</v>
      </c>
      <c r="C31" s="31" t="s">
        <v>40</v>
      </c>
      <c r="D31" s="31" t="s">
        <v>97</v>
      </c>
      <c r="E31" s="31" t="s">
        <v>41</v>
      </c>
      <c r="F31" s="31" t="s">
        <v>100</v>
      </c>
      <c r="G31" s="31" t="s">
        <v>25</v>
      </c>
      <c r="H31" s="31" t="s">
        <v>25</v>
      </c>
      <c r="I31" s="31" t="s">
        <v>37</v>
      </c>
      <c r="J31" s="31" t="s">
        <v>609</v>
      </c>
      <c r="K31" s="31" t="s">
        <v>610</v>
      </c>
      <c r="L31" s="31" t="s">
        <v>82</v>
      </c>
      <c r="M31" s="31">
        <v>2021</v>
      </c>
      <c r="N31" s="31">
        <v>0</v>
      </c>
      <c r="O31" s="31">
        <v>675.32</v>
      </c>
      <c r="P31" s="31">
        <v>51.366928821075</v>
      </c>
    </row>
    <row r="32" spans="1:16" ht="11.25" customHeight="1" x14ac:dyDescent="0.25">
      <c r="A32" s="31">
        <v>31</v>
      </c>
      <c r="B32" s="31" t="s">
        <v>464</v>
      </c>
      <c r="C32" s="31" t="s">
        <v>40</v>
      </c>
      <c r="D32" s="31" t="s">
        <v>97</v>
      </c>
      <c r="E32" s="31" t="s">
        <v>41</v>
      </c>
      <c r="F32" s="31" t="s">
        <v>100</v>
      </c>
      <c r="G32" s="31" t="s">
        <v>25</v>
      </c>
      <c r="H32" s="31" t="s">
        <v>25</v>
      </c>
      <c r="I32" s="31" t="s">
        <v>38</v>
      </c>
      <c r="J32" s="31" t="s">
        <v>609</v>
      </c>
      <c r="K32" s="31" t="s">
        <v>610</v>
      </c>
      <c r="L32" s="31" t="s">
        <v>82</v>
      </c>
      <c r="M32" s="31">
        <v>2021</v>
      </c>
      <c r="N32" s="31">
        <v>0</v>
      </c>
      <c r="O32" s="31">
        <v>202.37</v>
      </c>
      <c r="P32" s="31">
        <v>51.366928821075</v>
      </c>
    </row>
    <row r="33" spans="1:16" ht="11.25" customHeight="1" x14ac:dyDescent="0.25">
      <c r="A33" s="31">
        <v>32</v>
      </c>
      <c r="B33" s="31" t="s">
        <v>464</v>
      </c>
      <c r="C33" s="31" t="s">
        <v>33</v>
      </c>
      <c r="D33" s="31" t="s">
        <v>99</v>
      </c>
      <c r="E33" s="31" t="s">
        <v>25</v>
      </c>
      <c r="F33" s="31" t="s">
        <v>25</v>
      </c>
      <c r="G33" s="31" t="s">
        <v>25</v>
      </c>
      <c r="H33" s="31" t="s">
        <v>25</v>
      </c>
      <c r="I33" s="31" t="s">
        <v>25</v>
      </c>
      <c r="J33" s="31" t="s">
        <v>609</v>
      </c>
      <c r="K33" s="31" t="s">
        <v>610</v>
      </c>
      <c r="L33" s="31" t="s">
        <v>82</v>
      </c>
      <c r="M33" s="31">
        <v>2021</v>
      </c>
      <c r="N33" s="31">
        <v>0</v>
      </c>
      <c r="O33" s="31">
        <v>312.64999999999998</v>
      </c>
      <c r="P33" s="31">
        <v>58.371510023948801</v>
      </c>
    </row>
    <row r="34" spans="1:16" ht="11.25" customHeight="1" x14ac:dyDescent="0.25">
      <c r="A34" s="31">
        <v>33</v>
      </c>
      <c r="B34" s="31" t="s">
        <v>464</v>
      </c>
      <c r="C34" s="31" t="s">
        <v>43</v>
      </c>
      <c r="D34" s="31" t="s">
        <v>23</v>
      </c>
      <c r="E34" s="31" t="s">
        <v>44</v>
      </c>
      <c r="F34" s="31" t="s">
        <v>45</v>
      </c>
      <c r="G34" s="31" t="s">
        <v>25</v>
      </c>
      <c r="H34" s="31" t="s">
        <v>25</v>
      </c>
      <c r="I34" s="31" t="s">
        <v>25</v>
      </c>
      <c r="J34" s="31" t="s">
        <v>609</v>
      </c>
      <c r="K34" s="31" t="s">
        <v>610</v>
      </c>
      <c r="L34" s="31" t="s">
        <v>82</v>
      </c>
      <c r="M34" s="31">
        <v>2021</v>
      </c>
      <c r="N34" s="31">
        <v>0</v>
      </c>
      <c r="O34" s="31">
        <v>171.96</v>
      </c>
      <c r="P34" s="31">
        <v>32.104330513171902</v>
      </c>
    </row>
    <row r="35" spans="1:16" ht="11.25" customHeight="1" x14ac:dyDescent="0.25">
      <c r="A35" s="31">
        <v>34</v>
      </c>
      <c r="B35" s="31" t="s">
        <v>492</v>
      </c>
      <c r="C35" s="31" t="s">
        <v>22</v>
      </c>
      <c r="D35" s="31" t="s">
        <v>81</v>
      </c>
      <c r="E35" s="31" t="s">
        <v>24</v>
      </c>
      <c r="F35" s="31" t="s">
        <v>24</v>
      </c>
      <c r="G35" s="31" t="s">
        <v>25</v>
      </c>
      <c r="H35" s="31" t="s">
        <v>25</v>
      </c>
      <c r="I35" s="31" t="s">
        <v>612</v>
      </c>
      <c r="J35" s="31" t="s">
        <v>609</v>
      </c>
      <c r="K35" s="31" t="s">
        <v>610</v>
      </c>
      <c r="L35" s="31" t="s">
        <v>82</v>
      </c>
      <c r="M35" s="31">
        <v>2021</v>
      </c>
      <c r="N35" s="31">
        <v>0</v>
      </c>
      <c r="O35" s="31">
        <v>249.25</v>
      </c>
      <c r="P35" s="31"/>
    </row>
    <row r="36" spans="1:16" ht="11.25" customHeight="1" x14ac:dyDescent="0.25">
      <c r="A36" s="31">
        <v>35</v>
      </c>
      <c r="B36" s="31" t="s">
        <v>464</v>
      </c>
      <c r="C36" s="31" t="s">
        <v>33</v>
      </c>
      <c r="D36" s="31" t="s">
        <v>23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25</v>
      </c>
      <c r="J36" s="31" t="s">
        <v>609</v>
      </c>
      <c r="K36" s="31" t="s">
        <v>610</v>
      </c>
      <c r="L36" s="31" t="s">
        <v>82</v>
      </c>
      <c r="M36" s="31">
        <v>2021</v>
      </c>
      <c r="N36" s="31">
        <v>0</v>
      </c>
      <c r="O36" s="31">
        <v>312.64999999999998</v>
      </c>
      <c r="P36" s="31">
        <v>58.371510023948801</v>
      </c>
    </row>
    <row r="37" spans="1:16" ht="11.25" customHeight="1" x14ac:dyDescent="0.25">
      <c r="A37" s="31">
        <v>36</v>
      </c>
      <c r="B37" s="31" t="s">
        <v>492</v>
      </c>
      <c r="C37" s="31" t="s">
        <v>22</v>
      </c>
      <c r="D37" s="31" t="s">
        <v>96</v>
      </c>
      <c r="E37" s="31" t="s">
        <v>24</v>
      </c>
      <c r="F37" s="31" t="s">
        <v>29</v>
      </c>
      <c r="G37" s="31" t="s">
        <v>25</v>
      </c>
      <c r="H37" s="31" t="s">
        <v>25</v>
      </c>
      <c r="I37" s="31" t="s">
        <v>25</v>
      </c>
      <c r="J37" s="31" t="s">
        <v>609</v>
      </c>
      <c r="K37" s="31" t="s">
        <v>610</v>
      </c>
      <c r="L37" s="31" t="s">
        <v>82</v>
      </c>
      <c r="M37" s="31">
        <v>2021</v>
      </c>
      <c r="N37" s="31">
        <v>0</v>
      </c>
      <c r="O37" s="31">
        <v>87.24</v>
      </c>
      <c r="P37" s="31"/>
    </row>
    <row r="38" spans="1:16" ht="11.25" customHeight="1" x14ac:dyDescent="0.25">
      <c r="A38" s="31">
        <v>37</v>
      </c>
      <c r="B38" s="31" t="s">
        <v>464</v>
      </c>
      <c r="C38" s="31" t="s">
        <v>22</v>
      </c>
      <c r="D38" s="31" t="s">
        <v>99</v>
      </c>
      <c r="E38" s="31" t="s">
        <v>24</v>
      </c>
      <c r="F38" s="31" t="s">
        <v>32</v>
      </c>
      <c r="G38" s="31" t="s">
        <v>25</v>
      </c>
      <c r="H38" s="31" t="s">
        <v>25</v>
      </c>
      <c r="I38" s="31" t="s">
        <v>25</v>
      </c>
      <c r="J38" s="31" t="s">
        <v>609</v>
      </c>
      <c r="K38" s="31" t="s">
        <v>610</v>
      </c>
      <c r="L38" s="31" t="s">
        <v>82</v>
      </c>
      <c r="M38" s="31">
        <v>2021</v>
      </c>
      <c r="N38" s="31">
        <v>0</v>
      </c>
      <c r="O38" s="31">
        <v>245.2</v>
      </c>
      <c r="P38" s="31">
        <v>0</v>
      </c>
    </row>
    <row r="39" spans="1:16" ht="11.25" customHeight="1" x14ac:dyDescent="0.25">
      <c r="A39" s="31">
        <v>38</v>
      </c>
      <c r="B39" s="31" t="s">
        <v>464</v>
      </c>
      <c r="C39" s="31" t="s">
        <v>40</v>
      </c>
      <c r="D39" s="31" t="s">
        <v>99</v>
      </c>
      <c r="E39" s="31" t="s">
        <v>41</v>
      </c>
      <c r="F39" s="31" t="s">
        <v>25</v>
      </c>
      <c r="G39" s="31" t="s">
        <v>25</v>
      </c>
      <c r="H39" s="31" t="s">
        <v>25</v>
      </c>
      <c r="I39" s="31" t="s">
        <v>25</v>
      </c>
      <c r="J39" s="31" t="s">
        <v>609</v>
      </c>
      <c r="K39" s="31" t="s">
        <v>610</v>
      </c>
      <c r="L39" s="31" t="s">
        <v>82</v>
      </c>
      <c r="M39" s="31">
        <v>2021</v>
      </c>
      <c r="N39" s="31">
        <v>0</v>
      </c>
      <c r="O39" s="31">
        <v>275.13</v>
      </c>
      <c r="P39" s="31">
        <v>51.366928821075</v>
      </c>
    </row>
    <row r="40" spans="1:16" ht="11.25" customHeight="1" x14ac:dyDescent="0.25">
      <c r="A40" s="31">
        <v>39</v>
      </c>
      <c r="B40" s="31" t="s">
        <v>464</v>
      </c>
      <c r="C40" s="31" t="s">
        <v>22</v>
      </c>
      <c r="D40" s="31" t="s">
        <v>99</v>
      </c>
      <c r="E40" s="31" t="s">
        <v>24</v>
      </c>
      <c r="F40" s="31" t="s">
        <v>30</v>
      </c>
      <c r="G40" s="31" t="s">
        <v>25</v>
      </c>
      <c r="H40" s="31" t="s">
        <v>25</v>
      </c>
      <c r="I40" s="31" t="s">
        <v>25</v>
      </c>
      <c r="J40" s="31" t="s">
        <v>609</v>
      </c>
      <c r="K40" s="31" t="s">
        <v>610</v>
      </c>
      <c r="L40" s="31" t="s">
        <v>82</v>
      </c>
      <c r="M40" s="31">
        <v>2021</v>
      </c>
      <c r="N40" s="31">
        <v>0</v>
      </c>
      <c r="O40" s="31">
        <v>147.12</v>
      </c>
      <c r="P40" s="31">
        <v>0</v>
      </c>
    </row>
    <row r="41" spans="1:16" ht="11.25" customHeight="1" x14ac:dyDescent="0.25">
      <c r="A41" s="31">
        <v>40</v>
      </c>
      <c r="B41" s="31" t="s">
        <v>464</v>
      </c>
      <c r="C41" s="31" t="s">
        <v>40</v>
      </c>
      <c r="D41" s="31" t="s">
        <v>23</v>
      </c>
      <c r="E41" s="31" t="s">
        <v>41</v>
      </c>
      <c r="F41" s="31" t="s">
        <v>101</v>
      </c>
      <c r="G41" s="31" t="s">
        <v>25</v>
      </c>
      <c r="H41" s="31" t="s">
        <v>25</v>
      </c>
      <c r="I41" s="31" t="s">
        <v>25</v>
      </c>
      <c r="J41" s="31" t="s">
        <v>609</v>
      </c>
      <c r="K41" s="31" t="s">
        <v>610</v>
      </c>
      <c r="L41" s="31" t="s">
        <v>82</v>
      </c>
      <c r="M41" s="31">
        <v>2021</v>
      </c>
      <c r="N41" s="31">
        <v>0</v>
      </c>
      <c r="O41" s="31">
        <v>262.62</v>
      </c>
      <c r="P41" s="31">
        <v>49.032068420117</v>
      </c>
    </row>
    <row r="42" spans="1:16" ht="11.25" customHeight="1" x14ac:dyDescent="0.25">
      <c r="A42" s="31">
        <v>41</v>
      </c>
      <c r="B42" s="31" t="s">
        <v>464</v>
      </c>
      <c r="C42" s="31" t="s">
        <v>40</v>
      </c>
      <c r="D42" s="31" t="s">
        <v>97</v>
      </c>
      <c r="E42" s="31" t="s">
        <v>41</v>
      </c>
      <c r="F42" s="31" t="s">
        <v>101</v>
      </c>
      <c r="G42" s="31" t="s">
        <v>25</v>
      </c>
      <c r="H42" s="31" t="s">
        <v>25</v>
      </c>
      <c r="I42" s="31" t="s">
        <v>38</v>
      </c>
      <c r="J42" s="31" t="s">
        <v>609</v>
      </c>
      <c r="K42" s="31" t="s">
        <v>610</v>
      </c>
      <c r="L42" s="31" t="s">
        <v>82</v>
      </c>
      <c r="M42" s="31">
        <v>2021</v>
      </c>
      <c r="N42" s="31">
        <v>0</v>
      </c>
      <c r="O42" s="31">
        <v>193.17</v>
      </c>
      <c r="P42" s="31">
        <v>49.032068420117</v>
      </c>
    </row>
    <row r="43" spans="1:16" ht="11.25" customHeight="1" x14ac:dyDescent="0.25">
      <c r="A43" s="31">
        <v>42</v>
      </c>
      <c r="B43" s="31" t="s">
        <v>492</v>
      </c>
      <c r="C43" s="31" t="s">
        <v>22</v>
      </c>
      <c r="D43" s="31" t="s">
        <v>81</v>
      </c>
      <c r="E43" s="31" t="s">
        <v>24</v>
      </c>
      <c r="F43" s="31" t="s">
        <v>24</v>
      </c>
      <c r="G43" s="31" t="s">
        <v>25</v>
      </c>
      <c r="H43" s="31" t="s">
        <v>25</v>
      </c>
      <c r="I43" s="31" t="s">
        <v>37</v>
      </c>
      <c r="J43" s="31" t="s">
        <v>609</v>
      </c>
      <c r="K43" s="31" t="s">
        <v>610</v>
      </c>
      <c r="L43" s="31" t="s">
        <v>82</v>
      </c>
      <c r="M43" s="31">
        <v>2021</v>
      </c>
      <c r="N43" s="31">
        <v>0</v>
      </c>
      <c r="O43" s="31">
        <v>249.25</v>
      </c>
      <c r="P43" s="31"/>
    </row>
    <row r="44" spans="1:16" ht="11.25" customHeight="1" x14ac:dyDescent="0.25">
      <c r="A44" s="31">
        <v>43</v>
      </c>
      <c r="B44" s="31" t="s">
        <v>492</v>
      </c>
      <c r="C44" s="31" t="s">
        <v>40</v>
      </c>
      <c r="D44" s="31" t="s">
        <v>81</v>
      </c>
      <c r="E44" s="31" t="s">
        <v>41</v>
      </c>
      <c r="F44" s="31" t="s">
        <v>25</v>
      </c>
      <c r="G44" s="31" t="s">
        <v>25</v>
      </c>
      <c r="H44" s="31" t="s">
        <v>25</v>
      </c>
      <c r="I44" s="31" t="s">
        <v>37</v>
      </c>
      <c r="J44" s="31" t="s">
        <v>609</v>
      </c>
      <c r="K44" s="31" t="s">
        <v>610</v>
      </c>
      <c r="L44" s="31" t="s">
        <v>82</v>
      </c>
      <c r="M44" s="31">
        <v>2021</v>
      </c>
      <c r="N44" s="31">
        <v>0</v>
      </c>
      <c r="O44" s="31">
        <v>219.34</v>
      </c>
      <c r="P44" s="31"/>
    </row>
    <row r="45" spans="1:16" ht="11.25" customHeight="1" x14ac:dyDescent="0.25">
      <c r="A45" s="31">
        <v>44</v>
      </c>
      <c r="B45" s="31" t="s">
        <v>464</v>
      </c>
      <c r="C45" s="31" t="s">
        <v>22</v>
      </c>
      <c r="D45" s="31" t="s">
        <v>23</v>
      </c>
      <c r="E45" s="31" t="s">
        <v>24</v>
      </c>
      <c r="F45" s="31" t="s">
        <v>32</v>
      </c>
      <c r="G45" s="31" t="s">
        <v>25</v>
      </c>
      <c r="H45" s="31" t="s">
        <v>25</v>
      </c>
      <c r="I45" s="31" t="s">
        <v>25</v>
      </c>
      <c r="J45" s="31" t="s">
        <v>609</v>
      </c>
      <c r="K45" s="31" t="s">
        <v>610</v>
      </c>
      <c r="L45" s="31" t="s">
        <v>82</v>
      </c>
      <c r="M45" s="31">
        <v>2021</v>
      </c>
      <c r="N45" s="31">
        <v>0</v>
      </c>
      <c r="O45" s="31">
        <v>245.2</v>
      </c>
      <c r="P45" s="31">
        <v>0</v>
      </c>
    </row>
    <row r="46" spans="1:16" ht="11.25" customHeight="1" x14ac:dyDescent="0.25">
      <c r="A46" s="31">
        <v>45</v>
      </c>
      <c r="B46" s="31" t="s">
        <v>464</v>
      </c>
      <c r="C46" s="31" t="s">
        <v>40</v>
      </c>
      <c r="D46" s="31" t="s">
        <v>23</v>
      </c>
      <c r="E46" s="31" t="s">
        <v>41</v>
      </c>
      <c r="F46" s="31" t="s">
        <v>100</v>
      </c>
      <c r="G46" s="31" t="s">
        <v>25</v>
      </c>
      <c r="H46" s="31" t="s">
        <v>25</v>
      </c>
      <c r="I46" s="31" t="s">
        <v>25</v>
      </c>
      <c r="J46" s="31" t="s">
        <v>609</v>
      </c>
      <c r="K46" s="31" t="s">
        <v>610</v>
      </c>
      <c r="L46" s="31" t="s">
        <v>82</v>
      </c>
      <c r="M46" s="31">
        <v>2021</v>
      </c>
      <c r="N46" s="31">
        <v>0</v>
      </c>
      <c r="O46" s="31">
        <v>275.13</v>
      </c>
      <c r="P46" s="31">
        <v>51.366928821075</v>
      </c>
    </row>
    <row r="47" spans="1:16" ht="11.25" customHeight="1" x14ac:dyDescent="0.25">
      <c r="A47" s="31">
        <v>46</v>
      </c>
      <c r="B47" s="31" t="s">
        <v>464</v>
      </c>
      <c r="C47" s="31" t="s">
        <v>22</v>
      </c>
      <c r="D47" s="31" t="s">
        <v>99</v>
      </c>
      <c r="E47" s="31" t="s">
        <v>24</v>
      </c>
      <c r="F47" s="31" t="s">
        <v>29</v>
      </c>
      <c r="G47" s="31" t="s">
        <v>25</v>
      </c>
      <c r="H47" s="31" t="s">
        <v>25</v>
      </c>
      <c r="I47" s="31" t="s">
        <v>25</v>
      </c>
      <c r="J47" s="31" t="s">
        <v>609</v>
      </c>
      <c r="K47" s="31" t="s">
        <v>610</v>
      </c>
      <c r="L47" s="31" t="s">
        <v>82</v>
      </c>
      <c r="M47" s="31">
        <v>2021</v>
      </c>
      <c r="N47" s="31">
        <v>0</v>
      </c>
      <c r="O47" s="31">
        <v>85.82</v>
      </c>
      <c r="P47" s="31">
        <v>0</v>
      </c>
    </row>
    <row r="48" spans="1:16" ht="11.25" customHeight="1" x14ac:dyDescent="0.25">
      <c r="A48" s="31">
        <v>47</v>
      </c>
      <c r="B48" s="31" t="s">
        <v>464</v>
      </c>
      <c r="C48" s="31" t="s">
        <v>40</v>
      </c>
      <c r="D48" s="31" t="s">
        <v>97</v>
      </c>
      <c r="E48" s="31" t="s">
        <v>41</v>
      </c>
      <c r="F48" s="31" t="s">
        <v>101</v>
      </c>
      <c r="G48" s="31" t="s">
        <v>25</v>
      </c>
      <c r="H48" s="31" t="s">
        <v>25</v>
      </c>
      <c r="I48" s="31" t="s">
        <v>612</v>
      </c>
      <c r="J48" s="31" t="s">
        <v>609</v>
      </c>
      <c r="K48" s="31" t="s">
        <v>610</v>
      </c>
      <c r="L48" s="31" t="s">
        <v>82</v>
      </c>
      <c r="M48" s="31">
        <v>2021</v>
      </c>
      <c r="N48" s="31">
        <v>0</v>
      </c>
      <c r="O48" s="31">
        <v>418.89</v>
      </c>
      <c r="P48" s="31">
        <v>49.032068420117</v>
      </c>
    </row>
    <row r="49" spans="1:16" ht="11.25" customHeight="1" x14ac:dyDescent="0.25">
      <c r="A49" s="31">
        <v>48</v>
      </c>
      <c r="B49" s="31" t="s">
        <v>492</v>
      </c>
      <c r="C49" s="31" t="s">
        <v>22</v>
      </c>
      <c r="D49" s="31" t="s">
        <v>96</v>
      </c>
      <c r="E49" s="31" t="s">
        <v>24</v>
      </c>
      <c r="F49" s="31" t="s">
        <v>30</v>
      </c>
      <c r="G49" s="31" t="s">
        <v>25</v>
      </c>
      <c r="H49" s="31" t="s">
        <v>25</v>
      </c>
      <c r="I49" s="31" t="s">
        <v>25</v>
      </c>
      <c r="J49" s="31" t="s">
        <v>609</v>
      </c>
      <c r="K49" s="31" t="s">
        <v>610</v>
      </c>
      <c r="L49" s="31" t="s">
        <v>82</v>
      </c>
      <c r="M49" s="31">
        <v>2021</v>
      </c>
      <c r="N49" s="31">
        <v>0</v>
      </c>
      <c r="O49" s="31">
        <v>149.55000000000001</v>
      </c>
      <c r="P49" s="31"/>
    </row>
    <row r="50" spans="1:16" ht="11.25" customHeight="1" x14ac:dyDescent="0.25">
      <c r="A50" s="31">
        <v>49</v>
      </c>
      <c r="B50" s="31" t="s">
        <v>492</v>
      </c>
      <c r="C50" s="31" t="s">
        <v>40</v>
      </c>
      <c r="D50" s="31" t="s">
        <v>81</v>
      </c>
      <c r="E50" s="31" t="s">
        <v>41</v>
      </c>
      <c r="F50" s="31" t="s">
        <v>100</v>
      </c>
      <c r="G50" s="31" t="s">
        <v>25</v>
      </c>
      <c r="H50" s="31" t="s">
        <v>25</v>
      </c>
      <c r="I50" s="31" t="s">
        <v>38</v>
      </c>
      <c r="J50" s="31" t="s">
        <v>609</v>
      </c>
      <c r="K50" s="31" t="s">
        <v>610</v>
      </c>
      <c r="L50" s="31" t="s">
        <v>82</v>
      </c>
      <c r="M50" s="31">
        <v>2021</v>
      </c>
      <c r="N50" s="31">
        <v>0</v>
      </c>
      <c r="O50" s="31">
        <v>219.34</v>
      </c>
      <c r="P50" s="31"/>
    </row>
    <row r="51" spans="1:16" ht="11.25" customHeight="1" x14ac:dyDescent="0.25">
      <c r="A51" s="31">
        <v>50</v>
      </c>
      <c r="B51" s="31" t="s">
        <v>464</v>
      </c>
      <c r="C51" s="31" t="s">
        <v>22</v>
      </c>
      <c r="D51" s="31" t="s">
        <v>99</v>
      </c>
      <c r="E51" s="31" t="s">
        <v>24</v>
      </c>
      <c r="F51" s="31" t="s">
        <v>24</v>
      </c>
      <c r="G51" s="31" t="s">
        <v>25</v>
      </c>
      <c r="H51" s="31" t="s">
        <v>25</v>
      </c>
      <c r="I51" s="31" t="s">
        <v>25</v>
      </c>
      <c r="J51" s="31" t="s">
        <v>609</v>
      </c>
      <c r="K51" s="31" t="s">
        <v>610</v>
      </c>
      <c r="L51" s="31" t="s">
        <v>82</v>
      </c>
      <c r="M51" s="31">
        <v>2021</v>
      </c>
      <c r="N51" s="31">
        <v>0</v>
      </c>
      <c r="O51" s="31">
        <v>312.64999999999998</v>
      </c>
      <c r="P51" s="31">
        <v>58.371510023948801</v>
      </c>
    </row>
    <row r="52" spans="1:16" ht="11.25" customHeight="1" x14ac:dyDescent="0.25">
      <c r="A52" s="31">
        <v>51</v>
      </c>
      <c r="B52" s="31" t="s">
        <v>464</v>
      </c>
      <c r="C52" s="31" t="s">
        <v>40</v>
      </c>
      <c r="D52" s="31" t="s">
        <v>97</v>
      </c>
      <c r="E52" s="31" t="s">
        <v>41</v>
      </c>
      <c r="F52" s="31" t="s">
        <v>101</v>
      </c>
      <c r="G52" s="31" t="s">
        <v>25</v>
      </c>
      <c r="H52" s="31" t="s">
        <v>25</v>
      </c>
      <c r="I52" s="31" t="s">
        <v>37</v>
      </c>
      <c r="J52" s="31" t="s">
        <v>609</v>
      </c>
      <c r="K52" s="31" t="s">
        <v>610</v>
      </c>
      <c r="L52" s="31" t="s">
        <v>82</v>
      </c>
      <c r="M52" s="31">
        <v>2021</v>
      </c>
      <c r="N52" s="31">
        <v>0</v>
      </c>
      <c r="O52" s="31">
        <v>644.63</v>
      </c>
      <c r="P52" s="31">
        <v>49.032068420117</v>
      </c>
    </row>
    <row r="53" spans="1:16" ht="11.25" customHeight="1" x14ac:dyDescent="0.25">
      <c r="A53" s="31">
        <v>52</v>
      </c>
      <c r="B53" s="31" t="s">
        <v>464</v>
      </c>
      <c r="C53" s="31" t="s">
        <v>33</v>
      </c>
      <c r="D53" s="31" t="s">
        <v>97</v>
      </c>
      <c r="E53" s="31" t="s">
        <v>25</v>
      </c>
      <c r="F53" s="31" t="s">
        <v>25</v>
      </c>
      <c r="G53" s="31" t="s">
        <v>25</v>
      </c>
      <c r="H53" s="31" t="s">
        <v>25</v>
      </c>
      <c r="I53" s="31" t="s">
        <v>612</v>
      </c>
      <c r="J53" s="31" t="s">
        <v>609</v>
      </c>
      <c r="K53" s="31" t="s">
        <v>610</v>
      </c>
      <c r="L53" s="31" t="s">
        <v>82</v>
      </c>
      <c r="M53" s="31">
        <v>2021</v>
      </c>
      <c r="N53" s="31">
        <v>0</v>
      </c>
      <c r="O53" s="31">
        <v>544.86</v>
      </c>
      <c r="P53" s="31">
        <v>58.371510023948801</v>
      </c>
    </row>
    <row r="54" spans="1:16" ht="11.25" customHeight="1" x14ac:dyDescent="0.25">
      <c r="A54" s="31">
        <v>53</v>
      </c>
      <c r="B54" s="31" t="s">
        <v>492</v>
      </c>
      <c r="C54" s="31" t="s">
        <v>22</v>
      </c>
      <c r="D54" s="31" t="s">
        <v>96</v>
      </c>
      <c r="E54" s="31" t="s">
        <v>24</v>
      </c>
      <c r="F54" s="31" t="s">
        <v>24</v>
      </c>
      <c r="G54" s="31" t="s">
        <v>25</v>
      </c>
      <c r="H54" s="31" t="s">
        <v>25</v>
      </c>
      <c r="I54" s="31" t="s">
        <v>25</v>
      </c>
      <c r="J54" s="31" t="s">
        <v>609</v>
      </c>
      <c r="K54" s="31" t="s">
        <v>610</v>
      </c>
      <c r="L54" s="31" t="s">
        <v>82</v>
      </c>
      <c r="M54" s="31">
        <v>2021</v>
      </c>
      <c r="N54" s="31">
        <v>0</v>
      </c>
      <c r="O54" s="31">
        <v>249.25</v>
      </c>
      <c r="P54" s="31"/>
    </row>
    <row r="55" spans="1:16" ht="11.25" customHeight="1" x14ac:dyDescent="0.25">
      <c r="A55" s="31">
        <v>54</v>
      </c>
      <c r="B55" s="31" t="s">
        <v>464</v>
      </c>
      <c r="C55" s="31" t="s">
        <v>33</v>
      </c>
      <c r="D55" s="31" t="s">
        <v>97</v>
      </c>
      <c r="E55" s="31" t="s">
        <v>25</v>
      </c>
      <c r="F55" s="31" t="s">
        <v>25</v>
      </c>
      <c r="G55" s="31" t="s">
        <v>25</v>
      </c>
      <c r="H55" s="31" t="s">
        <v>25</v>
      </c>
      <c r="I55" s="31" t="s">
        <v>37</v>
      </c>
      <c r="J55" s="31" t="s">
        <v>609</v>
      </c>
      <c r="K55" s="31" t="s">
        <v>610</v>
      </c>
      <c r="L55" s="31" t="s">
        <v>82</v>
      </c>
      <c r="M55" s="31">
        <v>2021</v>
      </c>
      <c r="N55" s="31">
        <v>0</v>
      </c>
      <c r="O55" s="31">
        <v>844.39</v>
      </c>
      <c r="P55" s="31">
        <v>58.371510023948801</v>
      </c>
    </row>
    <row r="56" spans="1:16" ht="11.25" customHeight="1" x14ac:dyDescent="0.25">
      <c r="A56" s="31">
        <v>55</v>
      </c>
      <c r="B56" s="31" t="s">
        <v>492</v>
      </c>
      <c r="C56" s="31" t="s">
        <v>22</v>
      </c>
      <c r="D56" s="31" t="s">
        <v>96</v>
      </c>
      <c r="E56" s="31" t="s">
        <v>24</v>
      </c>
      <c r="F56" s="31" t="s">
        <v>31</v>
      </c>
      <c r="G56" s="31" t="s">
        <v>25</v>
      </c>
      <c r="H56" s="31" t="s">
        <v>25</v>
      </c>
      <c r="I56" s="31" t="s">
        <v>25</v>
      </c>
      <c r="J56" s="31" t="s">
        <v>609</v>
      </c>
      <c r="K56" s="31" t="s">
        <v>610</v>
      </c>
      <c r="L56" s="31" t="s">
        <v>82</v>
      </c>
      <c r="M56" s="31">
        <v>2021</v>
      </c>
      <c r="N56" s="31">
        <v>0</v>
      </c>
      <c r="O56" s="31">
        <v>224.33</v>
      </c>
      <c r="P56" s="31"/>
    </row>
    <row r="57" spans="1:16" ht="11.25" customHeight="1" x14ac:dyDescent="0.25">
      <c r="A57" s="31">
        <v>56</v>
      </c>
      <c r="B57" s="31" t="s">
        <v>464</v>
      </c>
      <c r="C57" s="31" t="s">
        <v>22</v>
      </c>
      <c r="D57" s="31" t="s">
        <v>99</v>
      </c>
      <c r="E57" s="31" t="s">
        <v>24</v>
      </c>
      <c r="F57" s="31" t="s">
        <v>31</v>
      </c>
      <c r="G57" s="31" t="s">
        <v>25</v>
      </c>
      <c r="H57" s="31" t="s">
        <v>25</v>
      </c>
      <c r="I57" s="31" t="s">
        <v>25</v>
      </c>
      <c r="J57" s="31" t="s">
        <v>609</v>
      </c>
      <c r="K57" s="31" t="s">
        <v>610</v>
      </c>
      <c r="L57" s="31" t="s">
        <v>82</v>
      </c>
      <c r="M57" s="31">
        <v>2021</v>
      </c>
      <c r="N57" s="31">
        <v>0</v>
      </c>
      <c r="O57" s="31">
        <v>220.68</v>
      </c>
      <c r="P57" s="31">
        <v>0</v>
      </c>
    </row>
    <row r="58" spans="1:16" ht="11.25" customHeight="1" x14ac:dyDescent="0.25">
      <c r="A58" s="31">
        <v>57</v>
      </c>
      <c r="B58" s="31" t="s">
        <v>464</v>
      </c>
      <c r="C58" s="31" t="s">
        <v>33</v>
      </c>
      <c r="D58" s="31" t="s">
        <v>97</v>
      </c>
      <c r="E58" s="31" t="s">
        <v>25</v>
      </c>
      <c r="F58" s="31" t="s">
        <v>25</v>
      </c>
      <c r="G58" s="31" t="s">
        <v>25</v>
      </c>
      <c r="H58" s="31" t="s">
        <v>25</v>
      </c>
      <c r="I58" s="31" t="s">
        <v>38</v>
      </c>
      <c r="J58" s="31" t="s">
        <v>609</v>
      </c>
      <c r="K58" s="31" t="s">
        <v>610</v>
      </c>
      <c r="L58" s="31" t="s">
        <v>82</v>
      </c>
      <c r="M58" s="31">
        <v>2021</v>
      </c>
      <c r="N58" s="31">
        <v>0</v>
      </c>
      <c r="O58" s="31">
        <v>245.36</v>
      </c>
      <c r="P58" s="31">
        <v>58.371510023948801</v>
      </c>
    </row>
    <row r="59" spans="1:16" ht="11.25" customHeight="1" x14ac:dyDescent="0.25">
      <c r="A59" s="31">
        <v>58</v>
      </c>
      <c r="B59" s="31" t="s">
        <v>492</v>
      </c>
      <c r="C59" s="31" t="s">
        <v>40</v>
      </c>
      <c r="D59" s="31" t="s">
        <v>81</v>
      </c>
      <c r="E59" s="31" t="s">
        <v>41</v>
      </c>
      <c r="F59" s="31" t="s">
        <v>25</v>
      </c>
      <c r="G59" s="31" t="s">
        <v>25</v>
      </c>
      <c r="H59" s="31" t="s">
        <v>25</v>
      </c>
      <c r="I59" s="31" t="s">
        <v>612</v>
      </c>
      <c r="J59" s="31" t="s">
        <v>609</v>
      </c>
      <c r="K59" s="31" t="s">
        <v>610</v>
      </c>
      <c r="L59" s="31" t="s">
        <v>82</v>
      </c>
      <c r="M59" s="31">
        <v>2021</v>
      </c>
      <c r="N59" s="31">
        <v>0</v>
      </c>
      <c r="O59" s="31">
        <v>219.34</v>
      </c>
      <c r="P59" s="31"/>
    </row>
    <row r="60" spans="1:16" ht="11.25" customHeight="1" x14ac:dyDescent="0.25">
      <c r="A60" s="31">
        <v>59</v>
      </c>
      <c r="B60" s="31" t="s">
        <v>492</v>
      </c>
      <c r="C60" s="31" t="s">
        <v>40</v>
      </c>
      <c r="D60" s="31" t="s">
        <v>98</v>
      </c>
      <c r="E60" s="31" t="s">
        <v>41</v>
      </c>
      <c r="F60" s="31" t="s">
        <v>101</v>
      </c>
      <c r="G60" s="31" t="s">
        <v>25</v>
      </c>
      <c r="H60" s="31" t="s">
        <v>25</v>
      </c>
      <c r="I60" s="31" t="s">
        <v>25</v>
      </c>
      <c r="J60" s="31" t="s">
        <v>609</v>
      </c>
      <c r="K60" s="31" t="s">
        <v>610</v>
      </c>
      <c r="L60" s="31" t="s">
        <v>82</v>
      </c>
      <c r="M60" s="31">
        <v>2021</v>
      </c>
      <c r="N60" s="31">
        <v>0</v>
      </c>
      <c r="O60" s="31">
        <v>209.37</v>
      </c>
      <c r="P60" s="31"/>
    </row>
    <row r="61" spans="1:16" ht="11.25" customHeight="1" x14ac:dyDescent="0.25">
      <c r="A61" s="31">
        <v>60</v>
      </c>
      <c r="B61" s="31" t="s">
        <v>492</v>
      </c>
      <c r="C61" s="31" t="s">
        <v>22</v>
      </c>
      <c r="D61" s="31" t="s">
        <v>96</v>
      </c>
      <c r="E61" s="31" t="s">
        <v>24</v>
      </c>
      <c r="F61" s="31" t="s">
        <v>32</v>
      </c>
      <c r="G61" s="31" t="s">
        <v>25</v>
      </c>
      <c r="H61" s="31" t="s">
        <v>25</v>
      </c>
      <c r="I61" s="31" t="s">
        <v>25</v>
      </c>
      <c r="J61" s="31" t="s">
        <v>609</v>
      </c>
      <c r="K61" s="31" t="s">
        <v>610</v>
      </c>
      <c r="L61" s="31" t="s">
        <v>82</v>
      </c>
      <c r="M61" s="31">
        <v>2021</v>
      </c>
      <c r="N61" s="31">
        <v>0</v>
      </c>
      <c r="O61" s="31">
        <v>249.25</v>
      </c>
      <c r="P61" s="31"/>
    </row>
    <row r="62" spans="1:16" ht="11.25" customHeight="1" x14ac:dyDescent="0.25">
      <c r="A62" s="31">
        <v>61</v>
      </c>
      <c r="B62" s="31" t="s">
        <v>492</v>
      </c>
      <c r="C62" s="31" t="s">
        <v>40</v>
      </c>
      <c r="D62" s="31" t="s">
        <v>81</v>
      </c>
      <c r="E62" s="31" t="s">
        <v>41</v>
      </c>
      <c r="F62" s="31" t="s">
        <v>100</v>
      </c>
      <c r="G62" s="31" t="s">
        <v>25</v>
      </c>
      <c r="H62" s="31" t="s">
        <v>25</v>
      </c>
      <c r="I62" s="31" t="s">
        <v>612</v>
      </c>
      <c r="J62" s="31" t="s">
        <v>609</v>
      </c>
      <c r="K62" s="31" t="s">
        <v>610</v>
      </c>
      <c r="L62" s="31" t="s">
        <v>82</v>
      </c>
      <c r="M62" s="31">
        <v>2021</v>
      </c>
      <c r="N62" s="31">
        <v>0</v>
      </c>
      <c r="O62" s="31">
        <v>219.34</v>
      </c>
      <c r="P62" s="31"/>
    </row>
    <row r="63" spans="1:16" ht="11.25" customHeight="1" x14ac:dyDescent="0.25">
      <c r="A63" s="31">
        <v>62</v>
      </c>
      <c r="B63" s="31" t="s">
        <v>492</v>
      </c>
      <c r="C63" s="31" t="s">
        <v>33</v>
      </c>
      <c r="D63" s="31" t="s">
        <v>96</v>
      </c>
      <c r="E63" s="31" t="s">
        <v>25</v>
      </c>
      <c r="F63" s="31" t="s">
        <v>25</v>
      </c>
      <c r="G63" s="31" t="s">
        <v>25</v>
      </c>
      <c r="H63" s="31" t="s">
        <v>25</v>
      </c>
      <c r="I63" s="31" t="s">
        <v>25</v>
      </c>
      <c r="J63" s="31" t="s">
        <v>609</v>
      </c>
      <c r="K63" s="31" t="s">
        <v>610</v>
      </c>
      <c r="L63" s="31" t="s">
        <v>82</v>
      </c>
      <c r="M63" s="31">
        <v>2021</v>
      </c>
      <c r="N63" s="31">
        <v>0</v>
      </c>
      <c r="O63" s="31">
        <v>249.25</v>
      </c>
      <c r="P63" s="31"/>
    </row>
    <row r="64" spans="1:16" ht="11.25" customHeight="1" x14ac:dyDescent="0.25">
      <c r="A64" s="31">
        <v>63</v>
      </c>
      <c r="B64" s="31" t="s">
        <v>492</v>
      </c>
      <c r="C64" s="31" t="s">
        <v>40</v>
      </c>
      <c r="D64" s="31" t="s">
        <v>96</v>
      </c>
      <c r="E64" s="31" t="s">
        <v>41</v>
      </c>
      <c r="F64" s="31" t="s">
        <v>25</v>
      </c>
      <c r="G64" s="31" t="s">
        <v>25</v>
      </c>
      <c r="H64" s="31" t="s">
        <v>25</v>
      </c>
      <c r="I64" s="31" t="s">
        <v>25</v>
      </c>
      <c r="J64" s="31" t="s">
        <v>609</v>
      </c>
      <c r="K64" s="31" t="s">
        <v>610</v>
      </c>
      <c r="L64" s="31" t="s">
        <v>82</v>
      </c>
      <c r="M64" s="31">
        <v>2021</v>
      </c>
      <c r="N64" s="31">
        <v>0</v>
      </c>
      <c r="O64" s="31">
        <v>219.34</v>
      </c>
      <c r="P64" s="31"/>
    </row>
    <row r="65" spans="1:16" ht="11.25" customHeight="1" x14ac:dyDescent="0.25">
      <c r="A65" s="31">
        <v>64</v>
      </c>
      <c r="B65" s="31" t="s">
        <v>492</v>
      </c>
      <c r="C65" s="31" t="s">
        <v>33</v>
      </c>
      <c r="D65" s="31" t="s">
        <v>81</v>
      </c>
      <c r="E65" s="31" t="s">
        <v>25</v>
      </c>
      <c r="F65" s="31" t="s">
        <v>25</v>
      </c>
      <c r="G65" s="31" t="s">
        <v>25</v>
      </c>
      <c r="H65" s="31" t="s">
        <v>25</v>
      </c>
      <c r="I65" s="31" t="s">
        <v>612</v>
      </c>
      <c r="J65" s="31" t="s">
        <v>609</v>
      </c>
      <c r="K65" s="31" t="s">
        <v>610</v>
      </c>
      <c r="L65" s="31" t="s">
        <v>82</v>
      </c>
      <c r="M65" s="31">
        <v>2021</v>
      </c>
      <c r="N65" s="31">
        <v>0</v>
      </c>
      <c r="O65" s="31">
        <v>249.25</v>
      </c>
      <c r="P65" s="31"/>
    </row>
    <row r="66" spans="1:16" ht="11.25" customHeight="1" x14ac:dyDescent="0.25">
      <c r="A66" s="31">
        <v>65</v>
      </c>
      <c r="B66" s="31" t="s">
        <v>492</v>
      </c>
      <c r="C66" s="31" t="s">
        <v>33</v>
      </c>
      <c r="D66" s="31" t="s">
        <v>81</v>
      </c>
      <c r="E66" s="31" t="s">
        <v>25</v>
      </c>
      <c r="F66" s="31" t="s">
        <v>25</v>
      </c>
      <c r="G66" s="31" t="s">
        <v>25</v>
      </c>
      <c r="H66" s="31" t="s">
        <v>25</v>
      </c>
      <c r="I66" s="31" t="s">
        <v>37</v>
      </c>
      <c r="J66" s="31" t="s">
        <v>609</v>
      </c>
      <c r="K66" s="31" t="s">
        <v>610</v>
      </c>
      <c r="L66" s="31" t="s">
        <v>82</v>
      </c>
      <c r="M66" s="31">
        <v>2021</v>
      </c>
      <c r="N66" s="31">
        <v>0</v>
      </c>
      <c r="O66" s="31">
        <v>249.25</v>
      </c>
      <c r="P66" s="31"/>
    </row>
    <row r="67" spans="1:16" ht="11.25" customHeight="1" x14ac:dyDescent="0.25">
      <c r="A67" s="31">
        <v>66</v>
      </c>
      <c r="B67" s="31" t="s">
        <v>492</v>
      </c>
      <c r="C67" s="31" t="s">
        <v>33</v>
      </c>
      <c r="D67" s="31" t="s">
        <v>81</v>
      </c>
      <c r="E67" s="31" t="s">
        <v>25</v>
      </c>
      <c r="F67" s="31" t="s">
        <v>25</v>
      </c>
      <c r="G67" s="31" t="s">
        <v>25</v>
      </c>
      <c r="H67" s="31" t="s">
        <v>25</v>
      </c>
      <c r="I67" s="31" t="s">
        <v>38</v>
      </c>
      <c r="J67" s="31" t="s">
        <v>609</v>
      </c>
      <c r="K67" s="31" t="s">
        <v>610</v>
      </c>
      <c r="L67" s="31" t="s">
        <v>82</v>
      </c>
      <c r="M67" s="31">
        <v>2021</v>
      </c>
      <c r="N67" s="31">
        <v>0</v>
      </c>
      <c r="O67" s="31">
        <v>249.25</v>
      </c>
      <c r="P67" s="31"/>
    </row>
    <row r="68" spans="1:16" ht="11.25" customHeight="1" x14ac:dyDescent="0.25">
      <c r="A68" s="31">
        <v>67</v>
      </c>
      <c r="B68" s="31" t="s">
        <v>492</v>
      </c>
      <c r="C68" s="31" t="s">
        <v>35</v>
      </c>
      <c r="D68" s="31" t="s">
        <v>85</v>
      </c>
      <c r="E68" s="31" t="s">
        <v>25</v>
      </c>
      <c r="F68" s="31" t="s">
        <v>25</v>
      </c>
      <c r="G68" s="31" t="s">
        <v>86</v>
      </c>
      <c r="H68" s="31" t="s">
        <v>25</v>
      </c>
      <c r="I68" s="31" t="s">
        <v>25</v>
      </c>
      <c r="J68" s="31" t="s">
        <v>609</v>
      </c>
      <c r="K68" s="31" t="s">
        <v>610</v>
      </c>
      <c r="L68" s="31" t="s">
        <v>82</v>
      </c>
      <c r="M68" s="31">
        <v>2021</v>
      </c>
      <c r="N68" s="31">
        <v>0</v>
      </c>
      <c r="O68" s="31">
        <v>248.68</v>
      </c>
      <c r="P68" s="31"/>
    </row>
    <row r="69" spans="1:16" ht="11.25" customHeight="1" x14ac:dyDescent="0.25">
      <c r="A69" s="31">
        <v>68</v>
      </c>
      <c r="B69" s="31" t="s">
        <v>492</v>
      </c>
      <c r="C69" s="31" t="s">
        <v>22</v>
      </c>
      <c r="D69" s="31" t="s">
        <v>98</v>
      </c>
      <c r="E69" s="31" t="s">
        <v>24</v>
      </c>
      <c r="F69" s="31" t="s">
        <v>30</v>
      </c>
      <c r="G69" s="31" t="s">
        <v>25</v>
      </c>
      <c r="H69" s="31" t="s">
        <v>25</v>
      </c>
      <c r="I69" s="31" t="s">
        <v>25</v>
      </c>
      <c r="J69" s="31" t="s">
        <v>609</v>
      </c>
      <c r="K69" s="31" t="s">
        <v>610</v>
      </c>
      <c r="L69" s="31" t="s">
        <v>82</v>
      </c>
      <c r="M69" s="31">
        <v>2021</v>
      </c>
      <c r="N69" s="31">
        <v>0</v>
      </c>
      <c r="O69" s="31">
        <v>149.55000000000001</v>
      </c>
      <c r="P69" s="31"/>
    </row>
    <row r="70" spans="1:16" ht="11.25" customHeight="1" x14ac:dyDescent="0.25">
      <c r="A70" s="31">
        <v>69</v>
      </c>
      <c r="B70" s="31" t="s">
        <v>492</v>
      </c>
      <c r="C70" s="31" t="s">
        <v>35</v>
      </c>
      <c r="D70" s="31" t="s">
        <v>81</v>
      </c>
      <c r="E70" s="31" t="s">
        <v>25</v>
      </c>
      <c r="F70" s="31" t="s">
        <v>25</v>
      </c>
      <c r="G70" s="31" t="s">
        <v>25</v>
      </c>
      <c r="H70" s="31" t="s">
        <v>25</v>
      </c>
      <c r="I70" s="31" t="s">
        <v>38</v>
      </c>
      <c r="J70" s="31" t="s">
        <v>609</v>
      </c>
      <c r="K70" s="31" t="s">
        <v>610</v>
      </c>
      <c r="L70" s="31" t="s">
        <v>82</v>
      </c>
      <c r="M70" s="31">
        <v>2021</v>
      </c>
      <c r="N70" s="31">
        <v>0</v>
      </c>
      <c r="O70" s="31">
        <v>249.25</v>
      </c>
      <c r="P70" s="31"/>
    </row>
    <row r="71" spans="1:16" ht="11.25" customHeight="1" x14ac:dyDescent="0.25">
      <c r="A71" s="31">
        <v>70</v>
      </c>
      <c r="B71" s="31" t="s">
        <v>492</v>
      </c>
      <c r="C71" s="31" t="s">
        <v>22</v>
      </c>
      <c r="D71" s="31" t="s">
        <v>98</v>
      </c>
      <c r="E71" s="31" t="s">
        <v>24</v>
      </c>
      <c r="F71" s="31" t="s">
        <v>29</v>
      </c>
      <c r="G71" s="31" t="s">
        <v>25</v>
      </c>
      <c r="H71" s="31" t="s">
        <v>25</v>
      </c>
      <c r="I71" s="31" t="s">
        <v>25</v>
      </c>
      <c r="J71" s="31" t="s">
        <v>609</v>
      </c>
      <c r="K71" s="31" t="s">
        <v>610</v>
      </c>
      <c r="L71" s="31" t="s">
        <v>82</v>
      </c>
      <c r="M71" s="31">
        <v>2021</v>
      </c>
      <c r="N71" s="31">
        <v>0</v>
      </c>
      <c r="O71" s="31">
        <v>87.24</v>
      </c>
      <c r="P71" s="31"/>
    </row>
    <row r="72" spans="1:16" ht="11.25" customHeight="1" x14ac:dyDescent="0.25">
      <c r="A72" s="31">
        <v>71</v>
      </c>
      <c r="B72" s="31" t="s">
        <v>492</v>
      </c>
      <c r="C72" s="31" t="s">
        <v>40</v>
      </c>
      <c r="D72" s="31" t="s">
        <v>81</v>
      </c>
      <c r="E72" s="31" t="s">
        <v>41</v>
      </c>
      <c r="F72" s="31" t="s">
        <v>100</v>
      </c>
      <c r="G72" s="31" t="s">
        <v>25</v>
      </c>
      <c r="H72" s="31" t="s">
        <v>25</v>
      </c>
      <c r="I72" s="31" t="s">
        <v>37</v>
      </c>
      <c r="J72" s="31" t="s">
        <v>609</v>
      </c>
      <c r="K72" s="31" t="s">
        <v>610</v>
      </c>
      <c r="L72" s="31" t="s">
        <v>82</v>
      </c>
      <c r="M72" s="31">
        <v>2021</v>
      </c>
      <c r="N72" s="31">
        <v>0</v>
      </c>
      <c r="O72" s="31">
        <v>219.34</v>
      </c>
      <c r="P72" s="31"/>
    </row>
    <row r="73" spans="1:16" ht="11.25" customHeight="1" x14ac:dyDescent="0.25">
      <c r="A73" s="31">
        <v>72</v>
      </c>
      <c r="B73" s="31" t="s">
        <v>492</v>
      </c>
      <c r="C73" s="31" t="s">
        <v>35</v>
      </c>
      <c r="D73" s="31" t="s">
        <v>85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25</v>
      </c>
      <c r="J73" s="31" t="s">
        <v>609</v>
      </c>
      <c r="K73" s="31" t="s">
        <v>610</v>
      </c>
      <c r="L73" s="31" t="s">
        <v>82</v>
      </c>
      <c r="M73" s="31">
        <v>2021</v>
      </c>
      <c r="N73" s="31">
        <v>0</v>
      </c>
      <c r="O73" s="31">
        <v>241.72</v>
      </c>
      <c r="P73" s="31"/>
    </row>
    <row r="74" spans="1:16" ht="11.25" customHeight="1" x14ac:dyDescent="0.25">
      <c r="A74" s="31">
        <v>73</v>
      </c>
      <c r="B74" s="31" t="s">
        <v>492</v>
      </c>
      <c r="C74" s="31" t="s">
        <v>22</v>
      </c>
      <c r="D74" s="31" t="s">
        <v>98</v>
      </c>
      <c r="E74" s="31" t="s">
        <v>24</v>
      </c>
      <c r="F74" s="31" t="s">
        <v>32</v>
      </c>
      <c r="G74" s="31" t="s">
        <v>25</v>
      </c>
      <c r="H74" s="31" t="s">
        <v>25</v>
      </c>
      <c r="I74" s="31" t="s">
        <v>25</v>
      </c>
      <c r="J74" s="31" t="s">
        <v>609</v>
      </c>
      <c r="K74" s="31" t="s">
        <v>610</v>
      </c>
      <c r="L74" s="31" t="s">
        <v>82</v>
      </c>
      <c r="M74" s="31">
        <v>2021</v>
      </c>
      <c r="N74" s="31">
        <v>0</v>
      </c>
      <c r="O74" s="31">
        <v>249.25</v>
      </c>
      <c r="P74" s="31"/>
    </row>
    <row r="75" spans="1:16" ht="11.25" customHeight="1" x14ac:dyDescent="0.25">
      <c r="A75" s="31">
        <v>74</v>
      </c>
      <c r="B75" s="31" t="s">
        <v>464</v>
      </c>
      <c r="C75" s="31" t="s">
        <v>43</v>
      </c>
      <c r="D75" s="31" t="s">
        <v>23</v>
      </c>
      <c r="E75" s="31" t="s">
        <v>44</v>
      </c>
      <c r="F75" s="31" t="s">
        <v>102</v>
      </c>
      <c r="G75" s="31" t="s">
        <v>25</v>
      </c>
      <c r="H75" s="31" t="s">
        <v>25</v>
      </c>
      <c r="I75" s="31" t="s">
        <v>25</v>
      </c>
      <c r="J75" s="31" t="s">
        <v>609</v>
      </c>
      <c r="K75" s="31" t="s">
        <v>610</v>
      </c>
      <c r="L75" s="31" t="s">
        <v>82</v>
      </c>
      <c r="M75" s="31">
        <v>2021</v>
      </c>
      <c r="N75" s="31">
        <v>0</v>
      </c>
      <c r="O75" s="31">
        <v>187.59</v>
      </c>
      <c r="P75" s="31">
        <v>35.022906014369298</v>
      </c>
    </row>
    <row r="76" spans="1:16" ht="11.25" customHeight="1" x14ac:dyDescent="0.25">
      <c r="A76" s="31">
        <v>75</v>
      </c>
      <c r="B76" s="31" t="s">
        <v>492</v>
      </c>
      <c r="C76" s="31" t="s">
        <v>22</v>
      </c>
      <c r="D76" s="31" t="s">
        <v>98</v>
      </c>
      <c r="E76" s="31" t="s">
        <v>24</v>
      </c>
      <c r="F76" s="31" t="s">
        <v>24</v>
      </c>
      <c r="G76" s="31" t="s">
        <v>25</v>
      </c>
      <c r="H76" s="31" t="s">
        <v>25</v>
      </c>
      <c r="I76" s="31" t="s">
        <v>25</v>
      </c>
      <c r="J76" s="31" t="s">
        <v>609</v>
      </c>
      <c r="K76" s="31" t="s">
        <v>610</v>
      </c>
      <c r="L76" s="31" t="s">
        <v>82</v>
      </c>
      <c r="M76" s="31">
        <v>2021</v>
      </c>
      <c r="N76" s="31">
        <v>0</v>
      </c>
      <c r="O76" s="31">
        <v>249.25</v>
      </c>
      <c r="P76" s="31"/>
    </row>
    <row r="77" spans="1:16" ht="11.25" customHeight="1" x14ac:dyDescent="0.25">
      <c r="A77" s="31">
        <v>76</v>
      </c>
      <c r="B77" s="31" t="s">
        <v>492</v>
      </c>
      <c r="C77" s="31" t="s">
        <v>22</v>
      </c>
      <c r="D77" s="31" t="s">
        <v>81</v>
      </c>
      <c r="E77" s="31" t="s">
        <v>24</v>
      </c>
      <c r="F77" s="31" t="s">
        <v>24</v>
      </c>
      <c r="G77" s="31" t="s">
        <v>25</v>
      </c>
      <c r="H77" s="31" t="s">
        <v>25</v>
      </c>
      <c r="I77" s="31" t="s">
        <v>38</v>
      </c>
      <c r="J77" s="31" t="s">
        <v>609</v>
      </c>
      <c r="K77" s="31" t="s">
        <v>610</v>
      </c>
      <c r="L77" s="31" t="s">
        <v>82</v>
      </c>
      <c r="M77" s="31">
        <v>2021</v>
      </c>
      <c r="N77" s="31">
        <v>0</v>
      </c>
      <c r="O77" s="31">
        <v>249.25</v>
      </c>
      <c r="P77" s="31"/>
    </row>
    <row r="78" spans="1:16" ht="11.25" customHeight="1" x14ac:dyDescent="0.25">
      <c r="A78" s="31">
        <v>77</v>
      </c>
      <c r="B78" s="31" t="s">
        <v>492</v>
      </c>
      <c r="C78" s="31" t="s">
        <v>35</v>
      </c>
      <c r="D78" s="31" t="s">
        <v>81</v>
      </c>
      <c r="E78" s="31" t="s">
        <v>25</v>
      </c>
      <c r="F78" s="31" t="s">
        <v>25</v>
      </c>
      <c r="G78" s="31" t="s">
        <v>25</v>
      </c>
      <c r="H78" s="31" t="s">
        <v>25</v>
      </c>
      <c r="I78" s="31" t="s">
        <v>37</v>
      </c>
      <c r="J78" s="31" t="s">
        <v>609</v>
      </c>
      <c r="K78" s="31" t="s">
        <v>610</v>
      </c>
      <c r="L78" s="31" t="s">
        <v>82</v>
      </c>
      <c r="M78" s="31">
        <v>2021</v>
      </c>
      <c r="N78" s="31">
        <v>0</v>
      </c>
      <c r="O78" s="31">
        <v>249.25</v>
      </c>
      <c r="P78" s="31"/>
    </row>
    <row r="79" spans="1:16" ht="11.25" customHeight="1" x14ac:dyDescent="0.25">
      <c r="A79" s="31">
        <v>78</v>
      </c>
      <c r="B79" s="31" t="s">
        <v>492</v>
      </c>
      <c r="C79" s="31" t="s">
        <v>35</v>
      </c>
      <c r="D79" s="31" t="s">
        <v>91</v>
      </c>
      <c r="E79" s="31" t="s">
        <v>25</v>
      </c>
      <c r="F79" s="31" t="s">
        <v>25</v>
      </c>
      <c r="G79" s="31" t="s">
        <v>86</v>
      </c>
      <c r="H79" s="31" t="s">
        <v>25</v>
      </c>
      <c r="I79" s="31" t="s">
        <v>25</v>
      </c>
      <c r="J79" s="31" t="s">
        <v>609</v>
      </c>
      <c r="K79" s="31" t="s">
        <v>610</v>
      </c>
      <c r="L79" s="31" t="s">
        <v>82</v>
      </c>
      <c r="M79" s="31">
        <v>2021</v>
      </c>
      <c r="N79" s="31">
        <v>0</v>
      </c>
      <c r="O79" s="31">
        <v>248.68</v>
      </c>
      <c r="P79" s="31"/>
    </row>
    <row r="80" spans="1:16" ht="11.25" customHeight="1" x14ac:dyDescent="0.25">
      <c r="A80" s="31">
        <v>79</v>
      </c>
      <c r="B80" s="31" t="s">
        <v>492</v>
      </c>
      <c r="C80" s="31" t="s">
        <v>22</v>
      </c>
      <c r="D80" s="31" t="s">
        <v>98</v>
      </c>
      <c r="E80" s="31" t="s">
        <v>24</v>
      </c>
      <c r="F80" s="31" t="s">
        <v>31</v>
      </c>
      <c r="G80" s="31" t="s">
        <v>25</v>
      </c>
      <c r="H80" s="31" t="s">
        <v>25</v>
      </c>
      <c r="I80" s="31" t="s">
        <v>25</v>
      </c>
      <c r="J80" s="31" t="s">
        <v>609</v>
      </c>
      <c r="K80" s="31" t="s">
        <v>610</v>
      </c>
      <c r="L80" s="31" t="s">
        <v>82</v>
      </c>
      <c r="M80" s="31">
        <v>2021</v>
      </c>
      <c r="N80" s="31">
        <v>0</v>
      </c>
      <c r="O80" s="31">
        <v>224.33</v>
      </c>
      <c r="P80" s="31"/>
    </row>
    <row r="81" spans="1:16" ht="11.25" customHeight="1" x14ac:dyDescent="0.25">
      <c r="A81" s="31">
        <v>80</v>
      </c>
      <c r="B81" s="31" t="s">
        <v>492</v>
      </c>
      <c r="C81" s="31" t="s">
        <v>40</v>
      </c>
      <c r="D81" s="31" t="s">
        <v>96</v>
      </c>
      <c r="E81" s="31" t="s">
        <v>41</v>
      </c>
      <c r="F81" s="31" t="s">
        <v>100</v>
      </c>
      <c r="G81" s="31" t="s">
        <v>25</v>
      </c>
      <c r="H81" s="31" t="s">
        <v>25</v>
      </c>
      <c r="I81" s="31" t="s">
        <v>25</v>
      </c>
      <c r="J81" s="31" t="s">
        <v>609</v>
      </c>
      <c r="K81" s="31" t="s">
        <v>610</v>
      </c>
      <c r="L81" s="31" t="s">
        <v>82</v>
      </c>
      <c r="M81" s="31">
        <v>2021</v>
      </c>
      <c r="N81" s="31">
        <v>0</v>
      </c>
      <c r="O81" s="31">
        <v>219.34</v>
      </c>
      <c r="P81" s="31"/>
    </row>
    <row r="82" spans="1:16" ht="11.25" customHeight="1" x14ac:dyDescent="0.25">
      <c r="A82" s="31">
        <v>81</v>
      </c>
      <c r="B82" s="31" t="s">
        <v>492</v>
      </c>
      <c r="C82" s="31" t="s">
        <v>43</v>
      </c>
      <c r="D82" s="31" t="s">
        <v>96</v>
      </c>
      <c r="E82" s="31" t="s">
        <v>44</v>
      </c>
      <c r="F82" s="31" t="s">
        <v>45</v>
      </c>
      <c r="G82" s="31" t="s">
        <v>25</v>
      </c>
      <c r="H82" s="31" t="s">
        <v>25</v>
      </c>
      <c r="I82" s="31" t="s">
        <v>25</v>
      </c>
      <c r="J82" s="31" t="s">
        <v>609</v>
      </c>
      <c r="K82" s="31" t="s">
        <v>610</v>
      </c>
      <c r="L82" s="31" t="s">
        <v>82</v>
      </c>
      <c r="M82" s="31">
        <v>2021</v>
      </c>
      <c r="N82" s="31">
        <v>0</v>
      </c>
      <c r="O82" s="31">
        <v>137.09</v>
      </c>
      <c r="P82" s="31"/>
    </row>
    <row r="83" spans="1:16" ht="11.25" customHeight="1" x14ac:dyDescent="0.25">
      <c r="A83" s="31">
        <v>82</v>
      </c>
      <c r="B83" s="31" t="s">
        <v>492</v>
      </c>
      <c r="C83" s="31" t="s">
        <v>40</v>
      </c>
      <c r="D83" s="31" t="s">
        <v>81</v>
      </c>
      <c r="E83" s="31" t="s">
        <v>41</v>
      </c>
      <c r="F83" s="31" t="s">
        <v>25</v>
      </c>
      <c r="G83" s="31" t="s">
        <v>25</v>
      </c>
      <c r="H83" s="31" t="s">
        <v>25</v>
      </c>
      <c r="I83" s="31" t="s">
        <v>38</v>
      </c>
      <c r="J83" s="31" t="s">
        <v>609</v>
      </c>
      <c r="K83" s="31" t="s">
        <v>610</v>
      </c>
      <c r="L83" s="31" t="s">
        <v>82</v>
      </c>
      <c r="M83" s="31">
        <v>2021</v>
      </c>
      <c r="N83" s="31">
        <v>0</v>
      </c>
      <c r="O83" s="31">
        <v>219.34</v>
      </c>
      <c r="P83" s="31"/>
    </row>
    <row r="84" spans="1:16" ht="11.25" customHeight="1" x14ac:dyDescent="0.25">
      <c r="A84" s="31">
        <v>83</v>
      </c>
      <c r="B84" s="31" t="s">
        <v>492</v>
      </c>
      <c r="C84" s="31" t="s">
        <v>40</v>
      </c>
      <c r="D84" s="31" t="s">
        <v>81</v>
      </c>
      <c r="E84" s="31" t="s">
        <v>41</v>
      </c>
      <c r="F84" s="31" t="s">
        <v>101</v>
      </c>
      <c r="G84" s="31" t="s">
        <v>25</v>
      </c>
      <c r="H84" s="31" t="s">
        <v>25</v>
      </c>
      <c r="I84" s="31" t="s">
        <v>37</v>
      </c>
      <c r="J84" s="31" t="s">
        <v>609</v>
      </c>
      <c r="K84" s="31" t="s">
        <v>610</v>
      </c>
      <c r="L84" s="31" t="s">
        <v>82</v>
      </c>
      <c r="M84" s="31">
        <v>2021</v>
      </c>
      <c r="N84" s="31">
        <v>0</v>
      </c>
      <c r="O84" s="31">
        <v>209.37</v>
      </c>
      <c r="P84" s="31"/>
    </row>
    <row r="85" spans="1:16" ht="11.25" customHeight="1" x14ac:dyDescent="0.25">
      <c r="A85" s="31">
        <v>84</v>
      </c>
      <c r="B85" s="31" t="s">
        <v>492</v>
      </c>
      <c r="C85" s="31" t="s">
        <v>43</v>
      </c>
      <c r="D85" s="31" t="s">
        <v>96</v>
      </c>
      <c r="E85" s="31" t="s">
        <v>44</v>
      </c>
      <c r="F85" s="31" t="s">
        <v>102</v>
      </c>
      <c r="G85" s="31" t="s">
        <v>25</v>
      </c>
      <c r="H85" s="31" t="s">
        <v>25</v>
      </c>
      <c r="I85" s="31" t="s">
        <v>25</v>
      </c>
      <c r="J85" s="31" t="s">
        <v>609</v>
      </c>
      <c r="K85" s="31" t="s">
        <v>610</v>
      </c>
      <c r="L85" s="31" t="s">
        <v>82</v>
      </c>
      <c r="M85" s="31">
        <v>2021</v>
      </c>
      <c r="N85" s="31">
        <v>0</v>
      </c>
      <c r="O85" s="31">
        <v>149.55000000000001</v>
      </c>
      <c r="P85" s="31"/>
    </row>
    <row r="86" spans="1:16" ht="11.25" customHeight="1" x14ac:dyDescent="0.25">
      <c r="A86" s="31">
        <v>85</v>
      </c>
      <c r="B86" s="31" t="s">
        <v>492</v>
      </c>
      <c r="C86" s="31" t="s">
        <v>40</v>
      </c>
      <c r="D86" s="31" t="s">
        <v>81</v>
      </c>
      <c r="E86" s="31" t="s">
        <v>41</v>
      </c>
      <c r="F86" s="31" t="s">
        <v>101</v>
      </c>
      <c r="G86" s="31" t="s">
        <v>25</v>
      </c>
      <c r="H86" s="31" t="s">
        <v>25</v>
      </c>
      <c r="I86" s="31" t="s">
        <v>612</v>
      </c>
      <c r="J86" s="31" t="s">
        <v>609</v>
      </c>
      <c r="K86" s="31" t="s">
        <v>610</v>
      </c>
      <c r="L86" s="31" t="s">
        <v>82</v>
      </c>
      <c r="M86" s="31">
        <v>2021</v>
      </c>
      <c r="N86" s="31">
        <v>0</v>
      </c>
      <c r="O86" s="31">
        <v>209.37</v>
      </c>
      <c r="P86" s="31"/>
    </row>
    <row r="87" spans="1:16" ht="11.25" customHeight="1" x14ac:dyDescent="0.25">
      <c r="A87" s="31">
        <v>86</v>
      </c>
      <c r="B87" s="31" t="s">
        <v>492</v>
      </c>
      <c r="C87" s="31" t="s">
        <v>40</v>
      </c>
      <c r="D87" s="31" t="s">
        <v>81</v>
      </c>
      <c r="E87" s="31" t="s">
        <v>41</v>
      </c>
      <c r="F87" s="31" t="s">
        <v>101</v>
      </c>
      <c r="G87" s="31" t="s">
        <v>25</v>
      </c>
      <c r="H87" s="31" t="s">
        <v>25</v>
      </c>
      <c r="I87" s="31" t="s">
        <v>38</v>
      </c>
      <c r="J87" s="31" t="s">
        <v>609</v>
      </c>
      <c r="K87" s="31" t="s">
        <v>610</v>
      </c>
      <c r="L87" s="31" t="s">
        <v>82</v>
      </c>
      <c r="M87" s="31">
        <v>2021</v>
      </c>
      <c r="N87" s="31">
        <v>0</v>
      </c>
      <c r="O87" s="31">
        <v>209.37</v>
      </c>
      <c r="P87" s="31"/>
    </row>
    <row r="88" spans="1:16" ht="11.25" customHeight="1" x14ac:dyDescent="0.25">
      <c r="A88" s="31">
        <v>87</v>
      </c>
      <c r="B88" s="31" t="s">
        <v>492</v>
      </c>
      <c r="C88" s="31" t="s">
        <v>40</v>
      </c>
      <c r="D88" s="31" t="s">
        <v>96</v>
      </c>
      <c r="E88" s="31" t="s">
        <v>41</v>
      </c>
      <c r="F88" s="31" t="s">
        <v>101</v>
      </c>
      <c r="G88" s="31" t="s">
        <v>25</v>
      </c>
      <c r="H88" s="31" t="s">
        <v>25</v>
      </c>
      <c r="I88" s="31" t="s">
        <v>25</v>
      </c>
      <c r="J88" s="31" t="s">
        <v>609</v>
      </c>
      <c r="K88" s="31" t="s">
        <v>610</v>
      </c>
      <c r="L88" s="31" t="s">
        <v>82</v>
      </c>
      <c r="M88" s="31">
        <v>2021</v>
      </c>
      <c r="N88" s="31">
        <v>0</v>
      </c>
      <c r="O88" s="31">
        <v>209.37</v>
      </c>
      <c r="P88" s="31"/>
    </row>
    <row r="89" spans="1:16" ht="11.25" customHeight="1" x14ac:dyDescent="0.25">
      <c r="A89" s="31">
        <v>88</v>
      </c>
      <c r="B89" s="31" t="s">
        <v>492</v>
      </c>
      <c r="C89" s="31" t="s">
        <v>40</v>
      </c>
      <c r="D89" s="31" t="s">
        <v>98</v>
      </c>
      <c r="E89" s="31" t="s">
        <v>41</v>
      </c>
      <c r="F89" s="31" t="s">
        <v>25</v>
      </c>
      <c r="G89" s="31" t="s">
        <v>25</v>
      </c>
      <c r="H89" s="31" t="s">
        <v>25</v>
      </c>
      <c r="I89" s="31" t="s">
        <v>25</v>
      </c>
      <c r="J89" s="31" t="s">
        <v>609</v>
      </c>
      <c r="K89" s="31" t="s">
        <v>610</v>
      </c>
      <c r="L89" s="31" t="s">
        <v>82</v>
      </c>
      <c r="M89" s="31">
        <v>2021</v>
      </c>
      <c r="N89" s="31">
        <v>0</v>
      </c>
      <c r="O89" s="31">
        <v>219.34</v>
      </c>
      <c r="P89" s="31"/>
    </row>
    <row r="90" spans="1:16" ht="11.25" customHeight="1" x14ac:dyDescent="0.25">
      <c r="A90" s="31">
        <v>89</v>
      </c>
      <c r="B90" s="31" t="s">
        <v>492</v>
      </c>
      <c r="C90" s="31" t="s">
        <v>40</v>
      </c>
      <c r="D90" s="31" t="s">
        <v>98</v>
      </c>
      <c r="E90" s="31" t="s">
        <v>41</v>
      </c>
      <c r="F90" s="31" t="s">
        <v>100</v>
      </c>
      <c r="G90" s="31" t="s">
        <v>25</v>
      </c>
      <c r="H90" s="31" t="s">
        <v>25</v>
      </c>
      <c r="I90" s="31" t="s">
        <v>25</v>
      </c>
      <c r="J90" s="31" t="s">
        <v>609</v>
      </c>
      <c r="K90" s="31" t="s">
        <v>610</v>
      </c>
      <c r="L90" s="31" t="s">
        <v>82</v>
      </c>
      <c r="M90" s="31">
        <v>2021</v>
      </c>
      <c r="N90" s="31">
        <v>0</v>
      </c>
      <c r="O90" s="31">
        <v>219.34</v>
      </c>
      <c r="P90" s="31"/>
    </row>
    <row r="91" spans="1:16" ht="11.25" customHeight="1" x14ac:dyDescent="0.25">
      <c r="A91" s="31">
        <v>90</v>
      </c>
      <c r="B91" s="31" t="s">
        <v>492</v>
      </c>
      <c r="C91" s="31" t="s">
        <v>33</v>
      </c>
      <c r="D91" s="31" t="s">
        <v>98</v>
      </c>
      <c r="E91" s="31" t="s">
        <v>25</v>
      </c>
      <c r="F91" s="31" t="s">
        <v>25</v>
      </c>
      <c r="G91" s="31" t="s">
        <v>25</v>
      </c>
      <c r="H91" s="31" t="s">
        <v>25</v>
      </c>
      <c r="I91" s="31" t="s">
        <v>25</v>
      </c>
      <c r="J91" s="31" t="s">
        <v>609</v>
      </c>
      <c r="K91" s="31" t="s">
        <v>610</v>
      </c>
      <c r="L91" s="31" t="s">
        <v>82</v>
      </c>
      <c r="M91" s="31">
        <v>2021</v>
      </c>
      <c r="N91" s="31">
        <v>0</v>
      </c>
      <c r="O91" s="31">
        <v>249.25</v>
      </c>
      <c r="P91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47A6-7783-4DBD-BF8D-E1282B794CEC}">
  <sheetPr codeName="Planilha4"/>
  <dimension ref="A1:AD52"/>
  <sheetViews>
    <sheetView showGridLines="0" workbookViewId="0">
      <selection sqref="A1:W5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80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3" t="s">
        <v>35</v>
      </c>
      <c r="B2" s="83" t="s">
        <v>48</v>
      </c>
      <c r="C2" s="83" t="s">
        <v>25</v>
      </c>
      <c r="D2" s="83" t="s">
        <v>25</v>
      </c>
      <c r="E2" s="83" t="s">
        <v>25</v>
      </c>
      <c r="F2" s="83" t="s">
        <v>25</v>
      </c>
      <c r="G2" s="13" t="s">
        <v>89</v>
      </c>
      <c r="H2" s="13" t="s">
        <v>88</v>
      </c>
      <c r="I2" s="13">
        <f>SUMIF(Mercado_Receita!$S$2:$S$644,"44440A4AzulNão se aplicaNão se aplicaNão se aplicaNão se aplicaPonta",Mercado_Receita!$J$2:$J$644)+SUMIF(Mercado_Receita!$S$2:$S$644,"44440A4AzulNão se aplicaNão se aplicaAPENão se aplicaPonta",Mercado_Receita!$J$2:$J$644)</f>
        <v>119</v>
      </c>
      <c r="J2" s="13">
        <f>SUMIF(Mercado_Receita!$S$2:$S$644,"44470A4AzulNão se aplicaNão se aplicaNão se aplicaNão se aplicaPonta",Mercado_Receita!$J$2:$J$644)+SUMIF(Mercado_Receita!$S$2:$S$644,"44470A4AzulNão se aplicaNão se aplicaAPENão se aplicaPonta",Mercado_Receita!$J$2:$J$644)</f>
        <v>119</v>
      </c>
      <c r="K2" s="13">
        <f>SUMIF(Mercado_Receita!$S$2:$S$644,"44501A4AzulNão se aplicaNão se aplicaNão se aplicaNão se aplicaPonta",Mercado_Receita!$J$2:$J$644)+SUMIF(Mercado_Receita!$S$2:$S$644,"44501A4AzulNão se aplicaNão se aplicaAPENão se aplicaPonta",Mercado_Receita!$J$2:$J$644)</f>
        <v>120</v>
      </c>
      <c r="L2" s="13">
        <f>SUMIF(Mercado_Receita!$S$2:$S$644,"44531A4AzulNão se aplicaNão se aplicaNão se aplicaNão se aplicaPonta",Mercado_Receita!$J$2:$J$644)+SUMIF(Mercado_Receita!$S$2:$S$644,"44531A4AzulNão se aplicaNão se aplicaAPENão se aplicaPonta",Mercado_Receita!$J$2:$J$644)</f>
        <v>119</v>
      </c>
      <c r="M2" s="13">
        <f>SUMIF(Mercado_Receita!$S$2:$S$644,"44562A4AzulNão se aplicaNão se aplicaNão se aplicaNão se aplicaPonta",Mercado_Receita!$J$2:$J$644)+SUMIF(Mercado_Receita!$S$2:$S$644,"44562A4AzulNão se aplicaNão se aplicaAPENão se aplicaPonta",Mercado_Receita!$J$2:$J$644)</f>
        <v>122</v>
      </c>
      <c r="N2" s="13">
        <f>SUMIF(Mercado_Receita!$S$2:$S$644,"44593A4AzulNão se aplicaNão se aplicaNão se aplicaNão se aplicaPonta",Mercado_Receita!$J$2:$J$644)+SUMIF(Mercado_Receita!$S$2:$S$644,"44593A4AzulNão se aplicaNão se aplicaAPENão se aplicaPonta",Mercado_Receita!$J$2:$J$644)</f>
        <v>122</v>
      </c>
      <c r="O2" s="13">
        <f>SUMIF(Mercado_Receita!$S$2:$S$644,"44621A4AzulNão se aplicaNão se aplicaNão se aplicaNão se aplicaPonta",Mercado_Receita!$J$2:$J$644)+SUMIF(Mercado_Receita!$S$2:$S$644,"44621A4AzulNão se aplicaNão se aplicaAPENão se aplicaPonta",Mercado_Receita!$J$2:$J$644)</f>
        <v>121</v>
      </c>
      <c r="P2" s="13">
        <f>SUMIF(Mercado_Receita!$S$2:$S$644,"44652A4AzulNão se aplicaNão se aplicaNão se aplicaNão se aplicaPonta",Mercado_Receita!$J$2:$J$644)+SUMIF(Mercado_Receita!$S$2:$S$644,"44652A4AzulNão se aplicaNão se aplicaAPENão se aplicaPonta",Mercado_Receita!$J$2:$J$644)</f>
        <v>119</v>
      </c>
      <c r="Q2" s="13">
        <f>SUMIF(Mercado_Receita!$S$2:$S$644,"44682A4AzulNão se aplicaNão se aplicaNão se aplicaNão se aplicaPonta",Mercado_Receita!$J$2:$J$644)+SUMIF(Mercado_Receita!$S$2:$S$644,"44682A4AzulNão se aplicaNão se aplicaAPENão se aplicaPonta",Mercado_Receita!$J$2:$J$644)</f>
        <v>134</v>
      </c>
      <c r="R2" s="13">
        <f>SUMIF(Mercado_Receita!$S$2:$S$644,"44713A4AzulNão se aplicaNão se aplicaNão se aplicaNão se aplicaPonta",Mercado_Receita!$J$2:$J$644)+SUMIF(Mercado_Receita!$S$2:$S$644,"44713A4AzulNão se aplicaNão se aplicaAPENão se aplicaPonta",Mercado_Receita!$J$2:$J$644)</f>
        <v>119</v>
      </c>
      <c r="S2" s="13">
        <f>SUMIF(Mercado_Receita!$S$2:$S$644,"44743A4AzulNão se aplicaNão se aplicaNão se aplicaNão se aplicaPonta",Mercado_Receita!$J$2:$J$644)+SUMIF(Mercado_Receita!$S$2:$S$644,"44743A4AzulNão se aplicaNão se aplicaAPENão se aplicaPonta",Mercado_Receita!$J$2:$J$644)</f>
        <v>119</v>
      </c>
      <c r="T2" s="13">
        <f>SUMIF(Mercado_Receita!$S$2:$S$644,"44774A4AzulNão se aplicaNão se aplicaNão se aplicaNão se aplicaPonta",Mercado_Receita!$J$2:$J$644)+SUMIF(Mercado_Receita!$S$2:$S$644,"44774A4AzulNão se aplicaNão se aplicaAPENão se aplicaPonta",Mercado_Receita!$J$2:$J$644)</f>
        <v>122</v>
      </c>
      <c r="U2" s="13">
        <f t="shared" ref="U2:U33" si="0">SUM(I2:T2)</f>
        <v>1455</v>
      </c>
      <c r="V2" s="13"/>
      <c r="W2" s="13"/>
    </row>
    <row r="3" spans="1:30" ht="11.25" customHeight="1" x14ac:dyDescent="0.25">
      <c r="A3" s="84"/>
      <c r="B3" s="84"/>
      <c r="C3" s="84"/>
      <c r="D3" s="84"/>
      <c r="E3" s="84"/>
      <c r="F3" s="84"/>
      <c r="G3" s="13" t="s">
        <v>90</v>
      </c>
      <c r="H3" s="13" t="s">
        <v>88</v>
      </c>
      <c r="I3" s="13">
        <f>SUMIF(Mercado_Receita!$S$2:$S$644,"44440A4AzulNão se aplicaNão se aplicaNão se aplicaNão se aplicaFora ponta",Mercado_Receita!$J$2:$J$644)+SUMIF(Mercado_Receita!$S$2:$S$644,"44440A4AzulNão se aplicaNão se aplicaAPENão se aplicaFora ponta",Mercado_Receita!$J$2:$J$644)</f>
        <v>119</v>
      </c>
      <c r="J3" s="13">
        <f>SUMIF(Mercado_Receita!$S$2:$S$644,"44470A4AzulNão se aplicaNão se aplicaNão se aplicaNão se aplicaFora ponta",Mercado_Receita!$J$2:$J$644)+SUMIF(Mercado_Receita!$S$2:$S$644,"44470A4AzulNão se aplicaNão se aplicaAPENão se aplicaFora ponta",Mercado_Receita!$J$2:$J$644)</f>
        <v>119</v>
      </c>
      <c r="K3" s="13">
        <f>SUMIF(Mercado_Receita!$S$2:$S$644,"44501A4AzulNão se aplicaNão se aplicaNão se aplicaNão se aplicaFora ponta",Mercado_Receita!$J$2:$J$644)+SUMIF(Mercado_Receita!$S$2:$S$644,"44501A4AzulNão se aplicaNão se aplicaAPENão se aplicaFora ponta",Mercado_Receita!$J$2:$J$644)</f>
        <v>121</v>
      </c>
      <c r="L3" s="13">
        <f>SUMIF(Mercado_Receita!$S$2:$S$644,"44531A4AzulNão se aplicaNão se aplicaNão se aplicaNão se aplicaFora ponta",Mercado_Receita!$J$2:$J$644)+SUMIF(Mercado_Receita!$S$2:$S$644,"44531A4AzulNão se aplicaNão se aplicaAPENão se aplicaFora ponta",Mercado_Receita!$J$2:$J$644)</f>
        <v>119</v>
      </c>
      <c r="M3" s="13">
        <f>SUMIF(Mercado_Receita!$S$2:$S$644,"44562A4AzulNão se aplicaNão se aplicaNão se aplicaNão se aplicaFora ponta",Mercado_Receita!$J$2:$J$644)+SUMIF(Mercado_Receita!$S$2:$S$644,"44562A4AzulNão se aplicaNão se aplicaAPENão se aplicaFora ponta",Mercado_Receita!$J$2:$J$644)</f>
        <v>123</v>
      </c>
      <c r="N3" s="13">
        <f>SUMIF(Mercado_Receita!$S$2:$S$644,"44593A4AzulNão se aplicaNão se aplicaNão se aplicaNão se aplicaFora ponta",Mercado_Receita!$J$2:$J$644)+SUMIF(Mercado_Receita!$S$2:$S$644,"44593A4AzulNão se aplicaNão se aplicaAPENão se aplicaFora ponta",Mercado_Receita!$J$2:$J$644)</f>
        <v>123</v>
      </c>
      <c r="O3" s="13">
        <f>SUMIF(Mercado_Receita!$S$2:$S$644,"44621A4AzulNão se aplicaNão se aplicaNão se aplicaNão se aplicaFora ponta",Mercado_Receita!$J$2:$J$644)+SUMIF(Mercado_Receita!$S$2:$S$644,"44621A4AzulNão se aplicaNão se aplicaAPENão se aplicaFora ponta",Mercado_Receita!$J$2:$J$644)</f>
        <v>121</v>
      </c>
      <c r="P3" s="13">
        <f>SUMIF(Mercado_Receita!$S$2:$S$644,"44652A4AzulNão se aplicaNão se aplicaNão se aplicaNão se aplicaFora ponta",Mercado_Receita!$J$2:$J$644)+SUMIF(Mercado_Receita!$S$2:$S$644,"44652A4AzulNão se aplicaNão se aplicaAPENão se aplicaFora ponta",Mercado_Receita!$J$2:$J$644)</f>
        <v>119</v>
      </c>
      <c r="Q3" s="13">
        <f>SUMIF(Mercado_Receita!$S$2:$S$644,"44682A4AzulNão se aplicaNão se aplicaNão se aplicaNão se aplicaFora ponta",Mercado_Receita!$J$2:$J$644)+SUMIF(Mercado_Receita!$S$2:$S$644,"44682A4AzulNão se aplicaNão se aplicaAPENão se aplicaFora ponta",Mercado_Receita!$J$2:$J$644)</f>
        <v>140</v>
      </c>
      <c r="R3" s="13">
        <f>SUMIF(Mercado_Receita!$S$2:$S$644,"44713A4AzulNão se aplicaNão se aplicaNão se aplicaNão se aplicaFora ponta",Mercado_Receita!$J$2:$J$644)+SUMIF(Mercado_Receita!$S$2:$S$644,"44713A4AzulNão se aplicaNão se aplicaAPENão se aplicaFora ponta",Mercado_Receita!$J$2:$J$644)</f>
        <v>119</v>
      </c>
      <c r="S3" s="13">
        <f>SUMIF(Mercado_Receita!$S$2:$S$644,"44743A4AzulNão se aplicaNão se aplicaNão se aplicaNão se aplicaFora ponta",Mercado_Receita!$J$2:$J$644)+SUMIF(Mercado_Receita!$S$2:$S$644,"44743A4AzulNão se aplicaNão se aplicaAPENão se aplicaFora ponta",Mercado_Receita!$J$2:$J$644)</f>
        <v>119</v>
      </c>
      <c r="T3" s="13">
        <f>SUMIF(Mercado_Receita!$S$2:$S$644,"44774A4AzulNão se aplicaNão se aplicaNão se aplicaNão se aplicaFora ponta",Mercado_Receita!$J$2:$J$644)+SUMIF(Mercado_Receita!$S$2:$S$644,"44774A4AzulNão se aplicaNão se aplicaAPENão se aplicaFora ponta",Mercado_Receita!$J$2:$J$644)</f>
        <v>119</v>
      </c>
      <c r="U3" s="13">
        <f t="shared" si="0"/>
        <v>1461</v>
      </c>
      <c r="V3" s="13"/>
      <c r="W3" s="13"/>
    </row>
    <row r="4" spans="1:30" ht="11.25" customHeight="1" x14ac:dyDescent="0.25">
      <c r="A4" s="84"/>
      <c r="B4" s="84"/>
      <c r="C4" s="84"/>
      <c r="D4" s="84"/>
      <c r="E4" s="84"/>
      <c r="F4" s="84"/>
      <c r="G4" s="13" t="s">
        <v>87</v>
      </c>
      <c r="H4" s="13" t="s">
        <v>82</v>
      </c>
      <c r="I4" s="13">
        <f>SUMIF(Mercado_Receita!$S$2:$S$644,"44440A4AzulNão se aplicaNão se aplicaNão se aplicaNão se aplicaPonta",Mercado_Receita!$L$2:$L$644)+SUMIF(Mercado_Receita!$S$2:$S$644,"44440A4AzulNão se aplicaNão se aplicaNão se aplicaNão se aplicaFora ponta",Mercado_Receita!$L$2:$L$644)+SUMIF(Mercado_Receita!$S$2:$S$644,"44440A4AzulNão se aplicaNão se aplicaNão se aplicaNão se aplicaIntermediário",Mercado_Receita!$L$2:$L$644)+SUMIF(Mercado_Receita!$S$2:$S$644,"44440A4AzulNão se aplicaNão se aplicaNão se aplicaNão se aplicaNão se aplica",Mercado_Receita!$L$2:$L$644)</f>
        <v>75.034999999999997</v>
      </c>
      <c r="J4" s="13">
        <f>SUMIF(Mercado_Receita!$S$2:$S$644,"44470A4AzulNão se aplicaNão se aplicaNão se aplicaNão se aplicaPonta",Mercado_Receita!$L$2:$L$644)+SUMIF(Mercado_Receita!$S$2:$S$644,"44470A4AzulNão se aplicaNão se aplicaNão se aplicaNão se aplicaFora ponta",Mercado_Receita!$L$2:$L$644)+SUMIF(Mercado_Receita!$S$2:$S$644,"44470A4AzulNão se aplicaNão se aplicaNão se aplicaNão se aplicaIntermediário",Mercado_Receita!$L$2:$L$644)+SUMIF(Mercado_Receita!$S$2:$S$644,"44470A4AzulNão se aplicaNão se aplicaNão se aplicaNão se aplicaNão se aplica",Mercado_Receita!$L$2:$L$644)</f>
        <v>74.875</v>
      </c>
      <c r="K4" s="13">
        <f>SUMIF(Mercado_Receita!$S$2:$S$644,"44501A4AzulNão se aplicaNão se aplicaNão se aplicaNão se aplicaPonta",Mercado_Receita!$L$2:$L$644)+SUMIF(Mercado_Receita!$S$2:$S$644,"44501A4AzulNão se aplicaNão se aplicaNão se aplicaNão se aplicaFora ponta",Mercado_Receita!$L$2:$L$644)+SUMIF(Mercado_Receita!$S$2:$S$644,"44501A4AzulNão se aplicaNão se aplicaNão se aplicaNão se aplicaIntermediário",Mercado_Receita!$L$2:$L$644)+SUMIF(Mercado_Receita!$S$2:$S$644,"44501A4AzulNão se aplicaNão se aplicaNão se aplicaNão se aplicaNão se aplica",Mercado_Receita!$L$2:$L$644)</f>
        <v>73.935999999999993</v>
      </c>
      <c r="L4" s="13">
        <f>SUMIF(Mercado_Receita!$S$2:$S$644,"44531A4AzulNão se aplicaNão se aplicaNão se aplicaNão se aplicaPonta",Mercado_Receita!$L$2:$L$644)+SUMIF(Mercado_Receita!$S$2:$S$644,"44531A4AzulNão se aplicaNão se aplicaNão se aplicaNão se aplicaFora ponta",Mercado_Receita!$L$2:$L$644)+SUMIF(Mercado_Receita!$S$2:$S$644,"44531A4AzulNão se aplicaNão se aplicaNão se aplicaNão se aplicaIntermediário",Mercado_Receita!$L$2:$L$644)+SUMIF(Mercado_Receita!$S$2:$S$644,"44531A4AzulNão se aplicaNão se aplicaNão se aplicaNão se aplicaNão se aplica",Mercado_Receita!$L$2:$L$644)</f>
        <v>75.268000000000001</v>
      </c>
      <c r="M4" s="13">
        <f>SUMIF(Mercado_Receita!$S$2:$S$644,"44562A4AzulNão se aplicaNão se aplicaNão se aplicaNão se aplicaPonta",Mercado_Receita!$L$2:$L$644)+SUMIF(Mercado_Receita!$S$2:$S$644,"44562A4AzulNão se aplicaNão se aplicaNão se aplicaNão se aplicaFora ponta",Mercado_Receita!$L$2:$L$644)+SUMIF(Mercado_Receita!$S$2:$S$644,"44562A4AzulNão se aplicaNão se aplicaNão se aplicaNão se aplicaIntermediário",Mercado_Receita!$L$2:$L$644)+SUMIF(Mercado_Receita!$S$2:$S$644,"44562A4AzulNão se aplicaNão se aplicaNão se aplicaNão se aplicaNão se aplica",Mercado_Receita!$L$2:$L$644)</f>
        <v>79.052999999999997</v>
      </c>
      <c r="N4" s="13">
        <f>SUMIF(Mercado_Receita!$S$2:$S$644,"44593A4AzulNão se aplicaNão se aplicaNão se aplicaNão se aplicaPonta",Mercado_Receita!$L$2:$L$644)+SUMIF(Mercado_Receita!$S$2:$S$644,"44593A4AzulNão se aplicaNão se aplicaNão se aplicaNão se aplicaFora ponta",Mercado_Receita!$L$2:$L$644)+SUMIF(Mercado_Receita!$S$2:$S$644,"44593A4AzulNão se aplicaNão se aplicaNão se aplicaNão se aplicaIntermediário",Mercado_Receita!$L$2:$L$644)+SUMIF(Mercado_Receita!$S$2:$S$644,"44593A4AzulNão se aplicaNão se aplicaNão se aplicaNão se aplicaNão se aplica",Mercado_Receita!$L$2:$L$644)</f>
        <v>71.75800000000001</v>
      </c>
      <c r="O4" s="13">
        <f>SUMIF(Mercado_Receita!$S$2:$S$644,"44621A4AzulNão se aplicaNão se aplicaNão se aplicaNão se aplicaPonta",Mercado_Receita!$L$2:$L$644)+SUMIF(Mercado_Receita!$S$2:$S$644,"44621A4AzulNão se aplicaNão se aplicaNão se aplicaNão se aplicaFora ponta",Mercado_Receita!$L$2:$L$644)+SUMIF(Mercado_Receita!$S$2:$S$644,"44621A4AzulNão se aplicaNão se aplicaNão se aplicaNão se aplicaIntermediário",Mercado_Receita!$L$2:$L$644)+SUMIF(Mercado_Receita!$S$2:$S$644,"44621A4AzulNão se aplicaNão se aplicaNão se aplicaNão se aplicaNão se aplica",Mercado_Receita!$L$2:$L$644)</f>
        <v>76.734999999999999</v>
      </c>
      <c r="P4" s="13">
        <f>SUMIF(Mercado_Receita!$S$2:$S$644,"44652A4AzulNão se aplicaNão se aplicaNão se aplicaNão se aplicaPonta",Mercado_Receita!$L$2:$L$644)+SUMIF(Mercado_Receita!$S$2:$S$644,"44652A4AzulNão se aplicaNão se aplicaNão se aplicaNão se aplicaFora ponta",Mercado_Receita!$L$2:$L$644)+SUMIF(Mercado_Receita!$S$2:$S$644,"44652A4AzulNão se aplicaNão se aplicaNão se aplicaNão se aplicaIntermediário",Mercado_Receita!$L$2:$L$644)+SUMIF(Mercado_Receita!$S$2:$S$644,"44652A4AzulNão se aplicaNão se aplicaNão se aplicaNão se aplicaNão se aplica",Mercado_Receita!$L$2:$L$644)</f>
        <v>76.899000000000001</v>
      </c>
      <c r="Q4" s="13">
        <f>SUMIF(Mercado_Receita!$S$2:$S$644,"44682A4AzulNão se aplicaNão se aplicaNão se aplicaNão se aplicaPonta",Mercado_Receita!$L$2:$L$644)+SUMIF(Mercado_Receita!$S$2:$S$644,"44682A4AzulNão se aplicaNão se aplicaNão se aplicaNão se aplicaFora ponta",Mercado_Receita!$L$2:$L$644)+SUMIF(Mercado_Receita!$S$2:$S$644,"44682A4AzulNão se aplicaNão se aplicaNão se aplicaNão se aplicaIntermediário",Mercado_Receita!$L$2:$L$644)+SUMIF(Mercado_Receita!$S$2:$S$644,"44682A4AzulNão se aplicaNão se aplicaNão se aplicaNão se aplicaNão se aplica",Mercado_Receita!$L$2:$L$644)</f>
        <v>76.006</v>
      </c>
      <c r="R4" s="13">
        <f>SUMIF(Mercado_Receita!$S$2:$S$644,"44713A4AzulNão se aplicaNão se aplicaNão se aplicaNão se aplicaPonta",Mercado_Receita!$L$2:$L$644)+SUMIF(Mercado_Receita!$S$2:$S$644,"44713A4AzulNão se aplicaNão se aplicaNão se aplicaNão se aplicaFora ponta",Mercado_Receita!$L$2:$L$644)+SUMIF(Mercado_Receita!$S$2:$S$644,"44713A4AzulNão se aplicaNão se aplicaNão se aplicaNão se aplicaIntermediário",Mercado_Receita!$L$2:$L$644)+SUMIF(Mercado_Receita!$S$2:$S$644,"44713A4AzulNão se aplicaNão se aplicaNão se aplicaNão se aplicaNão se aplica",Mercado_Receita!$L$2:$L$644)</f>
        <v>70.968999999999994</v>
      </c>
      <c r="S4" s="13">
        <f>SUMIF(Mercado_Receita!$S$2:$S$644,"44743A4AzulNão se aplicaNão se aplicaNão se aplicaNão se aplicaPonta",Mercado_Receita!$L$2:$L$644)+SUMIF(Mercado_Receita!$S$2:$S$644,"44743A4AzulNão se aplicaNão se aplicaNão se aplicaNão se aplicaFora ponta",Mercado_Receita!$L$2:$L$644)+SUMIF(Mercado_Receita!$S$2:$S$644,"44743A4AzulNão se aplicaNão se aplicaNão se aplicaNão se aplicaIntermediário",Mercado_Receita!$L$2:$L$644)+SUMIF(Mercado_Receita!$S$2:$S$644,"44743A4AzulNão se aplicaNão se aplicaNão se aplicaNão se aplicaNão se aplica",Mercado_Receita!$L$2:$L$644)</f>
        <v>72.097999999999999</v>
      </c>
      <c r="T4" s="13">
        <f>SUMIF(Mercado_Receita!$S$2:$S$644,"44774A4AzulNão se aplicaNão se aplicaNão se aplicaNão se aplicaPonta",Mercado_Receita!$L$2:$L$644)+SUMIF(Mercado_Receita!$S$2:$S$644,"44774A4AzulNão se aplicaNão se aplicaNão se aplicaNão se aplicaFora ponta",Mercado_Receita!$L$2:$L$644)+SUMIF(Mercado_Receita!$S$2:$S$644,"44774A4AzulNão se aplicaNão se aplicaNão se aplicaNão se aplicaIntermediário",Mercado_Receita!$L$2:$L$644)+SUMIF(Mercado_Receita!$S$2:$S$644,"44774A4AzulNão se aplicaNão se aplicaNão se aplicaNão se aplicaNão se aplica",Mercado_Receita!$L$2:$L$644)</f>
        <v>71.108999999999995</v>
      </c>
      <c r="U4" s="13">
        <f t="shared" si="0"/>
        <v>893.7410000000001</v>
      </c>
      <c r="V4" s="13"/>
      <c r="W4" s="13"/>
    </row>
    <row r="5" spans="1:30" ht="11.25" customHeight="1" x14ac:dyDescent="0.25">
      <c r="A5" s="84"/>
      <c r="B5" s="84"/>
      <c r="C5" s="84"/>
      <c r="D5" s="84"/>
      <c r="E5" s="12" t="s">
        <v>54</v>
      </c>
      <c r="F5" s="12" t="s">
        <v>25</v>
      </c>
      <c r="G5" s="13" t="s">
        <v>87</v>
      </c>
      <c r="H5" s="13" t="s">
        <v>82</v>
      </c>
      <c r="I5" s="13">
        <f>SUMIF(Mercado_Receita!$S$2:$S$644,"44440A4AzulNão se aplicaNão se aplicaAPENão se aplicaPonta",Mercado_Receita!$L$2:$L$644)+SUMIF(Mercado_Receita!$S$2:$S$644,"44440A4AzulNão se aplicaNão se aplicaAPENão se aplicaFora ponta",Mercado_Receita!$L$2:$L$644)+SUMIF(Mercado_Receita!$S$2:$S$644,"44440A4AzulNão se aplicaNão se aplicaAPENão se aplicaIntermediário",Mercado_Receita!$L$2:$L$644)+SUMIF(Mercado_Receita!$S$2:$S$644,"44440A4AzulNão se aplicaNão se aplicaAPENão se aplicaNão se aplica",Mercado_Receita!$L$2:$L$644)</f>
        <v>0</v>
      </c>
      <c r="J5" s="13">
        <f>SUMIF(Mercado_Receita!$S$2:$S$644,"44470A4AzulNão se aplicaNão se aplicaAPENão se aplicaPonta",Mercado_Receita!$L$2:$L$644)+SUMIF(Mercado_Receita!$S$2:$S$644,"44470A4AzulNão se aplicaNão se aplicaAPENão se aplicaFora ponta",Mercado_Receita!$L$2:$L$644)+SUMIF(Mercado_Receita!$S$2:$S$644,"44470A4AzulNão se aplicaNão se aplicaAPENão se aplicaIntermediário",Mercado_Receita!$L$2:$L$644)+SUMIF(Mercado_Receita!$S$2:$S$644,"44470A4AzulNão se aplicaNão se aplicaAPENão se aplicaNão se aplica",Mercado_Receita!$L$2:$L$644)</f>
        <v>0</v>
      </c>
      <c r="K5" s="13">
        <f>SUMIF(Mercado_Receita!$S$2:$S$644,"44501A4AzulNão se aplicaNão se aplicaAPENão se aplicaPonta",Mercado_Receita!$L$2:$L$644)+SUMIF(Mercado_Receita!$S$2:$S$644,"44501A4AzulNão se aplicaNão se aplicaAPENão se aplicaFora ponta",Mercado_Receita!$L$2:$L$644)+SUMIF(Mercado_Receita!$S$2:$S$644,"44501A4AzulNão se aplicaNão se aplicaAPENão se aplicaIntermediário",Mercado_Receita!$L$2:$L$644)+SUMIF(Mercado_Receita!$S$2:$S$644,"44501A4AzulNão se aplicaNão se aplicaAPENão se aplicaNão se aplica",Mercado_Receita!$L$2:$L$644)</f>
        <v>0</v>
      </c>
      <c r="L5" s="13">
        <f>SUMIF(Mercado_Receita!$S$2:$S$644,"44531A4AzulNão se aplicaNão se aplicaAPENão se aplicaPonta",Mercado_Receita!$L$2:$L$644)+SUMIF(Mercado_Receita!$S$2:$S$644,"44531A4AzulNão se aplicaNão se aplicaAPENão se aplicaFora ponta",Mercado_Receita!$L$2:$L$644)+SUMIF(Mercado_Receita!$S$2:$S$644,"44531A4AzulNão se aplicaNão se aplicaAPENão se aplicaIntermediário",Mercado_Receita!$L$2:$L$644)+SUMIF(Mercado_Receita!$S$2:$S$644,"44531A4AzulNão se aplicaNão se aplicaAPENão se aplicaNão se aplica",Mercado_Receita!$L$2:$L$644)</f>
        <v>0</v>
      </c>
      <c r="M5" s="13">
        <f>SUMIF(Mercado_Receita!$S$2:$S$644,"44562A4AzulNão se aplicaNão se aplicaAPENão se aplicaPonta",Mercado_Receita!$L$2:$L$644)+SUMIF(Mercado_Receita!$S$2:$S$644,"44562A4AzulNão se aplicaNão se aplicaAPENão se aplicaFora ponta",Mercado_Receita!$L$2:$L$644)+SUMIF(Mercado_Receita!$S$2:$S$644,"44562A4AzulNão se aplicaNão se aplicaAPENão se aplicaIntermediário",Mercado_Receita!$L$2:$L$644)+SUMIF(Mercado_Receita!$S$2:$S$644,"44562A4AzulNão se aplicaNão se aplicaAPENão se aplicaNão se aplica",Mercado_Receita!$L$2:$L$644)</f>
        <v>0</v>
      </c>
      <c r="N5" s="13">
        <f>SUMIF(Mercado_Receita!$S$2:$S$644,"44593A4AzulNão se aplicaNão se aplicaAPENão se aplicaPonta",Mercado_Receita!$L$2:$L$644)+SUMIF(Mercado_Receita!$S$2:$S$644,"44593A4AzulNão se aplicaNão se aplicaAPENão se aplicaFora ponta",Mercado_Receita!$L$2:$L$644)+SUMIF(Mercado_Receita!$S$2:$S$644,"44593A4AzulNão se aplicaNão se aplicaAPENão se aplicaIntermediário",Mercado_Receita!$L$2:$L$644)+SUMIF(Mercado_Receita!$S$2:$S$644,"44593A4AzulNão se aplicaNão se aplicaAPENão se aplicaNão se aplica",Mercado_Receita!$L$2:$L$644)</f>
        <v>0</v>
      </c>
      <c r="O5" s="13">
        <f>SUMIF(Mercado_Receita!$S$2:$S$644,"44621A4AzulNão se aplicaNão se aplicaAPENão se aplicaPonta",Mercado_Receita!$L$2:$L$644)+SUMIF(Mercado_Receita!$S$2:$S$644,"44621A4AzulNão se aplicaNão se aplicaAPENão se aplicaFora ponta",Mercado_Receita!$L$2:$L$644)+SUMIF(Mercado_Receita!$S$2:$S$644,"44621A4AzulNão se aplicaNão se aplicaAPENão se aplicaIntermediário",Mercado_Receita!$L$2:$L$644)+SUMIF(Mercado_Receita!$S$2:$S$644,"44621A4AzulNão se aplicaNão se aplicaAPENão se aplicaNão se aplica",Mercado_Receita!$L$2:$L$644)</f>
        <v>0</v>
      </c>
      <c r="P5" s="13">
        <f>SUMIF(Mercado_Receita!$S$2:$S$644,"44652A4AzulNão se aplicaNão se aplicaAPENão se aplicaPonta",Mercado_Receita!$L$2:$L$644)+SUMIF(Mercado_Receita!$S$2:$S$644,"44652A4AzulNão se aplicaNão se aplicaAPENão se aplicaFora ponta",Mercado_Receita!$L$2:$L$644)+SUMIF(Mercado_Receita!$S$2:$S$644,"44652A4AzulNão se aplicaNão se aplicaAPENão se aplicaIntermediário",Mercado_Receita!$L$2:$L$644)+SUMIF(Mercado_Receita!$S$2:$S$644,"44652A4AzulNão se aplicaNão se aplicaAPENão se aplicaNão se aplica",Mercado_Receita!$L$2:$L$644)</f>
        <v>0</v>
      </c>
      <c r="Q5" s="13">
        <f>SUMIF(Mercado_Receita!$S$2:$S$644,"44682A4AzulNão se aplicaNão se aplicaAPENão se aplicaPonta",Mercado_Receita!$L$2:$L$644)+SUMIF(Mercado_Receita!$S$2:$S$644,"44682A4AzulNão se aplicaNão se aplicaAPENão se aplicaFora ponta",Mercado_Receita!$L$2:$L$644)+SUMIF(Mercado_Receita!$S$2:$S$644,"44682A4AzulNão se aplicaNão se aplicaAPENão se aplicaIntermediário",Mercado_Receita!$L$2:$L$644)+SUMIF(Mercado_Receita!$S$2:$S$644,"44682A4AzulNão se aplicaNão se aplicaAPENão se aplicaNão se aplica",Mercado_Receita!$L$2:$L$644)</f>
        <v>0</v>
      </c>
      <c r="R5" s="13">
        <f>SUMIF(Mercado_Receita!$S$2:$S$644,"44713A4AzulNão se aplicaNão se aplicaAPENão se aplicaPonta",Mercado_Receita!$L$2:$L$644)+SUMIF(Mercado_Receita!$S$2:$S$644,"44713A4AzulNão se aplicaNão se aplicaAPENão se aplicaFora ponta",Mercado_Receita!$L$2:$L$644)+SUMIF(Mercado_Receita!$S$2:$S$644,"44713A4AzulNão se aplicaNão se aplicaAPENão se aplicaIntermediário",Mercado_Receita!$L$2:$L$644)+SUMIF(Mercado_Receita!$S$2:$S$644,"44713A4AzulNão se aplicaNão se aplicaAPENão se aplicaNão se aplica",Mercado_Receita!$L$2:$L$644)</f>
        <v>0</v>
      </c>
      <c r="S5" s="13">
        <f>SUMIF(Mercado_Receita!$S$2:$S$644,"44743A4AzulNão se aplicaNão se aplicaAPENão se aplicaPonta",Mercado_Receita!$L$2:$L$644)+SUMIF(Mercado_Receita!$S$2:$S$644,"44743A4AzulNão se aplicaNão se aplicaAPENão se aplicaFora ponta",Mercado_Receita!$L$2:$L$644)+SUMIF(Mercado_Receita!$S$2:$S$644,"44743A4AzulNão se aplicaNão se aplicaAPENão se aplicaIntermediário",Mercado_Receita!$L$2:$L$644)+SUMIF(Mercado_Receita!$S$2:$S$644,"44743A4AzulNão se aplicaNão se aplicaAPENão se aplicaNão se aplica",Mercado_Receita!$L$2:$L$644)</f>
        <v>0</v>
      </c>
      <c r="T5" s="13">
        <f>SUMIF(Mercado_Receita!$S$2:$S$644,"44774A4AzulNão se aplicaNão se aplicaAPENão se aplicaPonta",Mercado_Receita!$L$2:$L$644)+SUMIF(Mercado_Receita!$S$2:$S$644,"44774A4AzulNão se aplicaNão se aplicaAPENão se aplicaFora ponta",Mercado_Receita!$L$2:$L$644)+SUMIF(Mercado_Receita!$S$2:$S$644,"44774A4AzulNão se aplicaNão se aplicaAPENão se aplicaIntermediário",Mercado_Receita!$L$2:$L$644)+SUMIF(Mercado_Receita!$S$2:$S$644,"44774A4AzulNão se aplicaNão se aplicaAPENão se aplicaNão se aplica",Mercado_Receita!$L$2:$L$644)</f>
        <v>0</v>
      </c>
      <c r="U5" s="13">
        <f t="shared" si="0"/>
        <v>0</v>
      </c>
      <c r="V5" s="13"/>
      <c r="W5" s="13"/>
    </row>
    <row r="6" spans="1:30" ht="11.25" customHeight="1" x14ac:dyDescent="0.25">
      <c r="A6" s="84"/>
      <c r="B6" s="83" t="s">
        <v>56</v>
      </c>
      <c r="C6" s="83" t="s">
        <v>25</v>
      </c>
      <c r="D6" s="83" t="s">
        <v>25</v>
      </c>
      <c r="E6" s="83" t="s">
        <v>25</v>
      </c>
      <c r="F6" s="83" t="s">
        <v>58</v>
      </c>
      <c r="G6" s="13" t="s">
        <v>89</v>
      </c>
      <c r="H6" s="13" t="s">
        <v>88</v>
      </c>
      <c r="I6" s="13">
        <f>SUMIF(Mercado_Receita!$S$2:$S$644,"44440A4DistribuiçãoNão se aplicaNão se aplicaNão se aplicaCeral AnitápolisPonta",Mercado_Receita!$J$2:$J$644)+SUMIF(Mercado_Receita!$S$2:$S$644,"44440A4DistribuiçãoNão se aplicaNão se aplicaNão se aplicaCeral AnitápolisNão se aplica",Mercado_Receita!$J$2:$J$644)*0.72</f>
        <v>2450</v>
      </c>
      <c r="J6" s="13">
        <f>SUMIF(Mercado_Receita!$S$2:$S$644,"44470A4DistribuiçãoNão se aplicaNão se aplicaNão se aplicaCeral AnitápolisPonta",Mercado_Receita!$J$2:$J$644)+SUMIF(Mercado_Receita!$S$2:$S$644,"44470A4DistribuiçãoNão se aplicaNão se aplicaNão se aplicaCeral AnitápolisNão se aplica",Mercado_Receita!$J$2:$J$644)*0.72</f>
        <v>2450</v>
      </c>
      <c r="K6" s="13">
        <f>SUMIF(Mercado_Receita!$S$2:$S$644,"44501A4DistribuiçãoNão se aplicaNão se aplicaNão se aplicaCeral AnitápolisPonta",Mercado_Receita!$J$2:$J$644)+SUMIF(Mercado_Receita!$S$2:$S$644,"44501A4DistribuiçãoNão se aplicaNão se aplicaNão se aplicaCeral AnitápolisNão se aplica",Mercado_Receita!$J$2:$J$644)*0.72</f>
        <v>2450</v>
      </c>
      <c r="L6" s="13">
        <f>SUMIF(Mercado_Receita!$S$2:$S$644,"44531A4DistribuiçãoNão se aplicaNão se aplicaNão se aplicaCeral AnitápolisPonta",Mercado_Receita!$J$2:$J$644)+SUMIF(Mercado_Receita!$S$2:$S$644,"44531A4DistribuiçãoNão se aplicaNão se aplicaNão se aplicaCeral AnitápolisNão se aplica",Mercado_Receita!$J$2:$J$644)*0.72</f>
        <v>2450</v>
      </c>
      <c r="M6" s="13">
        <f>SUMIF(Mercado_Receita!$S$2:$S$644,"44562A4DistribuiçãoNão se aplicaNão se aplicaNão se aplicaCeral AnitápolisPonta",Mercado_Receita!$J$2:$J$644)+SUMIF(Mercado_Receita!$S$2:$S$644,"44562A4DistribuiçãoNão se aplicaNão se aplicaNão se aplicaCeral AnitápolisNão se aplica",Mercado_Receita!$J$2:$J$644)*0.72</f>
        <v>2450</v>
      </c>
      <c r="N6" s="13">
        <f>SUMIF(Mercado_Receita!$S$2:$S$644,"44593A4DistribuiçãoNão se aplicaNão se aplicaNão se aplicaCeral AnitápolisPonta",Mercado_Receita!$J$2:$J$644)+SUMIF(Mercado_Receita!$S$2:$S$644,"44593A4DistribuiçãoNão se aplicaNão se aplicaNão se aplicaCeral AnitápolisNão se aplica",Mercado_Receita!$J$2:$J$644)*0.72</f>
        <v>2450</v>
      </c>
      <c r="O6" s="13">
        <f>SUMIF(Mercado_Receita!$S$2:$S$644,"44621A4DistribuiçãoNão se aplicaNão se aplicaNão se aplicaCeral AnitápolisPonta",Mercado_Receita!$J$2:$J$644)+SUMIF(Mercado_Receita!$S$2:$S$644,"44621A4DistribuiçãoNão se aplicaNão se aplicaNão se aplicaCeral AnitápolisNão se aplica",Mercado_Receita!$J$2:$J$644)*0.72</f>
        <v>2450</v>
      </c>
      <c r="P6" s="13">
        <f>SUMIF(Mercado_Receita!$S$2:$S$644,"44652A4DistribuiçãoNão se aplicaNão se aplicaNão se aplicaCeral AnitápolisPonta",Mercado_Receita!$J$2:$J$644)+SUMIF(Mercado_Receita!$S$2:$S$644,"44652A4DistribuiçãoNão se aplicaNão se aplicaNão se aplicaCeral AnitápolisNão se aplica",Mercado_Receita!$J$2:$J$644)*0.72</f>
        <v>2450</v>
      </c>
      <c r="Q6" s="13">
        <f>SUMIF(Mercado_Receita!$S$2:$S$644,"44682A4DistribuiçãoNão se aplicaNão se aplicaNão se aplicaCeral AnitápolisPonta",Mercado_Receita!$J$2:$J$644)+SUMIF(Mercado_Receita!$S$2:$S$644,"44682A4DistribuiçãoNão se aplicaNão se aplicaNão se aplicaCeral AnitápolisNão se aplica",Mercado_Receita!$J$2:$J$644)*0.72</f>
        <v>2450</v>
      </c>
      <c r="R6" s="13">
        <f>SUMIF(Mercado_Receita!$S$2:$S$644,"44713A4DistribuiçãoNão se aplicaNão se aplicaNão se aplicaCeral AnitápolisPonta",Mercado_Receita!$J$2:$J$644)+SUMIF(Mercado_Receita!$S$2:$S$644,"44713A4DistribuiçãoNão se aplicaNão se aplicaNão se aplicaCeral AnitápolisNão se aplica",Mercado_Receita!$J$2:$J$644)*0.72</f>
        <v>2450</v>
      </c>
      <c r="S6" s="13">
        <f>SUMIF(Mercado_Receita!$S$2:$S$644,"44743A4DistribuiçãoNão se aplicaNão se aplicaNão se aplicaCeral AnitápolisPonta",Mercado_Receita!$J$2:$J$644)+SUMIF(Mercado_Receita!$S$2:$S$644,"44743A4DistribuiçãoNão se aplicaNão se aplicaNão se aplicaCeral AnitápolisNão se aplica",Mercado_Receita!$J$2:$J$644)*0.72</f>
        <v>2450</v>
      </c>
      <c r="T6" s="13">
        <f>SUMIF(Mercado_Receita!$S$2:$S$644,"44774A4DistribuiçãoNão se aplicaNão se aplicaNão se aplicaCeral AnitápolisPonta",Mercado_Receita!$J$2:$J$644)+SUMIF(Mercado_Receita!$S$2:$S$644,"44774A4DistribuiçãoNão se aplicaNão se aplicaNão se aplicaCeral AnitápolisNão se aplica",Mercado_Receita!$J$2:$J$644)*0.72</f>
        <v>2862</v>
      </c>
      <c r="U6" s="13">
        <f t="shared" si="0"/>
        <v>29812</v>
      </c>
      <c r="V6" s="13"/>
      <c r="W6" s="13"/>
    </row>
    <row r="7" spans="1:30" ht="11.25" customHeight="1" x14ac:dyDescent="0.25">
      <c r="A7" s="84"/>
      <c r="B7" s="84"/>
      <c r="C7" s="84"/>
      <c r="D7" s="84"/>
      <c r="E7" s="84"/>
      <c r="F7" s="84"/>
      <c r="G7" s="13" t="s">
        <v>90</v>
      </c>
      <c r="H7" s="13" t="s">
        <v>88</v>
      </c>
      <c r="I7" s="13">
        <f>SUMIF(Mercado_Receita!$S$2:$S$644,"44440A4DistribuiçãoNão se aplicaNão se aplicaNão se aplicaCeral AnitápolisFora ponta",Mercado_Receita!$J$2:$J$644)+SUMIF(Mercado_Receita!$S$2:$S$644,"44440A4DistribuiçãoNão se aplicaNão se aplicaNão se aplicaCeral AnitápolisNão se aplica",Mercado_Receita!$J$2:$J$644)*1</f>
        <v>2500</v>
      </c>
      <c r="J7" s="13">
        <f>SUMIF(Mercado_Receita!$S$2:$S$644,"44470A4DistribuiçãoNão se aplicaNão se aplicaNão se aplicaCeral AnitápolisFora ponta",Mercado_Receita!$J$2:$J$644)+SUMIF(Mercado_Receita!$S$2:$S$644,"44470A4DistribuiçãoNão se aplicaNão se aplicaNão se aplicaCeral AnitápolisNão se aplica",Mercado_Receita!$J$2:$J$644)*1</f>
        <v>2500</v>
      </c>
      <c r="K7" s="13">
        <f>SUMIF(Mercado_Receita!$S$2:$S$644,"44501A4DistribuiçãoNão se aplicaNão se aplicaNão se aplicaCeral AnitápolisFora ponta",Mercado_Receita!$J$2:$J$644)+SUMIF(Mercado_Receita!$S$2:$S$644,"44501A4DistribuiçãoNão se aplicaNão se aplicaNão se aplicaCeral AnitápolisNão se aplica",Mercado_Receita!$J$2:$J$644)*1</f>
        <v>2500</v>
      </c>
      <c r="L7" s="13">
        <f>SUMIF(Mercado_Receita!$S$2:$S$644,"44531A4DistribuiçãoNão se aplicaNão se aplicaNão se aplicaCeral AnitápolisFora ponta",Mercado_Receita!$J$2:$J$644)+SUMIF(Mercado_Receita!$S$2:$S$644,"44531A4DistribuiçãoNão se aplicaNão se aplicaNão se aplicaCeral AnitápolisNão se aplica",Mercado_Receita!$J$2:$J$644)*1</f>
        <v>2550</v>
      </c>
      <c r="M7" s="13">
        <f>SUMIF(Mercado_Receita!$S$2:$S$644,"44562A4DistribuiçãoNão se aplicaNão se aplicaNão se aplicaCeral AnitápolisFora ponta",Mercado_Receita!$J$2:$J$644)+SUMIF(Mercado_Receita!$S$2:$S$644,"44562A4DistribuiçãoNão se aplicaNão se aplicaNão se aplicaCeral AnitápolisNão se aplica",Mercado_Receita!$J$2:$J$644)*1</f>
        <v>2550</v>
      </c>
      <c r="N7" s="13">
        <f>SUMIF(Mercado_Receita!$S$2:$S$644,"44593A4DistribuiçãoNão se aplicaNão se aplicaNão se aplicaCeral AnitápolisFora ponta",Mercado_Receita!$J$2:$J$644)+SUMIF(Mercado_Receita!$S$2:$S$644,"44593A4DistribuiçãoNão se aplicaNão se aplicaNão se aplicaCeral AnitápolisNão se aplica",Mercado_Receita!$J$2:$J$644)*1</f>
        <v>2550</v>
      </c>
      <c r="O7" s="13">
        <f>SUMIF(Mercado_Receita!$S$2:$S$644,"44621A4DistribuiçãoNão se aplicaNão se aplicaNão se aplicaCeral AnitápolisFora ponta",Mercado_Receita!$J$2:$J$644)+SUMIF(Mercado_Receita!$S$2:$S$644,"44621A4DistribuiçãoNão se aplicaNão se aplicaNão se aplicaCeral AnitápolisNão se aplica",Mercado_Receita!$J$2:$J$644)*1</f>
        <v>2809</v>
      </c>
      <c r="P7" s="13">
        <f>SUMIF(Mercado_Receita!$S$2:$S$644,"44652A4DistribuiçãoNão se aplicaNão se aplicaNão se aplicaCeral AnitápolisFora ponta",Mercado_Receita!$J$2:$J$644)+SUMIF(Mercado_Receita!$S$2:$S$644,"44652A4DistribuiçãoNão se aplicaNão se aplicaNão se aplicaCeral AnitápolisNão se aplica",Mercado_Receita!$J$2:$J$644)*1</f>
        <v>2832</v>
      </c>
      <c r="Q7" s="13">
        <f>SUMIF(Mercado_Receita!$S$2:$S$644,"44682A4DistribuiçãoNão se aplicaNão se aplicaNão se aplicaCeral AnitápolisFora ponta",Mercado_Receita!$J$2:$J$644)+SUMIF(Mercado_Receita!$S$2:$S$644,"44682A4DistribuiçãoNão se aplicaNão se aplicaNão se aplicaCeral AnitápolisNão se aplica",Mercado_Receita!$J$2:$J$644)*1</f>
        <v>2778</v>
      </c>
      <c r="R7" s="13">
        <f>SUMIF(Mercado_Receita!$S$2:$S$644,"44713A4DistribuiçãoNão se aplicaNão se aplicaNão se aplicaCeral AnitápolisFora ponta",Mercado_Receita!$J$2:$J$644)+SUMIF(Mercado_Receita!$S$2:$S$644,"44713A4DistribuiçãoNão se aplicaNão se aplicaNão se aplicaCeral AnitápolisNão se aplica",Mercado_Receita!$J$2:$J$644)*1</f>
        <v>2876</v>
      </c>
      <c r="S7" s="13">
        <f>SUMIF(Mercado_Receita!$S$2:$S$644,"44743A4DistribuiçãoNão se aplicaNão se aplicaNão se aplicaCeral AnitápolisFora ponta",Mercado_Receita!$J$2:$J$644)+SUMIF(Mercado_Receita!$S$2:$S$644,"44743A4DistribuiçãoNão se aplicaNão se aplicaNão se aplicaCeral AnitápolisNão se aplica",Mercado_Receita!$J$2:$J$644)*1</f>
        <v>2550</v>
      </c>
      <c r="T7" s="13">
        <f>SUMIF(Mercado_Receita!$S$2:$S$644,"44774A4DistribuiçãoNão se aplicaNão se aplicaNão se aplicaCeral AnitápolisFora ponta",Mercado_Receita!$J$2:$J$644)+SUMIF(Mercado_Receita!$S$2:$S$644,"44774A4DistribuiçãoNão se aplicaNão se aplicaNão se aplicaCeral AnitápolisNão se aplica",Mercado_Receita!$J$2:$J$644)*1</f>
        <v>3195</v>
      </c>
      <c r="U7" s="13">
        <f t="shared" si="0"/>
        <v>32190</v>
      </c>
      <c r="V7" s="13"/>
      <c r="W7" s="13"/>
    </row>
    <row r="8" spans="1:30" ht="11.25" customHeight="1" x14ac:dyDescent="0.25">
      <c r="A8" s="84"/>
      <c r="B8" s="84"/>
      <c r="C8" s="84"/>
      <c r="D8" s="84"/>
      <c r="E8" s="84"/>
      <c r="F8" s="84"/>
      <c r="G8" s="13" t="s">
        <v>87</v>
      </c>
      <c r="H8" s="13" t="s">
        <v>82</v>
      </c>
      <c r="I8" s="13">
        <f>IF((I6+I7)&lt;&gt;0,SUMIF(Mercado_Receita!$S$2:$S$644,"44440A4DistribuiçãoNão se aplicaNão se aplicaNão se aplicaCeral AnitápolisPonta",Mercado_Receita!$L$2:$L$644)+SUMIF(Mercado_Receita!$S$2:$S$644,"44440A4DistribuiçãoNão se aplicaNão se aplicaNão se aplicaCeral AnitápolisFora ponta",Mercado_Receita!$L$2:$L$644)+SUMIF(Mercado_Receita!$S$2:$S$644,"44440A4DistribuiçãoNão se aplicaNão se aplicaNão se aplicaCeral AnitápolisIntermediário",Mercado_Receita!$L$2:$L$644)+SUMIF(Mercado_Receita!$S$2:$S$644,"44440A4DistribuiçãoNão se aplicaNão se aplicaNão se aplicaCeral AnitápolisNão se aplica",Mercado_Receita!$L$2:$L$644),0)</f>
        <v>573.88800000000003</v>
      </c>
      <c r="J8" s="13">
        <f>IF((J6+J7)&lt;&gt;0,SUMIF(Mercado_Receita!$S$2:$S$644,"44470A4DistribuiçãoNão se aplicaNão se aplicaNão se aplicaCeral AnitápolisPonta",Mercado_Receita!$L$2:$L$644)+SUMIF(Mercado_Receita!$S$2:$S$644,"44470A4DistribuiçãoNão se aplicaNão se aplicaNão se aplicaCeral AnitápolisFora ponta",Mercado_Receita!$L$2:$L$644)+SUMIF(Mercado_Receita!$S$2:$S$644,"44470A4DistribuiçãoNão se aplicaNão se aplicaNão se aplicaCeral AnitápolisIntermediário",Mercado_Receita!$L$2:$L$644)+SUMIF(Mercado_Receita!$S$2:$S$644,"44470A4DistribuiçãoNão se aplicaNão se aplicaNão se aplicaCeral AnitápolisNão se aplica",Mercado_Receita!$L$2:$L$644),0)</f>
        <v>362.76099999999997</v>
      </c>
      <c r="K8" s="13">
        <f>IF((K6+K7)&lt;&gt;0,SUMIF(Mercado_Receita!$S$2:$S$644,"44501A4DistribuiçãoNão se aplicaNão se aplicaNão se aplicaCeral AnitápolisPonta",Mercado_Receita!$L$2:$L$644)+SUMIF(Mercado_Receita!$S$2:$S$644,"44501A4DistribuiçãoNão se aplicaNão se aplicaNão se aplicaCeral AnitápolisFora ponta",Mercado_Receita!$L$2:$L$644)+SUMIF(Mercado_Receita!$S$2:$S$644,"44501A4DistribuiçãoNão se aplicaNão se aplicaNão se aplicaCeral AnitápolisIntermediário",Mercado_Receita!$L$2:$L$644)+SUMIF(Mercado_Receita!$S$2:$S$644,"44501A4DistribuiçãoNão se aplicaNão se aplicaNão se aplicaCeral AnitápolisNão se aplica",Mercado_Receita!$L$2:$L$644),0)</f>
        <v>418.23699999999997</v>
      </c>
      <c r="L8" s="13">
        <f>IF((L6+L7)&lt;&gt;0,SUMIF(Mercado_Receita!$S$2:$S$644,"44531A4DistribuiçãoNão se aplicaNão se aplicaNão se aplicaCeral AnitápolisPonta",Mercado_Receita!$L$2:$L$644)+SUMIF(Mercado_Receita!$S$2:$S$644,"44531A4DistribuiçãoNão se aplicaNão se aplicaNão se aplicaCeral AnitápolisFora ponta",Mercado_Receita!$L$2:$L$644)+SUMIF(Mercado_Receita!$S$2:$S$644,"44531A4DistribuiçãoNão se aplicaNão se aplicaNão se aplicaCeral AnitápolisIntermediário",Mercado_Receita!$L$2:$L$644)+SUMIF(Mercado_Receita!$S$2:$S$644,"44531A4DistribuiçãoNão se aplicaNão se aplicaNão se aplicaCeral AnitápolisNão se aplica",Mercado_Receita!$L$2:$L$644),0)</f>
        <v>469.58799999999997</v>
      </c>
      <c r="M8" s="13">
        <f>IF((M6+M7)&lt;&gt;0,SUMIF(Mercado_Receita!$S$2:$S$644,"44562A4DistribuiçãoNão se aplicaNão se aplicaNão se aplicaCeral AnitápolisPonta",Mercado_Receita!$L$2:$L$644)+SUMIF(Mercado_Receita!$S$2:$S$644,"44562A4DistribuiçãoNão se aplicaNão se aplicaNão se aplicaCeral AnitápolisFora ponta",Mercado_Receita!$L$2:$L$644)+SUMIF(Mercado_Receita!$S$2:$S$644,"44562A4DistribuiçãoNão se aplicaNão se aplicaNão se aplicaCeral AnitápolisIntermediário",Mercado_Receita!$L$2:$L$644)+SUMIF(Mercado_Receita!$S$2:$S$644,"44562A4DistribuiçãoNão se aplicaNão se aplicaNão se aplicaCeral AnitápolisNão se aplica",Mercado_Receita!$L$2:$L$644),0)</f>
        <v>631.41399999999999</v>
      </c>
      <c r="N8" s="13">
        <f>IF((N6+N7)&lt;&gt;0,SUMIF(Mercado_Receita!$S$2:$S$644,"44593A4DistribuiçãoNão se aplicaNão se aplicaNão se aplicaCeral AnitápolisPonta",Mercado_Receita!$L$2:$L$644)+SUMIF(Mercado_Receita!$S$2:$S$644,"44593A4DistribuiçãoNão se aplicaNão se aplicaNão se aplicaCeral AnitápolisFora ponta",Mercado_Receita!$L$2:$L$644)+SUMIF(Mercado_Receita!$S$2:$S$644,"44593A4DistribuiçãoNão se aplicaNão se aplicaNão se aplicaCeral AnitápolisIntermediário",Mercado_Receita!$L$2:$L$644)+SUMIF(Mercado_Receita!$S$2:$S$644,"44593A4DistribuiçãoNão se aplicaNão se aplicaNão se aplicaCeral AnitápolisNão se aplica",Mercado_Receita!$L$2:$L$644),0)</f>
        <v>551.39</v>
      </c>
      <c r="O8" s="13">
        <f>IF((O6+O7)&lt;&gt;0,SUMIF(Mercado_Receita!$S$2:$S$644,"44621A4DistribuiçãoNão se aplicaNão se aplicaNão se aplicaCeral AnitápolisPonta",Mercado_Receita!$L$2:$L$644)+SUMIF(Mercado_Receita!$S$2:$S$644,"44621A4DistribuiçãoNão se aplicaNão se aplicaNão se aplicaCeral AnitápolisFora ponta",Mercado_Receita!$L$2:$L$644)+SUMIF(Mercado_Receita!$S$2:$S$644,"44621A4DistribuiçãoNão se aplicaNão se aplicaNão se aplicaCeral AnitápolisIntermediário",Mercado_Receita!$L$2:$L$644)+SUMIF(Mercado_Receita!$S$2:$S$644,"44621A4DistribuiçãoNão se aplicaNão se aplicaNão se aplicaCeral AnitápolisNão se aplica",Mercado_Receita!$L$2:$L$644),0)</f>
        <v>538.04700000000003</v>
      </c>
      <c r="P8" s="13">
        <f>IF((P6+P7)&lt;&gt;0,SUMIF(Mercado_Receita!$S$2:$S$644,"44652A4DistribuiçãoNão se aplicaNão se aplicaNão se aplicaCeral AnitápolisPonta",Mercado_Receita!$L$2:$L$644)+SUMIF(Mercado_Receita!$S$2:$S$644,"44652A4DistribuiçãoNão se aplicaNão se aplicaNão se aplicaCeral AnitápolisFora ponta",Mercado_Receita!$L$2:$L$644)+SUMIF(Mercado_Receita!$S$2:$S$644,"44652A4DistribuiçãoNão se aplicaNão se aplicaNão se aplicaCeral AnitápolisIntermediário",Mercado_Receita!$L$2:$L$644)+SUMIF(Mercado_Receita!$S$2:$S$644,"44652A4DistribuiçãoNão se aplicaNão se aplicaNão se aplicaCeral AnitápolisNão se aplica",Mercado_Receita!$L$2:$L$644),0)</f>
        <v>476.21499999999997</v>
      </c>
      <c r="Q8" s="13">
        <f>IF((Q6+Q7)&lt;&gt;0,SUMIF(Mercado_Receita!$S$2:$S$644,"44682A4DistribuiçãoNão se aplicaNão se aplicaNão se aplicaCeral AnitápolisPonta",Mercado_Receita!$L$2:$L$644)+SUMIF(Mercado_Receita!$S$2:$S$644,"44682A4DistribuiçãoNão se aplicaNão se aplicaNão se aplicaCeral AnitápolisFora ponta",Mercado_Receita!$L$2:$L$644)+SUMIF(Mercado_Receita!$S$2:$S$644,"44682A4DistribuiçãoNão se aplicaNão se aplicaNão se aplicaCeral AnitápolisIntermediário",Mercado_Receita!$L$2:$L$644)+SUMIF(Mercado_Receita!$S$2:$S$644,"44682A4DistribuiçãoNão se aplicaNão se aplicaNão se aplicaCeral AnitápolisNão se aplica",Mercado_Receita!$L$2:$L$644),0)</f>
        <v>550.798</v>
      </c>
      <c r="R8" s="13">
        <f>IF((R6+R7)&lt;&gt;0,SUMIF(Mercado_Receita!$S$2:$S$644,"44713A4DistribuiçãoNão se aplicaNão se aplicaNão se aplicaCeral AnitápolisPonta",Mercado_Receita!$L$2:$L$644)+SUMIF(Mercado_Receita!$S$2:$S$644,"44713A4DistribuiçãoNão se aplicaNão se aplicaNão se aplicaCeral AnitápolisFora ponta",Mercado_Receita!$L$2:$L$644)+SUMIF(Mercado_Receita!$S$2:$S$644,"44713A4DistribuiçãoNão se aplicaNão se aplicaNão se aplicaCeral AnitápolisIntermediário",Mercado_Receita!$L$2:$L$644)+SUMIF(Mercado_Receita!$S$2:$S$644,"44713A4DistribuiçãoNão se aplicaNão se aplicaNão se aplicaCeral AnitápolisNão se aplica",Mercado_Receita!$L$2:$L$644),0)</f>
        <v>576.53099999999995</v>
      </c>
      <c r="S8" s="13">
        <f>IF((S6+S7)&lt;&gt;0,SUMIF(Mercado_Receita!$S$2:$S$644,"44743A4DistribuiçãoNão se aplicaNão se aplicaNão se aplicaCeral AnitápolisPonta",Mercado_Receita!$L$2:$L$644)+SUMIF(Mercado_Receita!$S$2:$S$644,"44743A4DistribuiçãoNão se aplicaNão se aplicaNão se aplicaCeral AnitápolisFora ponta",Mercado_Receita!$L$2:$L$644)+SUMIF(Mercado_Receita!$S$2:$S$644,"44743A4DistribuiçãoNão se aplicaNão se aplicaNão se aplicaCeral AnitápolisIntermediário",Mercado_Receita!$L$2:$L$644)+SUMIF(Mercado_Receita!$S$2:$S$644,"44743A4DistribuiçãoNão se aplicaNão se aplicaNão se aplicaCeral AnitápolisNão se aplica",Mercado_Receita!$L$2:$L$644),0)</f>
        <v>493.65499999999997</v>
      </c>
      <c r="T8" s="13">
        <f>IF((T6+T7)&lt;&gt;0,SUMIF(Mercado_Receita!$S$2:$S$644,"44774A4DistribuiçãoNão se aplicaNão se aplicaNão se aplicaCeral AnitápolisPonta",Mercado_Receita!$L$2:$L$644)+SUMIF(Mercado_Receita!$S$2:$S$644,"44774A4DistribuiçãoNão se aplicaNão se aplicaNão se aplicaCeral AnitápolisFora ponta",Mercado_Receita!$L$2:$L$644)+SUMIF(Mercado_Receita!$S$2:$S$644,"44774A4DistribuiçãoNão se aplicaNão se aplicaNão se aplicaCeral AnitápolisIntermediário",Mercado_Receita!$L$2:$L$644)+SUMIF(Mercado_Receita!$S$2:$S$644,"44774A4DistribuiçãoNão se aplicaNão se aplicaNão se aplicaCeral AnitápolisNão se aplica",Mercado_Receita!$L$2:$L$644),0)</f>
        <v>600.72</v>
      </c>
      <c r="U8" s="13">
        <f t="shared" si="0"/>
        <v>6243.2439999999997</v>
      </c>
      <c r="V8" s="13"/>
      <c r="W8" s="13"/>
    </row>
    <row r="9" spans="1:30" ht="11.25" customHeight="1" x14ac:dyDescent="0.25">
      <c r="A9" s="84"/>
      <c r="B9" s="12" t="s">
        <v>60</v>
      </c>
      <c r="C9" s="12" t="s">
        <v>25</v>
      </c>
      <c r="D9" s="12" t="s">
        <v>25</v>
      </c>
      <c r="E9" s="12" t="s">
        <v>25</v>
      </c>
      <c r="F9" s="12" t="s">
        <v>25</v>
      </c>
      <c r="G9" s="13" t="s">
        <v>9</v>
      </c>
      <c r="H9" s="13" t="s">
        <v>88</v>
      </c>
      <c r="I9" s="13">
        <f>SUMIF(Mercado_Receita!$S$2:$S$644,"44440A4GeraçãoNão se aplicaNão se aplicaNão se aplicaNão se aplicaNão se aplica",Mercado_Receita!$J$2:$J$644)+SUMIF(Mercado_Receita!$S$2:$S$644,"44440A4GeraçãoNão se aplicaNão se aplicaAPENão se aplicaNão se aplica",Mercado_Receita!$J$2:$J$644)</f>
        <v>4501</v>
      </c>
      <c r="J9" s="13">
        <f>SUMIF(Mercado_Receita!$S$2:$S$644,"44470A4GeraçãoNão se aplicaNão se aplicaNão se aplicaNão se aplicaNão se aplica",Mercado_Receita!$J$2:$J$644)+SUMIF(Mercado_Receita!$S$2:$S$644,"44470A4GeraçãoNão se aplicaNão se aplicaAPENão se aplicaNão se aplica",Mercado_Receita!$J$2:$J$644)</f>
        <v>4603</v>
      </c>
      <c r="K9" s="13">
        <f>SUMIF(Mercado_Receita!$S$2:$S$644,"44501A4GeraçãoNão se aplicaNão se aplicaNão se aplicaNão se aplicaNão se aplica",Mercado_Receita!$J$2:$J$644)+SUMIF(Mercado_Receita!$S$2:$S$644,"44501A4GeraçãoNão se aplicaNão se aplicaAPENão se aplicaNão se aplica",Mercado_Receita!$J$2:$J$644)</f>
        <v>4367</v>
      </c>
      <c r="L9" s="13">
        <f>SUMIF(Mercado_Receita!$S$2:$S$644,"44531A4GeraçãoNão se aplicaNão se aplicaNão se aplicaNão se aplicaNão se aplica",Mercado_Receita!$J$2:$J$644)+SUMIF(Mercado_Receita!$S$2:$S$644,"44531A4GeraçãoNão se aplicaNão se aplicaAPENão se aplicaNão se aplica",Mercado_Receita!$J$2:$J$644)</f>
        <v>4474</v>
      </c>
      <c r="M9" s="13">
        <f>SUMIF(Mercado_Receita!$S$2:$S$644,"44562A4GeraçãoNão se aplicaNão se aplicaNão se aplicaNão se aplicaNão se aplica",Mercado_Receita!$J$2:$J$644)+SUMIF(Mercado_Receita!$S$2:$S$644,"44562A4GeraçãoNão se aplicaNão se aplicaAPENão se aplicaNão se aplica",Mercado_Receita!$J$2:$J$644)</f>
        <v>4474</v>
      </c>
      <c r="N9" s="13">
        <f>SUMIF(Mercado_Receita!$S$2:$S$644,"44593A4GeraçãoNão se aplicaNão se aplicaNão se aplicaNão se aplicaNão se aplica",Mercado_Receita!$J$2:$J$644)+SUMIF(Mercado_Receita!$S$2:$S$644,"44593A4GeraçãoNão se aplicaNão se aplicaAPENão se aplicaNão se aplica",Mercado_Receita!$J$2:$J$644)</f>
        <v>4355</v>
      </c>
      <c r="O9" s="13">
        <f>SUMIF(Mercado_Receita!$S$2:$S$644,"44621A4GeraçãoNão se aplicaNão se aplicaNão se aplicaNão se aplicaNão se aplica",Mercado_Receita!$J$2:$J$644)+SUMIF(Mercado_Receita!$S$2:$S$644,"44621A4GeraçãoNão se aplicaNão se aplicaAPENão se aplicaNão se aplica",Mercado_Receita!$J$2:$J$644)</f>
        <v>4561</v>
      </c>
      <c r="P9" s="13">
        <f>SUMIF(Mercado_Receita!$S$2:$S$644,"44652A4GeraçãoNão se aplicaNão se aplicaNão se aplicaNão se aplicaNão se aplica",Mercado_Receita!$J$2:$J$644)+SUMIF(Mercado_Receita!$S$2:$S$644,"44652A4GeraçãoNão se aplicaNão se aplicaAPENão se aplicaNão se aplica",Mercado_Receita!$J$2:$J$644)</f>
        <v>4498</v>
      </c>
      <c r="Q9" s="13">
        <f>SUMIF(Mercado_Receita!$S$2:$S$644,"44682A4GeraçãoNão se aplicaNão se aplicaNão se aplicaNão se aplicaNão se aplica",Mercado_Receita!$J$2:$J$644)+SUMIF(Mercado_Receita!$S$2:$S$644,"44682A4GeraçãoNão se aplicaNão se aplicaAPENão se aplicaNão se aplica",Mercado_Receita!$J$2:$J$644)</f>
        <v>4315</v>
      </c>
      <c r="R9" s="13">
        <f>SUMIF(Mercado_Receita!$S$2:$S$644,"44713A4GeraçãoNão se aplicaNão se aplicaNão se aplicaNão se aplicaNão se aplica",Mercado_Receita!$J$2:$J$644)+SUMIF(Mercado_Receita!$S$2:$S$644,"44713A4GeraçãoNão se aplicaNão se aplicaAPENão se aplicaNão se aplica",Mercado_Receita!$J$2:$J$644)</f>
        <v>4344</v>
      </c>
      <c r="S9" s="13">
        <f>SUMIF(Mercado_Receita!$S$2:$S$644,"44743A4GeraçãoNão se aplicaNão se aplicaNão se aplicaNão se aplicaNão se aplica",Mercado_Receita!$J$2:$J$644)+SUMIF(Mercado_Receita!$S$2:$S$644,"44743A4GeraçãoNão se aplicaNão se aplicaAPENão se aplicaNão se aplica",Mercado_Receita!$J$2:$J$644)</f>
        <v>4478</v>
      </c>
      <c r="T9" s="13">
        <f>SUMIF(Mercado_Receita!$S$2:$S$644,"44774A4GeraçãoNão se aplicaNão se aplicaNão se aplicaNão se aplicaNão se aplica",Mercado_Receita!$J$2:$J$644)+SUMIF(Mercado_Receita!$S$2:$S$644,"44774A4GeraçãoNão se aplicaNão se aplicaAPENão se aplicaNão se aplica",Mercado_Receita!$J$2:$J$644)</f>
        <v>4440</v>
      </c>
      <c r="U9" s="13">
        <f t="shared" si="0"/>
        <v>53410</v>
      </c>
      <c r="V9" s="13"/>
      <c r="W9" s="13"/>
    </row>
    <row r="10" spans="1:30" ht="11.25" customHeight="1" x14ac:dyDescent="0.25">
      <c r="A10" s="84"/>
      <c r="B10" s="83" t="s">
        <v>36</v>
      </c>
      <c r="C10" s="83" t="s">
        <v>25</v>
      </c>
      <c r="D10" s="83" t="s">
        <v>25</v>
      </c>
      <c r="E10" s="83" t="s">
        <v>25</v>
      </c>
      <c r="F10" s="83" t="s">
        <v>25</v>
      </c>
      <c r="G10" s="13" t="s">
        <v>9</v>
      </c>
      <c r="H10" s="13" t="s">
        <v>88</v>
      </c>
      <c r="I10" s="13">
        <f>SUMIF(Mercado_Receita!$S$2:$S$644,"44440A4VerdeNão se aplicaNão se aplicaNão se aplicaNão se aplicaNão se aplica",Mercado_Receita!$J$2:$J$644)+SUMIF(Mercado_Receita!$S$2:$S$644,"44440A4VerdeNão se aplicaNão se aplicaAPENão se aplicaNão se aplica",Mercado_Receita!$J$2:$J$644)</f>
        <v>16120</v>
      </c>
      <c r="J10" s="13">
        <f>SUMIF(Mercado_Receita!$S$2:$S$644,"44470A4VerdeNão se aplicaNão se aplicaNão se aplicaNão se aplicaNão se aplica",Mercado_Receita!$J$2:$J$644)+SUMIF(Mercado_Receita!$S$2:$S$644,"44470A4VerdeNão se aplicaNão se aplicaAPENão se aplicaNão se aplica",Mercado_Receita!$J$2:$J$644)</f>
        <v>16124</v>
      </c>
      <c r="K10" s="13">
        <f>SUMIF(Mercado_Receita!$S$2:$S$644,"44501A4VerdeNão se aplicaNão se aplicaNão se aplicaNão se aplicaNão se aplica",Mercado_Receita!$J$2:$J$644)+SUMIF(Mercado_Receita!$S$2:$S$644,"44501A4VerdeNão se aplicaNão se aplicaAPENão se aplicaNão se aplica",Mercado_Receita!$J$2:$J$644)</f>
        <v>16631</v>
      </c>
      <c r="L10" s="13">
        <f>SUMIF(Mercado_Receita!$S$2:$S$644,"44531A4VerdeNão se aplicaNão se aplicaNão se aplicaNão se aplicaNão se aplica",Mercado_Receita!$J$2:$J$644)+SUMIF(Mercado_Receita!$S$2:$S$644,"44531A4VerdeNão se aplicaNão se aplicaAPENão se aplicaNão se aplica",Mercado_Receita!$J$2:$J$644)</f>
        <v>16641</v>
      </c>
      <c r="M10" s="13">
        <f>SUMIF(Mercado_Receita!$S$2:$S$644,"44562A4VerdeNão se aplicaNão se aplicaNão se aplicaNão se aplicaNão se aplica",Mercado_Receita!$J$2:$J$644)+SUMIF(Mercado_Receita!$S$2:$S$644,"44562A4VerdeNão se aplicaNão se aplicaAPENão se aplicaNão se aplica",Mercado_Receita!$J$2:$J$644)</f>
        <v>16724</v>
      </c>
      <c r="N10" s="13">
        <f>SUMIF(Mercado_Receita!$S$2:$S$644,"44593A4VerdeNão se aplicaNão se aplicaNão se aplicaNão se aplicaNão se aplica",Mercado_Receita!$J$2:$J$644)+SUMIF(Mercado_Receita!$S$2:$S$644,"44593A4VerdeNão se aplicaNão se aplicaAPENão se aplicaNão se aplica",Mercado_Receita!$J$2:$J$644)</f>
        <v>16837</v>
      </c>
      <c r="O10" s="13">
        <f>SUMIF(Mercado_Receita!$S$2:$S$644,"44621A4VerdeNão se aplicaNão se aplicaNão se aplicaNão se aplicaNão se aplica",Mercado_Receita!$J$2:$J$644)+SUMIF(Mercado_Receita!$S$2:$S$644,"44621A4VerdeNão se aplicaNão se aplicaAPENão se aplicaNão se aplica",Mercado_Receita!$J$2:$J$644)</f>
        <v>16650</v>
      </c>
      <c r="P10" s="13">
        <f>SUMIF(Mercado_Receita!$S$2:$S$644,"44652A4VerdeNão se aplicaNão se aplicaNão se aplicaNão se aplicaNão se aplica",Mercado_Receita!$J$2:$J$644)+SUMIF(Mercado_Receita!$S$2:$S$644,"44652A4VerdeNão se aplicaNão se aplicaAPENão se aplicaNão se aplica",Mercado_Receita!$J$2:$J$644)</f>
        <v>16509</v>
      </c>
      <c r="Q10" s="13">
        <f>SUMIF(Mercado_Receita!$S$2:$S$644,"44682A4VerdeNão se aplicaNão se aplicaNão se aplicaNão se aplicaNão se aplica",Mercado_Receita!$J$2:$J$644)+SUMIF(Mercado_Receita!$S$2:$S$644,"44682A4VerdeNão se aplicaNão se aplicaAPENão se aplicaNão se aplica",Mercado_Receita!$J$2:$J$644)</f>
        <v>17007</v>
      </c>
      <c r="R10" s="13">
        <f>SUMIF(Mercado_Receita!$S$2:$S$644,"44713A4VerdeNão se aplicaNão se aplicaNão se aplicaNão se aplicaNão se aplica",Mercado_Receita!$J$2:$J$644)+SUMIF(Mercado_Receita!$S$2:$S$644,"44713A4VerdeNão se aplicaNão se aplicaAPENão se aplicaNão se aplica",Mercado_Receita!$J$2:$J$644)</f>
        <v>17132</v>
      </c>
      <c r="S10" s="13">
        <f>SUMIF(Mercado_Receita!$S$2:$S$644,"44743A4VerdeNão se aplicaNão se aplicaNão se aplicaNão se aplicaNão se aplica",Mercado_Receita!$J$2:$J$644)+SUMIF(Mercado_Receita!$S$2:$S$644,"44743A4VerdeNão se aplicaNão se aplicaAPENão se aplicaNão se aplica",Mercado_Receita!$J$2:$J$644)</f>
        <v>16053</v>
      </c>
      <c r="T10" s="13">
        <f>SUMIF(Mercado_Receita!$S$2:$S$644,"44774A4VerdeNão se aplicaNão se aplicaNão se aplicaNão se aplicaNão se aplica",Mercado_Receita!$J$2:$J$644)+SUMIF(Mercado_Receita!$S$2:$S$644,"44774A4VerdeNão se aplicaNão se aplicaAPENão se aplicaNão se aplica",Mercado_Receita!$J$2:$J$644)</f>
        <v>17363</v>
      </c>
      <c r="U10" s="13">
        <f t="shared" si="0"/>
        <v>199791</v>
      </c>
      <c r="V10" s="13"/>
      <c r="W10" s="13"/>
    </row>
    <row r="11" spans="1:30" ht="11.25" customHeight="1" x14ac:dyDescent="0.25">
      <c r="A11" s="84"/>
      <c r="B11" s="84"/>
      <c r="C11" s="84"/>
      <c r="D11" s="84"/>
      <c r="E11" s="84"/>
      <c r="F11" s="84"/>
      <c r="G11" s="13" t="s">
        <v>83</v>
      </c>
      <c r="H11" s="13" t="s">
        <v>82</v>
      </c>
      <c r="I11" s="13">
        <f>SUMIF(Mercado_Receita!$S$2:$S$644,"44440A4VerdeNão se aplicaNão se aplicaNão se aplicaNão se aplicaPonta",Mercado_Receita!$L$2:$L$644)</f>
        <v>267.13599999999997</v>
      </c>
      <c r="J11" s="13">
        <f>SUMIF(Mercado_Receita!$S$2:$S$644,"44470A4VerdeNão se aplicaNão se aplicaNão se aplicaNão se aplicaPonta",Mercado_Receita!$L$2:$L$644)</f>
        <v>268.21000000000004</v>
      </c>
      <c r="K11" s="13">
        <f>SUMIF(Mercado_Receita!$S$2:$S$644,"44501A4VerdeNão se aplicaNão se aplicaNão se aplicaNão se aplicaPonta",Mercado_Receita!$L$2:$L$644)</f>
        <v>274.77499999999998</v>
      </c>
      <c r="L11" s="13">
        <f>SUMIF(Mercado_Receita!$S$2:$S$644,"44531A4VerdeNão se aplicaNão se aplicaNão se aplicaNão se aplicaPonta",Mercado_Receita!$L$2:$L$644)</f>
        <v>233.57300000000004</v>
      </c>
      <c r="M11" s="13">
        <f>SUMIF(Mercado_Receita!$S$2:$S$644,"44562A4VerdeNão se aplicaNão se aplicaNão se aplicaNão se aplicaPonta",Mercado_Receita!$L$2:$L$644)</f>
        <v>259.16000000000003</v>
      </c>
      <c r="N11" s="13">
        <f>SUMIF(Mercado_Receita!$S$2:$S$644,"44593A4VerdeNão se aplicaNão se aplicaNão se aplicaNão se aplicaPonta",Mercado_Receita!$L$2:$L$644)</f>
        <v>269.89300000000003</v>
      </c>
      <c r="O11" s="13">
        <f>SUMIF(Mercado_Receita!$S$2:$S$644,"44621A4VerdeNão se aplicaNão se aplicaNão se aplicaNão se aplicaPonta",Mercado_Receita!$L$2:$L$644)</f>
        <v>297.08299999999997</v>
      </c>
      <c r="P11" s="13">
        <f>SUMIF(Mercado_Receita!$S$2:$S$644,"44652A4VerdeNão se aplicaNão se aplicaNão se aplicaNão se aplicaPonta",Mercado_Receita!$L$2:$L$644)</f>
        <v>249.06200000000001</v>
      </c>
      <c r="Q11" s="13">
        <f>SUMIF(Mercado_Receita!$S$2:$S$644,"44682A4VerdeNão se aplicaNão se aplicaNão se aplicaNão se aplicaPonta",Mercado_Receita!$L$2:$L$644)</f>
        <v>259.17500000000001</v>
      </c>
      <c r="R11" s="13">
        <f>SUMIF(Mercado_Receita!$S$2:$S$644,"44713A4VerdeNão se aplicaNão se aplicaNão se aplicaNão se aplicaPonta",Mercado_Receita!$L$2:$L$644)</f>
        <v>265.62399999999997</v>
      </c>
      <c r="S11" s="13">
        <f>SUMIF(Mercado_Receita!$S$2:$S$644,"44743A4VerdeNão se aplicaNão se aplicaNão se aplicaNão se aplicaPonta",Mercado_Receita!$L$2:$L$644)</f>
        <v>258.57499999999999</v>
      </c>
      <c r="T11" s="13">
        <f>SUMIF(Mercado_Receita!$S$2:$S$644,"44774A4VerdeNão se aplicaNão se aplicaNão se aplicaNão se aplicaPonta",Mercado_Receita!$L$2:$L$644)</f>
        <v>300.04399999999998</v>
      </c>
      <c r="U11" s="13">
        <f t="shared" si="0"/>
        <v>3202.3099999999995</v>
      </c>
      <c r="V11" s="13"/>
      <c r="W11" s="13"/>
    </row>
    <row r="12" spans="1:30" ht="11.25" customHeight="1" x14ac:dyDescent="0.25">
      <c r="A12" s="84"/>
      <c r="B12" s="84"/>
      <c r="C12" s="84"/>
      <c r="D12" s="84"/>
      <c r="E12" s="84"/>
      <c r="F12" s="84"/>
      <c r="G12" s="13" t="s">
        <v>84</v>
      </c>
      <c r="H12" s="13" t="s">
        <v>82</v>
      </c>
      <c r="I12" s="13">
        <f>SUMIF(Mercado_Receita!$S$2:$S$644,"44440A4VerdeNão se aplicaNão se aplicaNão se aplicaNão se aplicaFora ponta",Mercado_Receita!$L$2:$L$644)</f>
        <v>3640.6669999999999</v>
      </c>
      <c r="J12" s="13">
        <f>SUMIF(Mercado_Receita!$S$2:$S$644,"44470A4VerdeNão se aplicaNão se aplicaNão se aplicaNão se aplicaFora ponta",Mercado_Receita!$L$2:$L$644)</f>
        <v>3590.8539999999998</v>
      </c>
      <c r="K12" s="13">
        <f>SUMIF(Mercado_Receita!$S$2:$S$644,"44501A4VerdeNão se aplicaNão se aplicaNão se aplicaNão se aplicaFora ponta",Mercado_Receita!$L$2:$L$644)</f>
        <v>3600.8529999999996</v>
      </c>
      <c r="L12" s="13">
        <f>SUMIF(Mercado_Receita!$S$2:$S$644,"44531A4VerdeNão se aplicaNão se aplicaNão se aplicaNão se aplicaFora ponta",Mercado_Receita!$L$2:$L$644)</f>
        <v>3235.2650000000003</v>
      </c>
      <c r="M12" s="13">
        <f>SUMIF(Mercado_Receita!$S$2:$S$644,"44562A4VerdeNão se aplicaNão se aplicaNão se aplicaNão se aplicaFora ponta",Mercado_Receita!$L$2:$L$644)</f>
        <v>3498.9799999999996</v>
      </c>
      <c r="N12" s="13">
        <f>SUMIF(Mercado_Receita!$S$2:$S$644,"44593A4VerdeNão se aplicaNão se aplicaNão se aplicaNão se aplicaFora ponta",Mercado_Receita!$L$2:$L$644)</f>
        <v>3598.145</v>
      </c>
      <c r="O12" s="13">
        <f>SUMIF(Mercado_Receita!$S$2:$S$644,"44621A4VerdeNão se aplicaNão se aplicaNão se aplicaNão se aplicaFora ponta",Mercado_Receita!$L$2:$L$644)</f>
        <v>3820.3739999999993</v>
      </c>
      <c r="P12" s="13">
        <f>SUMIF(Mercado_Receita!$S$2:$S$644,"44652A4VerdeNão se aplicaNão se aplicaNão se aplicaNão se aplicaFora ponta",Mercado_Receita!$L$2:$L$644)</f>
        <v>3330.2329999999997</v>
      </c>
      <c r="Q12" s="13">
        <f>SUMIF(Mercado_Receita!$S$2:$S$644,"44682A4VerdeNão se aplicaNão se aplicaNão se aplicaNão se aplicaFora ponta",Mercado_Receita!$L$2:$L$644)</f>
        <v>3426.1169999999997</v>
      </c>
      <c r="R12" s="13">
        <f>SUMIF(Mercado_Receita!$S$2:$S$644,"44713A4VerdeNão se aplicaNão se aplicaNão se aplicaNão se aplicaFora ponta",Mercado_Receita!$L$2:$L$644)</f>
        <v>3482.8910000000001</v>
      </c>
      <c r="S12" s="13">
        <f>SUMIF(Mercado_Receita!$S$2:$S$644,"44743A4VerdeNão se aplicaNão se aplicaNão se aplicaNão se aplicaFora ponta",Mercado_Receita!$L$2:$L$644)</f>
        <v>3450.13</v>
      </c>
      <c r="T12" s="13">
        <f>SUMIF(Mercado_Receita!$S$2:$S$644,"44774A4VerdeNão se aplicaNão se aplicaNão se aplicaNão se aplicaFora ponta",Mercado_Receita!$L$2:$L$644)</f>
        <v>3681.3370000000004</v>
      </c>
      <c r="U12" s="13">
        <f t="shared" si="0"/>
        <v>42355.845999999998</v>
      </c>
      <c r="V12" s="13"/>
      <c r="W12" s="13"/>
    </row>
    <row r="13" spans="1:30" ht="11.25" customHeight="1" x14ac:dyDescent="0.25">
      <c r="A13" s="84"/>
      <c r="B13" s="84"/>
      <c r="C13" s="84"/>
      <c r="D13" s="84"/>
      <c r="E13" s="83" t="s">
        <v>54</v>
      </c>
      <c r="F13" s="83" t="s">
        <v>25</v>
      </c>
      <c r="G13" s="13" t="s">
        <v>83</v>
      </c>
      <c r="H13" s="13" t="s">
        <v>82</v>
      </c>
      <c r="I13" s="13">
        <f>SUMIF(Mercado_Receita!$S$2:$S$644,"44440A4VerdeNão se aplicaNão se aplicaAPENão se aplicaPonta",Mercado_Receita!$L$2:$L$644)</f>
        <v>0</v>
      </c>
      <c r="J13" s="13">
        <f>SUMIF(Mercado_Receita!$S$2:$S$644,"44470A4VerdeNão se aplicaNão se aplicaAPENão se aplicaPonta",Mercado_Receita!$L$2:$L$644)</f>
        <v>0</v>
      </c>
      <c r="K13" s="13">
        <f>SUMIF(Mercado_Receita!$S$2:$S$644,"44501A4VerdeNão se aplicaNão se aplicaAPENão se aplicaPonta",Mercado_Receita!$L$2:$L$644)</f>
        <v>0</v>
      </c>
      <c r="L13" s="13">
        <f>SUMIF(Mercado_Receita!$S$2:$S$644,"44531A4VerdeNão se aplicaNão se aplicaAPENão se aplicaPonta",Mercado_Receita!$L$2:$L$644)</f>
        <v>2.7E-2</v>
      </c>
      <c r="M13" s="13">
        <f>SUMIF(Mercado_Receita!$S$2:$S$644,"44562A4VerdeNão se aplicaNão se aplicaAPENão se aplicaPonta",Mercado_Receita!$L$2:$L$644)</f>
        <v>0.25600000000000001</v>
      </c>
      <c r="N13" s="13">
        <f>SUMIF(Mercado_Receita!$S$2:$S$644,"44593A4VerdeNão se aplicaNão se aplicaAPENão se aplicaPonta",Mercado_Receita!$L$2:$L$644)</f>
        <v>0</v>
      </c>
      <c r="O13" s="13">
        <f>SUMIF(Mercado_Receita!$S$2:$S$644,"44621A4VerdeNão se aplicaNão se aplicaAPENão se aplicaPonta",Mercado_Receita!$L$2:$L$644)</f>
        <v>5.1999999999999998E-2</v>
      </c>
      <c r="P13" s="13">
        <f>SUMIF(Mercado_Receita!$S$2:$S$644,"44652A4VerdeNão se aplicaNão se aplicaAPENão se aplicaPonta",Mercado_Receita!$L$2:$L$644)</f>
        <v>0</v>
      </c>
      <c r="Q13" s="13">
        <f>SUMIF(Mercado_Receita!$S$2:$S$644,"44682A4VerdeNão se aplicaNão se aplicaAPENão se aplicaPonta",Mercado_Receita!$L$2:$L$644)</f>
        <v>0.52300000000000002</v>
      </c>
      <c r="R13" s="13">
        <f>SUMIF(Mercado_Receita!$S$2:$S$644,"44713A4VerdeNão se aplicaNão se aplicaAPENão se aplicaPonta",Mercado_Receita!$L$2:$L$644)</f>
        <v>0</v>
      </c>
      <c r="S13" s="13">
        <f>SUMIF(Mercado_Receita!$S$2:$S$644,"44743A4VerdeNão se aplicaNão se aplicaAPENão se aplicaPonta",Mercado_Receita!$L$2:$L$644)</f>
        <v>0.114</v>
      </c>
      <c r="T13" s="13">
        <f>SUMIF(Mercado_Receita!$S$2:$S$644,"44774A4VerdeNão se aplicaNão se aplicaAPENão se aplicaPonta",Mercado_Receita!$L$2:$L$644)</f>
        <v>0.06</v>
      </c>
      <c r="U13" s="13">
        <f t="shared" si="0"/>
        <v>1.032</v>
      </c>
      <c r="V13" s="13"/>
      <c r="W13" s="13"/>
    </row>
    <row r="14" spans="1:30" ht="11.25" customHeight="1" x14ac:dyDescent="0.25">
      <c r="A14" s="84"/>
      <c r="B14" s="84"/>
      <c r="C14" s="84"/>
      <c r="D14" s="84"/>
      <c r="E14" s="84"/>
      <c r="F14" s="84"/>
      <c r="G14" s="13" t="s">
        <v>84</v>
      </c>
      <c r="H14" s="13" t="s">
        <v>82</v>
      </c>
      <c r="I14" s="13">
        <f>SUMIF(Mercado_Receita!$S$2:$S$644,"44440A4VerdeNão se aplicaNão se aplicaAPENão se aplicaFora ponta",Mercado_Receita!$L$2:$L$644)</f>
        <v>6.2770000000000001</v>
      </c>
      <c r="J14" s="13">
        <f>SUMIF(Mercado_Receita!$S$2:$S$644,"44470A4VerdeNão se aplicaNão se aplicaAPENão se aplicaFora ponta",Mercado_Receita!$L$2:$L$644)</f>
        <v>0.56899999999999995</v>
      </c>
      <c r="K14" s="13">
        <f>SUMIF(Mercado_Receita!$S$2:$S$644,"44501A4VerdeNão se aplicaNão se aplicaAPENão se aplicaFora ponta",Mercado_Receita!$L$2:$L$644)</f>
        <v>2.83</v>
      </c>
      <c r="L14" s="13">
        <f>SUMIF(Mercado_Receita!$S$2:$S$644,"44531A4VerdeNão se aplicaNão se aplicaAPENão se aplicaFora ponta",Mercado_Receita!$L$2:$L$644)</f>
        <v>1.4339999999999999</v>
      </c>
      <c r="M14" s="13">
        <f>SUMIF(Mercado_Receita!$S$2:$S$644,"44562A4VerdeNão se aplicaNão se aplicaAPENão se aplicaFora ponta",Mercado_Receita!$L$2:$L$644)</f>
        <v>4.8289999999999997</v>
      </c>
      <c r="N14" s="13">
        <f>SUMIF(Mercado_Receita!$S$2:$S$644,"44593A4VerdeNão se aplicaNão se aplicaAPENão se aplicaFora ponta",Mercado_Receita!$L$2:$L$644)</f>
        <v>3.5619999999999998</v>
      </c>
      <c r="O14" s="13">
        <f>SUMIF(Mercado_Receita!$S$2:$S$644,"44621A4VerdeNão se aplicaNão se aplicaAPENão se aplicaFora ponta",Mercado_Receita!$L$2:$L$644)</f>
        <v>0.72499999999999998</v>
      </c>
      <c r="P14" s="13">
        <f>SUMIF(Mercado_Receita!$S$2:$S$644,"44652A4VerdeNão se aplicaNão se aplicaAPENão se aplicaFora ponta",Mercado_Receita!$L$2:$L$644)</f>
        <v>2.2400000000000002</v>
      </c>
      <c r="Q14" s="13">
        <f>SUMIF(Mercado_Receita!$S$2:$S$644,"44682A4VerdeNão se aplicaNão se aplicaAPENão se aplicaFora ponta",Mercado_Receita!$L$2:$L$644)</f>
        <v>14.170999999999999</v>
      </c>
      <c r="R14" s="13">
        <f>SUMIF(Mercado_Receita!$S$2:$S$644,"44713A4VerdeNão se aplicaNão se aplicaAPENão se aplicaFora ponta",Mercado_Receita!$L$2:$L$644)</f>
        <v>9.1029999999999998</v>
      </c>
      <c r="S14" s="13">
        <f>SUMIF(Mercado_Receita!$S$2:$S$644,"44743A4VerdeNão se aplicaNão se aplicaAPENão se aplicaFora ponta",Mercado_Receita!$L$2:$L$644)</f>
        <v>9.84</v>
      </c>
      <c r="T14" s="13">
        <f>SUMIF(Mercado_Receita!$S$2:$S$644,"44774A4VerdeNão se aplicaNão se aplicaAPENão se aplicaFora ponta",Mercado_Receita!$L$2:$L$644)</f>
        <v>9.7360000000000007</v>
      </c>
      <c r="U14" s="13">
        <f t="shared" si="0"/>
        <v>65.316000000000003</v>
      </c>
      <c r="V14" s="13"/>
      <c r="W14" s="13"/>
    </row>
    <row r="15" spans="1:30" ht="11.25" customHeight="1" x14ac:dyDescent="0.25">
      <c r="A15" s="83" t="s">
        <v>92</v>
      </c>
      <c r="B15" s="83" t="s">
        <v>60</v>
      </c>
      <c r="C15" s="83" t="s">
        <v>25</v>
      </c>
      <c r="D15" s="83" t="s">
        <v>25</v>
      </c>
      <c r="E15" s="12" t="s">
        <v>93</v>
      </c>
      <c r="F15" s="12" t="s">
        <v>25</v>
      </c>
      <c r="G15" s="13" t="s">
        <v>9</v>
      </c>
      <c r="H15" s="13" t="s">
        <v>88</v>
      </c>
      <c r="I15" s="13">
        <f>SUMIF(Mercado_Receita!$S$2:$S$644,"44440BGeraçãoNão se aplicaNão se aplicaTIPO 01Não se aplicaNão se aplica",Mercado_Receita!$J$2:$J$644)+SUMIF(Mercado_Receita!$S$2:$S$644,"44440BGeraçãoNão se aplicaNão se aplicaAPENão se aplicaNão se aplica",Mercado_Receita!$J$2:$J$644)</f>
        <v>0</v>
      </c>
      <c r="J15" s="13">
        <f>SUMIF(Mercado_Receita!$S$2:$S$644,"44470BGeraçãoNão se aplicaNão se aplicaTIPO 01Não se aplicaNão se aplica",Mercado_Receita!$J$2:$J$644)+SUMIF(Mercado_Receita!$S$2:$S$644,"44470BGeraçãoNão se aplicaNão se aplicaAPENão se aplicaNão se aplica",Mercado_Receita!$J$2:$J$644)</f>
        <v>0</v>
      </c>
      <c r="K15" s="13">
        <f>SUMIF(Mercado_Receita!$S$2:$S$644,"44501BGeraçãoNão se aplicaNão se aplicaTIPO 01Não se aplicaNão se aplica",Mercado_Receita!$J$2:$J$644)+SUMIF(Mercado_Receita!$S$2:$S$644,"44501BGeraçãoNão se aplicaNão se aplicaAPENão se aplicaNão se aplica",Mercado_Receita!$J$2:$J$644)</f>
        <v>0</v>
      </c>
      <c r="L15" s="13">
        <f>SUMIF(Mercado_Receita!$S$2:$S$644,"44531BGeraçãoNão se aplicaNão se aplicaTIPO 01Não se aplicaNão se aplica",Mercado_Receita!$J$2:$J$644)+SUMIF(Mercado_Receita!$S$2:$S$644,"44531BGeraçãoNão se aplicaNão se aplicaAPENão se aplicaNão se aplica",Mercado_Receita!$J$2:$J$644)</f>
        <v>0</v>
      </c>
      <c r="M15" s="13">
        <f>SUMIF(Mercado_Receita!$S$2:$S$644,"44562BGeraçãoNão se aplicaNão se aplicaTIPO 01Não se aplicaNão se aplica",Mercado_Receita!$J$2:$J$644)+SUMIF(Mercado_Receita!$S$2:$S$644,"44562BGeraçãoNão se aplicaNão se aplicaAPENão se aplicaNão se aplica",Mercado_Receita!$J$2:$J$644)</f>
        <v>0</v>
      </c>
      <c r="N15" s="13">
        <f>SUMIF(Mercado_Receita!$S$2:$S$644,"44593BGeraçãoNão se aplicaNão se aplicaTIPO 01Não se aplicaNão se aplica",Mercado_Receita!$J$2:$J$644)+SUMIF(Mercado_Receita!$S$2:$S$644,"44593BGeraçãoNão se aplicaNão se aplicaAPENão se aplicaNão se aplica",Mercado_Receita!$J$2:$J$644)</f>
        <v>0</v>
      </c>
      <c r="O15" s="13">
        <f>SUMIF(Mercado_Receita!$S$2:$S$644,"44621BGeraçãoNão se aplicaNão se aplicaTIPO 01Não se aplicaNão se aplica",Mercado_Receita!$J$2:$J$644)+SUMIF(Mercado_Receita!$S$2:$S$644,"44621BGeraçãoNão se aplicaNão se aplicaAPENão se aplicaNão se aplica",Mercado_Receita!$J$2:$J$644)</f>
        <v>0</v>
      </c>
      <c r="P15" s="13">
        <f>SUMIF(Mercado_Receita!$S$2:$S$644,"44652BGeraçãoNão se aplicaNão se aplicaTIPO 01Não se aplicaNão se aplica",Mercado_Receita!$J$2:$J$644)+SUMIF(Mercado_Receita!$S$2:$S$644,"44652BGeraçãoNão se aplicaNão se aplicaAPENão se aplicaNão se aplica",Mercado_Receita!$J$2:$J$644)</f>
        <v>0</v>
      </c>
      <c r="Q15" s="13">
        <f>SUMIF(Mercado_Receita!$S$2:$S$644,"44682BGeraçãoNão se aplicaNão se aplicaTIPO 01Não se aplicaNão se aplica",Mercado_Receita!$J$2:$J$644)+SUMIF(Mercado_Receita!$S$2:$S$644,"44682BGeraçãoNão se aplicaNão se aplicaAPENão se aplicaNão se aplica",Mercado_Receita!$J$2:$J$644)</f>
        <v>0</v>
      </c>
      <c r="R15" s="13">
        <f>SUMIF(Mercado_Receita!$S$2:$S$644,"44713BGeraçãoNão se aplicaNão se aplicaTIPO 01Não se aplicaNão se aplica",Mercado_Receita!$J$2:$J$644)+SUMIF(Mercado_Receita!$S$2:$S$644,"44713BGeraçãoNão se aplicaNão se aplicaAPENão se aplicaNão se aplica",Mercado_Receita!$J$2:$J$644)</f>
        <v>0</v>
      </c>
      <c r="S15" s="13">
        <f>SUMIF(Mercado_Receita!$S$2:$S$644,"44743BGeraçãoNão se aplicaNão se aplicaTIPO 01Não se aplicaNão se aplica",Mercado_Receita!$J$2:$J$644)+SUMIF(Mercado_Receita!$S$2:$S$644,"44743BGeraçãoNão se aplicaNão se aplicaAPENão se aplicaNão se aplica",Mercado_Receita!$J$2:$J$644)</f>
        <v>0</v>
      </c>
      <c r="T15" s="13">
        <f>SUMIF(Mercado_Receita!$S$2:$S$644,"44774BGeraçãoNão se aplicaNão se aplicaTIPO 01Não se aplicaNão se aplica",Mercado_Receita!$J$2:$J$644)+SUMIF(Mercado_Receita!$S$2:$S$644,"44774BGeraçãoNão se aplicaNão se aplicaAPENão se aplicaNão se aplica",Mercado_Receita!$J$2:$J$644)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4"/>
      <c r="B16" s="84"/>
      <c r="C16" s="84"/>
      <c r="D16" s="84"/>
      <c r="E16" s="12" t="s">
        <v>94</v>
      </c>
      <c r="F16" s="12" t="s">
        <v>25</v>
      </c>
      <c r="G16" s="13" t="s">
        <v>9</v>
      </c>
      <c r="H16" s="13" t="s">
        <v>88</v>
      </c>
      <c r="I16" s="13">
        <f>SUMIF(Mercado_Receita!$S$2:$S$644,"44440BGeraçãoNão se aplicaNão se aplicaTIPO 02Não se aplicaNão se aplica",Mercado_Receita!$J$2:$J$644)+SUMIF(Mercado_Receita!$S$2:$S$644,"44440BGeraçãoNão se aplicaNão se aplicaAPENão se aplicaNão se aplica",Mercado_Receita!$J$2:$J$644)</f>
        <v>0</v>
      </c>
      <c r="J16" s="13">
        <f>SUMIF(Mercado_Receita!$S$2:$S$644,"44470BGeraçãoNão se aplicaNão se aplicaTIPO 02Não se aplicaNão se aplica",Mercado_Receita!$J$2:$J$644)+SUMIF(Mercado_Receita!$S$2:$S$644,"44470BGeraçãoNão se aplicaNão se aplicaAPENão se aplicaNão se aplica",Mercado_Receita!$J$2:$J$644)</f>
        <v>0</v>
      </c>
      <c r="K16" s="13">
        <f>SUMIF(Mercado_Receita!$S$2:$S$644,"44501BGeraçãoNão se aplicaNão se aplicaTIPO 02Não se aplicaNão se aplica",Mercado_Receita!$J$2:$J$644)+SUMIF(Mercado_Receita!$S$2:$S$644,"44501BGeraçãoNão se aplicaNão se aplicaAPENão se aplicaNão se aplica",Mercado_Receita!$J$2:$J$644)</f>
        <v>0</v>
      </c>
      <c r="L16" s="13">
        <f>SUMIF(Mercado_Receita!$S$2:$S$644,"44531BGeraçãoNão se aplicaNão se aplicaTIPO 02Não se aplicaNão se aplica",Mercado_Receita!$J$2:$J$644)+SUMIF(Mercado_Receita!$S$2:$S$644,"44531BGeraçãoNão se aplicaNão se aplicaAPENão se aplicaNão se aplica",Mercado_Receita!$J$2:$J$644)</f>
        <v>0</v>
      </c>
      <c r="M16" s="13">
        <f>SUMIF(Mercado_Receita!$S$2:$S$644,"44562BGeraçãoNão se aplicaNão se aplicaTIPO 02Não se aplicaNão se aplica",Mercado_Receita!$J$2:$J$644)+SUMIF(Mercado_Receita!$S$2:$S$644,"44562BGeraçãoNão se aplicaNão se aplicaAPENão se aplicaNão se aplica",Mercado_Receita!$J$2:$J$644)</f>
        <v>0</v>
      </c>
      <c r="N16" s="13">
        <f>SUMIF(Mercado_Receita!$S$2:$S$644,"44593BGeraçãoNão se aplicaNão se aplicaTIPO 02Não se aplicaNão se aplica",Mercado_Receita!$J$2:$J$644)+SUMIF(Mercado_Receita!$S$2:$S$644,"44593BGeraçãoNão se aplicaNão se aplicaAPENão se aplicaNão se aplica",Mercado_Receita!$J$2:$J$644)</f>
        <v>0</v>
      </c>
      <c r="O16" s="13">
        <f>SUMIF(Mercado_Receita!$S$2:$S$644,"44621BGeraçãoNão se aplicaNão se aplicaTIPO 02Não se aplicaNão se aplica",Mercado_Receita!$J$2:$J$644)+SUMIF(Mercado_Receita!$S$2:$S$644,"44621BGeraçãoNão se aplicaNão se aplicaAPENão se aplicaNão se aplica",Mercado_Receita!$J$2:$J$644)</f>
        <v>0</v>
      </c>
      <c r="P16" s="13">
        <f>SUMIF(Mercado_Receita!$S$2:$S$644,"44652BGeraçãoNão se aplicaNão se aplicaTIPO 02Não se aplicaNão se aplica",Mercado_Receita!$J$2:$J$644)+SUMIF(Mercado_Receita!$S$2:$S$644,"44652BGeraçãoNão se aplicaNão se aplicaAPENão se aplicaNão se aplica",Mercado_Receita!$J$2:$J$644)</f>
        <v>0</v>
      </c>
      <c r="Q16" s="13">
        <f>SUMIF(Mercado_Receita!$S$2:$S$644,"44682BGeraçãoNão se aplicaNão se aplicaTIPO 02Não se aplicaNão se aplica",Mercado_Receita!$J$2:$J$644)+SUMIF(Mercado_Receita!$S$2:$S$644,"44682BGeraçãoNão se aplicaNão se aplicaAPENão se aplicaNão se aplica",Mercado_Receita!$J$2:$J$644)</f>
        <v>0</v>
      </c>
      <c r="R16" s="13">
        <f>SUMIF(Mercado_Receita!$S$2:$S$644,"44713BGeraçãoNão se aplicaNão se aplicaTIPO 02Não se aplicaNão se aplica",Mercado_Receita!$J$2:$J$644)+SUMIF(Mercado_Receita!$S$2:$S$644,"44713BGeraçãoNão se aplicaNão se aplicaAPENão se aplicaNão se aplica",Mercado_Receita!$J$2:$J$644)</f>
        <v>0</v>
      </c>
      <c r="S16" s="13">
        <f>SUMIF(Mercado_Receita!$S$2:$S$644,"44743BGeraçãoNão se aplicaNão se aplicaTIPO 02Não se aplicaNão se aplica",Mercado_Receita!$J$2:$J$644)+SUMIF(Mercado_Receita!$S$2:$S$644,"44743BGeraçãoNão se aplicaNão se aplicaAPENão se aplicaNão se aplica",Mercado_Receita!$J$2:$J$644)</f>
        <v>0</v>
      </c>
      <c r="T16" s="13">
        <f>SUMIF(Mercado_Receita!$S$2:$S$644,"44774BGeraçãoNão se aplicaNão se aplicaTIPO 02Não se aplicaNão se aplica",Mercado_Receita!$J$2:$J$644)+SUMIF(Mercado_Receita!$S$2:$S$644,"44774BGeraçãoNão se aplicaNão se aplicaAPENão se aplicaNão se aplica",Mercado_Receita!$J$2:$J$644)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3" t="s">
        <v>22</v>
      </c>
      <c r="B17" s="83" t="s">
        <v>97</v>
      </c>
      <c r="C17" s="83" t="s">
        <v>24</v>
      </c>
      <c r="D17" s="83" t="s">
        <v>24</v>
      </c>
      <c r="E17" s="83" t="s">
        <v>25</v>
      </c>
      <c r="F17" s="83" t="s">
        <v>25</v>
      </c>
      <c r="G17" s="13" t="s">
        <v>83</v>
      </c>
      <c r="H17" s="13" t="s">
        <v>82</v>
      </c>
      <c r="I17" s="13">
        <f>SUMIF(Mercado_Receita!$S$2:$S$644,"44440B1BrancaResidencialResidencialNão se aplicaNão se aplicaPonta",Mercado_Receita!$L$2:$L$644)</f>
        <v>0</v>
      </c>
      <c r="J17" s="13">
        <f>SUMIF(Mercado_Receita!$S$2:$S$644,"44470B1BrancaResidencialResidencialNão se aplicaNão se aplicaPonta",Mercado_Receita!$L$2:$L$644)</f>
        <v>0</v>
      </c>
      <c r="K17" s="13">
        <f>SUMIF(Mercado_Receita!$S$2:$S$644,"44501B1BrancaResidencialResidencialNão se aplicaNão se aplicaPonta",Mercado_Receita!$L$2:$L$644)</f>
        <v>0</v>
      </c>
      <c r="L17" s="13">
        <f>SUMIF(Mercado_Receita!$S$2:$S$644,"44531B1BrancaResidencialResidencialNão se aplicaNão se aplicaPonta",Mercado_Receita!$L$2:$L$644)</f>
        <v>0</v>
      </c>
      <c r="M17" s="13">
        <f>SUMIF(Mercado_Receita!$S$2:$S$644,"44562B1BrancaResidencialResidencialNão se aplicaNão se aplicaPonta",Mercado_Receita!$L$2:$L$644)</f>
        <v>0</v>
      </c>
      <c r="N17" s="13">
        <f>SUMIF(Mercado_Receita!$S$2:$S$644,"44593B1BrancaResidencialResidencialNão se aplicaNão se aplicaPonta",Mercado_Receita!$L$2:$L$644)</f>
        <v>0</v>
      </c>
      <c r="O17" s="13">
        <f>SUMIF(Mercado_Receita!$S$2:$S$644,"44621B1BrancaResidencialResidencialNão se aplicaNão se aplicaPonta",Mercado_Receita!$L$2:$L$644)</f>
        <v>0</v>
      </c>
      <c r="P17" s="13">
        <f>SUMIF(Mercado_Receita!$S$2:$S$644,"44652B1BrancaResidencialResidencialNão se aplicaNão se aplicaPonta",Mercado_Receita!$L$2:$L$644)</f>
        <v>0</v>
      </c>
      <c r="Q17" s="13">
        <f>SUMIF(Mercado_Receita!$S$2:$S$644,"44682B1BrancaResidencialResidencialNão se aplicaNão se aplicaPonta",Mercado_Receita!$L$2:$L$644)</f>
        <v>0</v>
      </c>
      <c r="R17" s="13">
        <f>SUMIF(Mercado_Receita!$S$2:$S$644,"44713B1BrancaResidencialResidencialNão se aplicaNão se aplicaPonta",Mercado_Receita!$L$2:$L$644)</f>
        <v>0</v>
      </c>
      <c r="S17" s="13">
        <f>SUMIF(Mercado_Receita!$S$2:$S$644,"44743B1BrancaResidencialResidencialNão se aplicaNão se aplicaPonta",Mercado_Receita!$L$2:$L$644)</f>
        <v>0</v>
      </c>
      <c r="T17" s="13">
        <f>SUMIF(Mercado_Receita!$S$2:$S$644,"44774B1BrancaResidencialResidencialNão se aplicaNão se aplicaPonta",Mercado_Receita!$L$2:$L$644)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4"/>
      <c r="B18" s="84"/>
      <c r="C18" s="84"/>
      <c r="D18" s="84"/>
      <c r="E18" s="84"/>
      <c r="F18" s="84"/>
      <c r="G18" s="13" t="s">
        <v>95</v>
      </c>
      <c r="H18" s="13" t="s">
        <v>82</v>
      </c>
      <c r="I18" s="13">
        <f>SUMIF(Mercado_Receita!$S$2:$S$644,"44440B1BrancaResidencialResidencialNão se aplicaNão se aplicaIntermediário",Mercado_Receita!$L$2:$L$644)</f>
        <v>0</v>
      </c>
      <c r="J18" s="13">
        <f>SUMIF(Mercado_Receita!$S$2:$S$644,"44470B1BrancaResidencialResidencialNão se aplicaNão se aplicaIntermediário",Mercado_Receita!$L$2:$L$644)</f>
        <v>0</v>
      </c>
      <c r="K18" s="13">
        <f>SUMIF(Mercado_Receita!$S$2:$S$644,"44501B1BrancaResidencialResidencialNão se aplicaNão se aplicaIntermediário",Mercado_Receita!$L$2:$L$644)</f>
        <v>0</v>
      </c>
      <c r="L18" s="13">
        <f>SUMIF(Mercado_Receita!$S$2:$S$644,"44531B1BrancaResidencialResidencialNão se aplicaNão se aplicaIntermediário",Mercado_Receita!$L$2:$L$644)</f>
        <v>0</v>
      </c>
      <c r="M18" s="13">
        <f>SUMIF(Mercado_Receita!$S$2:$S$644,"44562B1BrancaResidencialResidencialNão se aplicaNão se aplicaIntermediário",Mercado_Receita!$L$2:$L$644)</f>
        <v>0</v>
      </c>
      <c r="N18" s="13">
        <f>SUMIF(Mercado_Receita!$S$2:$S$644,"44593B1BrancaResidencialResidencialNão se aplicaNão se aplicaIntermediário",Mercado_Receita!$L$2:$L$644)</f>
        <v>0</v>
      </c>
      <c r="O18" s="13">
        <f>SUMIF(Mercado_Receita!$S$2:$S$644,"44621B1BrancaResidencialResidencialNão se aplicaNão se aplicaIntermediário",Mercado_Receita!$L$2:$L$644)</f>
        <v>0</v>
      </c>
      <c r="P18" s="13">
        <f>SUMIF(Mercado_Receita!$S$2:$S$644,"44652B1BrancaResidencialResidencialNão se aplicaNão se aplicaIntermediário",Mercado_Receita!$L$2:$L$644)</f>
        <v>0</v>
      </c>
      <c r="Q18" s="13">
        <f>SUMIF(Mercado_Receita!$S$2:$S$644,"44682B1BrancaResidencialResidencialNão se aplicaNão se aplicaIntermediário",Mercado_Receita!$L$2:$L$644)</f>
        <v>0</v>
      </c>
      <c r="R18" s="13">
        <f>SUMIF(Mercado_Receita!$S$2:$S$644,"44713B1BrancaResidencialResidencialNão se aplicaNão se aplicaIntermediário",Mercado_Receita!$L$2:$L$644)</f>
        <v>0</v>
      </c>
      <c r="S18" s="13">
        <f>SUMIF(Mercado_Receita!$S$2:$S$644,"44743B1BrancaResidencialResidencialNão se aplicaNão se aplicaIntermediário",Mercado_Receita!$L$2:$L$644)</f>
        <v>0</v>
      </c>
      <c r="T18" s="13">
        <f>SUMIF(Mercado_Receita!$S$2:$S$644,"44774B1BrancaResidencialResidencialNão se aplicaNão se aplicaIntermediário",Mercado_Receita!$L$2:$L$644)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4"/>
      <c r="B19" s="84"/>
      <c r="C19" s="84"/>
      <c r="D19" s="84"/>
      <c r="E19" s="84"/>
      <c r="F19" s="84"/>
      <c r="G19" s="13" t="s">
        <v>84</v>
      </c>
      <c r="H19" s="13" t="s">
        <v>82</v>
      </c>
      <c r="I19" s="13">
        <f>SUMIF(Mercado_Receita!$S$2:$S$644,"44440B1BrancaResidencialResidencialNão se aplicaNão se aplicaFora ponta",Mercado_Receita!$L$2:$L$644)</f>
        <v>0</v>
      </c>
      <c r="J19" s="13">
        <f>SUMIF(Mercado_Receita!$S$2:$S$644,"44470B1BrancaResidencialResidencialNão se aplicaNão se aplicaFora ponta",Mercado_Receita!$L$2:$L$644)</f>
        <v>0</v>
      </c>
      <c r="K19" s="13">
        <f>SUMIF(Mercado_Receita!$S$2:$S$644,"44501B1BrancaResidencialResidencialNão se aplicaNão se aplicaFora ponta",Mercado_Receita!$L$2:$L$644)</f>
        <v>0</v>
      </c>
      <c r="L19" s="13">
        <f>SUMIF(Mercado_Receita!$S$2:$S$644,"44531B1BrancaResidencialResidencialNão se aplicaNão se aplicaFora ponta",Mercado_Receita!$L$2:$L$644)</f>
        <v>0</v>
      </c>
      <c r="M19" s="13">
        <f>SUMIF(Mercado_Receita!$S$2:$S$644,"44562B1BrancaResidencialResidencialNão se aplicaNão se aplicaFora ponta",Mercado_Receita!$L$2:$L$644)</f>
        <v>0</v>
      </c>
      <c r="N19" s="13">
        <f>SUMIF(Mercado_Receita!$S$2:$S$644,"44593B1BrancaResidencialResidencialNão se aplicaNão se aplicaFora ponta",Mercado_Receita!$L$2:$L$644)</f>
        <v>0</v>
      </c>
      <c r="O19" s="13">
        <f>SUMIF(Mercado_Receita!$S$2:$S$644,"44621B1BrancaResidencialResidencialNão se aplicaNão se aplicaFora ponta",Mercado_Receita!$L$2:$L$644)</f>
        <v>0</v>
      </c>
      <c r="P19" s="13">
        <f>SUMIF(Mercado_Receita!$S$2:$S$644,"44652B1BrancaResidencialResidencialNão se aplicaNão se aplicaFora ponta",Mercado_Receita!$L$2:$L$644)</f>
        <v>0</v>
      </c>
      <c r="Q19" s="13">
        <f>SUMIF(Mercado_Receita!$S$2:$S$644,"44682B1BrancaResidencialResidencialNão se aplicaNão se aplicaFora ponta",Mercado_Receita!$L$2:$L$644)</f>
        <v>0</v>
      </c>
      <c r="R19" s="13">
        <f>SUMIF(Mercado_Receita!$S$2:$S$644,"44713B1BrancaResidencialResidencialNão se aplicaNão se aplicaFora ponta",Mercado_Receita!$L$2:$L$644)</f>
        <v>0</v>
      </c>
      <c r="S19" s="13">
        <f>SUMIF(Mercado_Receita!$S$2:$S$644,"44743B1BrancaResidencialResidencialNão se aplicaNão se aplicaFora ponta",Mercado_Receita!$L$2:$L$644)</f>
        <v>0</v>
      </c>
      <c r="T19" s="13">
        <f>SUMIF(Mercado_Receita!$S$2:$S$644,"44774B1BrancaResidencialResidencialNão se aplicaNão se aplicaFora ponta",Mercado_Receita!$L$2:$L$644)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4"/>
      <c r="B20" s="83" t="s">
        <v>23</v>
      </c>
      <c r="C20" s="83" t="s">
        <v>24</v>
      </c>
      <c r="D20" s="12" t="s">
        <v>24</v>
      </c>
      <c r="E20" s="12" t="s">
        <v>25</v>
      </c>
      <c r="F20" s="12" t="s">
        <v>25</v>
      </c>
      <c r="G20" s="13" t="s">
        <v>87</v>
      </c>
      <c r="H20" s="13" t="s">
        <v>82</v>
      </c>
      <c r="I20" s="13">
        <f>SUMIF(Mercado_Receita!$S$2:$S$644,"44440B1ConvencionalResidencialResidencialNão se aplicaNão se aplicaPonta",Mercado_Receita!$L$2:$L$644)+SUMIF(Mercado_Receita!$S$2:$S$644,"44440B1ConvencionalResidencialResidencialNão se aplicaNão se aplicaFora ponta",Mercado_Receita!$L$2:$L$644)+SUMIF(Mercado_Receita!$S$2:$S$644,"44440B1ConvencionalResidencialResidencialNão se aplicaNão se aplicaIntermediário",Mercado_Receita!$L$2:$L$644)+SUMIF(Mercado_Receita!$S$2:$S$644,"44440B1ConvencionalResidencialResidencialNão se aplicaNão se aplicaNão se aplica",Mercado_Receita!$L$2:$L$644)</f>
        <v>2586.9580000000001</v>
      </c>
      <c r="J20" s="13">
        <f>SUMIF(Mercado_Receita!$S$2:$S$644,"44470B1ConvencionalResidencialResidencialNão se aplicaNão se aplicaPonta",Mercado_Receita!$L$2:$L$644)+SUMIF(Mercado_Receita!$S$2:$S$644,"44470B1ConvencionalResidencialResidencialNão se aplicaNão se aplicaFora ponta",Mercado_Receita!$L$2:$L$644)+SUMIF(Mercado_Receita!$S$2:$S$644,"44470B1ConvencionalResidencialResidencialNão se aplicaNão se aplicaIntermediário",Mercado_Receita!$L$2:$L$644)+SUMIF(Mercado_Receita!$S$2:$S$644,"44470B1ConvencionalResidencialResidencialNão se aplicaNão se aplicaNão se aplica",Mercado_Receita!$L$2:$L$644)</f>
        <v>2570.9549999999999</v>
      </c>
      <c r="K20" s="13">
        <f>SUMIF(Mercado_Receita!$S$2:$S$644,"44501B1ConvencionalResidencialResidencialNão se aplicaNão se aplicaPonta",Mercado_Receita!$L$2:$L$644)+SUMIF(Mercado_Receita!$S$2:$S$644,"44501B1ConvencionalResidencialResidencialNão se aplicaNão se aplicaFora ponta",Mercado_Receita!$L$2:$L$644)+SUMIF(Mercado_Receita!$S$2:$S$644,"44501B1ConvencionalResidencialResidencialNão se aplicaNão se aplicaIntermediário",Mercado_Receita!$L$2:$L$644)+SUMIF(Mercado_Receita!$S$2:$S$644,"44501B1ConvencionalResidencialResidencialNão se aplicaNão se aplicaNão se aplica",Mercado_Receita!$L$2:$L$644)</f>
        <v>2646.09</v>
      </c>
      <c r="L20" s="13">
        <f>SUMIF(Mercado_Receita!$S$2:$S$644,"44531B1ConvencionalResidencialResidencialNão se aplicaNão se aplicaPonta",Mercado_Receita!$L$2:$L$644)+SUMIF(Mercado_Receita!$S$2:$S$644,"44531B1ConvencionalResidencialResidencialNão se aplicaNão se aplicaFora ponta",Mercado_Receita!$L$2:$L$644)+SUMIF(Mercado_Receita!$S$2:$S$644,"44531B1ConvencionalResidencialResidencialNão se aplicaNão se aplicaIntermediário",Mercado_Receita!$L$2:$L$644)+SUMIF(Mercado_Receita!$S$2:$S$644,"44531B1ConvencionalResidencialResidencialNão se aplicaNão se aplicaNão se aplica",Mercado_Receita!$L$2:$L$644)</f>
        <v>2815.4809999999998</v>
      </c>
      <c r="M20" s="13">
        <f>SUMIF(Mercado_Receita!$S$2:$S$644,"44562B1ConvencionalResidencialResidencialNão se aplicaNão se aplicaPonta",Mercado_Receita!$L$2:$L$644)+SUMIF(Mercado_Receita!$S$2:$S$644,"44562B1ConvencionalResidencialResidencialNão se aplicaNão se aplicaFora ponta",Mercado_Receita!$L$2:$L$644)+SUMIF(Mercado_Receita!$S$2:$S$644,"44562B1ConvencionalResidencialResidencialNão se aplicaNão se aplicaIntermediário",Mercado_Receita!$L$2:$L$644)+SUMIF(Mercado_Receita!$S$2:$S$644,"44562B1ConvencionalResidencialResidencialNão se aplicaNão se aplicaNão se aplica",Mercado_Receita!$L$2:$L$644)</f>
        <v>3240.9470000000001</v>
      </c>
      <c r="N20" s="13">
        <f>SUMIF(Mercado_Receita!$S$2:$S$644,"44593B1ConvencionalResidencialResidencialNão se aplicaNão se aplicaPonta",Mercado_Receita!$L$2:$L$644)+SUMIF(Mercado_Receita!$S$2:$S$644,"44593B1ConvencionalResidencialResidencialNão se aplicaNão se aplicaFora ponta",Mercado_Receita!$L$2:$L$644)+SUMIF(Mercado_Receita!$S$2:$S$644,"44593B1ConvencionalResidencialResidencialNão se aplicaNão se aplicaIntermediário",Mercado_Receita!$L$2:$L$644)+SUMIF(Mercado_Receita!$S$2:$S$644,"44593B1ConvencionalResidencialResidencialNão se aplicaNão se aplicaNão se aplica",Mercado_Receita!$L$2:$L$644)</f>
        <v>3602.884</v>
      </c>
      <c r="O20" s="13">
        <f>SUMIF(Mercado_Receita!$S$2:$S$644,"44621B1ConvencionalResidencialResidencialNão se aplicaNão se aplicaPonta",Mercado_Receita!$L$2:$L$644)+SUMIF(Mercado_Receita!$S$2:$S$644,"44621B1ConvencionalResidencialResidencialNão se aplicaNão se aplicaFora ponta",Mercado_Receita!$L$2:$L$644)+SUMIF(Mercado_Receita!$S$2:$S$644,"44621B1ConvencionalResidencialResidencialNão se aplicaNão se aplicaIntermediário",Mercado_Receita!$L$2:$L$644)+SUMIF(Mercado_Receita!$S$2:$S$644,"44621B1ConvencionalResidencialResidencialNão se aplicaNão se aplicaNão se aplica",Mercado_Receita!$L$2:$L$644)</f>
        <v>3185.5990000000002</v>
      </c>
      <c r="P20" s="13">
        <f>SUMIF(Mercado_Receita!$S$2:$S$644,"44652B1ConvencionalResidencialResidencialNão se aplicaNão se aplicaPonta",Mercado_Receita!$L$2:$L$644)+SUMIF(Mercado_Receita!$S$2:$S$644,"44652B1ConvencionalResidencialResidencialNão se aplicaNão se aplicaFora ponta",Mercado_Receita!$L$2:$L$644)+SUMIF(Mercado_Receita!$S$2:$S$644,"44652B1ConvencionalResidencialResidencialNão se aplicaNão se aplicaIntermediário",Mercado_Receita!$L$2:$L$644)+SUMIF(Mercado_Receita!$S$2:$S$644,"44652B1ConvencionalResidencialResidencialNão se aplicaNão se aplicaNão se aplica",Mercado_Receita!$L$2:$L$644)</f>
        <v>2604.9589999999998</v>
      </c>
      <c r="Q20" s="13">
        <f>SUMIF(Mercado_Receita!$S$2:$S$644,"44682B1ConvencionalResidencialResidencialNão se aplicaNão se aplicaPonta",Mercado_Receita!$L$2:$L$644)+SUMIF(Mercado_Receita!$S$2:$S$644,"44682B1ConvencionalResidencialResidencialNão se aplicaNão se aplicaFora ponta",Mercado_Receita!$L$2:$L$644)+SUMIF(Mercado_Receita!$S$2:$S$644,"44682B1ConvencionalResidencialResidencialNão se aplicaNão se aplicaIntermediário",Mercado_Receita!$L$2:$L$644)+SUMIF(Mercado_Receita!$S$2:$S$644,"44682B1ConvencionalResidencialResidencialNão se aplicaNão se aplicaNão se aplica",Mercado_Receita!$L$2:$L$644)</f>
        <v>2380.2650000000003</v>
      </c>
      <c r="R20" s="13">
        <f>SUMIF(Mercado_Receita!$S$2:$S$644,"44713B1ConvencionalResidencialResidencialNão se aplicaNão se aplicaPonta",Mercado_Receita!$L$2:$L$644)+SUMIF(Mercado_Receita!$S$2:$S$644,"44713B1ConvencionalResidencialResidencialNão se aplicaNão se aplicaFora ponta",Mercado_Receita!$L$2:$L$644)+SUMIF(Mercado_Receita!$S$2:$S$644,"44713B1ConvencionalResidencialResidencialNão se aplicaNão se aplicaIntermediário",Mercado_Receita!$L$2:$L$644)+SUMIF(Mercado_Receita!$S$2:$S$644,"44713B1ConvencionalResidencialResidencialNão se aplicaNão se aplicaNão se aplica",Mercado_Receita!$L$2:$L$644)</f>
        <v>2744.5150000000003</v>
      </c>
      <c r="S20" s="13">
        <f>SUMIF(Mercado_Receita!$S$2:$S$644,"44743B1ConvencionalResidencialResidencialNão se aplicaNão se aplicaPonta",Mercado_Receita!$L$2:$L$644)+SUMIF(Mercado_Receita!$S$2:$S$644,"44743B1ConvencionalResidencialResidencialNão se aplicaNão se aplicaFora ponta",Mercado_Receita!$L$2:$L$644)+SUMIF(Mercado_Receita!$S$2:$S$644,"44743B1ConvencionalResidencialResidencialNão se aplicaNão se aplicaIntermediário",Mercado_Receita!$L$2:$L$644)+SUMIF(Mercado_Receita!$S$2:$S$644,"44743B1ConvencionalResidencialResidencialNão se aplicaNão se aplicaNão se aplica",Mercado_Receita!$L$2:$L$644)</f>
        <v>2568.924</v>
      </c>
      <c r="T20" s="13">
        <f>SUMIF(Mercado_Receita!$S$2:$S$644,"44774B1ConvencionalResidencialResidencialNão se aplicaNão se aplicaPonta",Mercado_Receita!$L$2:$L$644)+SUMIF(Mercado_Receita!$S$2:$S$644,"44774B1ConvencionalResidencialResidencialNão se aplicaNão se aplicaFora ponta",Mercado_Receita!$L$2:$L$644)+SUMIF(Mercado_Receita!$S$2:$S$644,"44774B1ConvencionalResidencialResidencialNão se aplicaNão se aplicaIntermediário",Mercado_Receita!$L$2:$L$644)+SUMIF(Mercado_Receita!$S$2:$S$644,"44774B1ConvencionalResidencialResidencialNão se aplicaNão se aplicaNão se aplica",Mercado_Receita!$L$2:$L$644)</f>
        <v>2663.7799999999997</v>
      </c>
      <c r="U20" s="13">
        <f t="shared" si="0"/>
        <v>33611.357000000004</v>
      </c>
      <c r="V20" s="13"/>
      <c r="W20" s="13"/>
    </row>
    <row r="21" spans="1:23" ht="11.25" customHeight="1" x14ac:dyDescent="0.25">
      <c r="A21" s="84"/>
      <c r="B21" s="84"/>
      <c r="C21" s="84"/>
      <c r="D21" s="12" t="s">
        <v>29</v>
      </c>
      <c r="E21" s="12" t="s">
        <v>25</v>
      </c>
      <c r="F21" s="12" t="s">
        <v>25</v>
      </c>
      <c r="G21" s="13" t="s">
        <v>87</v>
      </c>
      <c r="H21" s="13" t="s">
        <v>82</v>
      </c>
      <c r="I21" s="13">
        <f>SUMIF(Mercado_Receita!$S$2:$S$644,"44440B1ConvencionalResidencialResidencial baixa renda – faixa 01Não se aplicaNão se aplicaPonta",Mercado_Receita!$L$2:$L$644)+SUMIF(Mercado_Receita!$S$2:$S$644,"44440B1ConvencionalResidencialResidencial baixa renda – faixa 01Não se aplicaNão se aplicaFora ponta",Mercado_Receita!$L$2:$L$644)+SUMIF(Mercado_Receita!$S$2:$S$644,"44440B1ConvencionalResidencialResidencial baixa renda – faixa 01Não se aplicaNão se aplicaIntermediário",Mercado_Receita!$L$2:$L$644)+SUMIF(Mercado_Receita!$S$2:$S$644,"44440B1ConvencionalResidencialResidencial baixa renda – faixa 01Não se aplicaNão se aplicaNão se aplica",Mercado_Receita!$L$2:$L$644)</f>
        <v>11.91</v>
      </c>
      <c r="J21" s="13">
        <f>SUMIF(Mercado_Receita!$S$2:$S$644,"44470B1ConvencionalResidencialResidencial baixa renda – faixa 01Não se aplicaNão se aplicaPonta",Mercado_Receita!$L$2:$L$644)+SUMIF(Mercado_Receita!$S$2:$S$644,"44470B1ConvencionalResidencialResidencial baixa renda – faixa 01Não se aplicaNão se aplicaFora ponta",Mercado_Receita!$L$2:$L$644)+SUMIF(Mercado_Receita!$S$2:$S$644,"44470B1ConvencionalResidencialResidencial baixa renda – faixa 01Não se aplicaNão se aplicaIntermediário",Mercado_Receita!$L$2:$L$644)+SUMIF(Mercado_Receita!$S$2:$S$644,"44470B1ConvencionalResidencialResidencial baixa renda – faixa 01Não se aplicaNão se aplicaNão se aplica",Mercado_Receita!$L$2:$L$644)</f>
        <v>12.12</v>
      </c>
      <c r="K21" s="13">
        <f>SUMIF(Mercado_Receita!$S$2:$S$644,"44501B1ConvencionalResidencialResidencial baixa renda – faixa 01Não se aplicaNão se aplicaPonta",Mercado_Receita!$L$2:$L$644)+SUMIF(Mercado_Receita!$S$2:$S$644,"44501B1ConvencionalResidencialResidencial baixa renda – faixa 01Não se aplicaNão se aplicaFora ponta",Mercado_Receita!$L$2:$L$644)+SUMIF(Mercado_Receita!$S$2:$S$644,"44501B1ConvencionalResidencialResidencial baixa renda – faixa 01Não se aplicaNão se aplicaIntermediário",Mercado_Receita!$L$2:$L$644)+SUMIF(Mercado_Receita!$S$2:$S$644,"44501B1ConvencionalResidencialResidencial baixa renda – faixa 01Não se aplicaNão se aplicaNão se aplica",Mercado_Receita!$L$2:$L$644)</f>
        <v>12.3</v>
      </c>
      <c r="L21" s="13">
        <f>SUMIF(Mercado_Receita!$S$2:$S$644,"44531B1ConvencionalResidencialResidencial baixa renda – faixa 01Não se aplicaNão se aplicaPonta",Mercado_Receita!$L$2:$L$644)+SUMIF(Mercado_Receita!$S$2:$S$644,"44531B1ConvencionalResidencialResidencial baixa renda – faixa 01Não se aplicaNão se aplicaFora ponta",Mercado_Receita!$L$2:$L$644)+SUMIF(Mercado_Receita!$S$2:$S$644,"44531B1ConvencionalResidencialResidencial baixa renda – faixa 01Não se aplicaNão se aplicaIntermediário",Mercado_Receita!$L$2:$L$644)+SUMIF(Mercado_Receita!$S$2:$S$644,"44531B1ConvencionalResidencialResidencial baixa renda – faixa 01Não se aplicaNão se aplicaNão se aplica",Mercado_Receita!$L$2:$L$644)</f>
        <v>12.24</v>
      </c>
      <c r="M21" s="13">
        <f>SUMIF(Mercado_Receita!$S$2:$S$644,"44562B1ConvencionalResidencialResidencial baixa renda – faixa 01Não se aplicaNão se aplicaPonta",Mercado_Receita!$L$2:$L$644)+SUMIF(Mercado_Receita!$S$2:$S$644,"44562B1ConvencionalResidencialResidencial baixa renda – faixa 01Não se aplicaNão se aplicaFora ponta",Mercado_Receita!$L$2:$L$644)+SUMIF(Mercado_Receita!$S$2:$S$644,"44562B1ConvencionalResidencialResidencial baixa renda – faixa 01Não se aplicaNão se aplicaIntermediário",Mercado_Receita!$L$2:$L$644)+SUMIF(Mercado_Receita!$S$2:$S$644,"44562B1ConvencionalResidencialResidencial baixa renda – faixa 01Não se aplicaNão se aplicaNão se aplica",Mercado_Receita!$L$2:$L$644)</f>
        <v>13.32</v>
      </c>
      <c r="N21" s="13">
        <f>SUMIF(Mercado_Receita!$S$2:$S$644,"44593B1ConvencionalResidencialResidencial baixa renda – faixa 01Não se aplicaNão se aplicaPonta",Mercado_Receita!$L$2:$L$644)+SUMIF(Mercado_Receita!$S$2:$S$644,"44593B1ConvencionalResidencialResidencial baixa renda – faixa 01Não se aplicaNão se aplicaFora ponta",Mercado_Receita!$L$2:$L$644)+SUMIF(Mercado_Receita!$S$2:$S$644,"44593B1ConvencionalResidencialResidencial baixa renda – faixa 01Não se aplicaNão se aplicaIntermediário",Mercado_Receita!$L$2:$L$644)+SUMIF(Mercado_Receita!$S$2:$S$644,"44593B1ConvencionalResidencialResidencial baixa renda – faixa 01Não se aplicaNão se aplicaNão se aplica",Mercado_Receita!$L$2:$L$644)</f>
        <v>16.02</v>
      </c>
      <c r="O21" s="13">
        <f>SUMIF(Mercado_Receita!$S$2:$S$644,"44621B1ConvencionalResidencialResidencial baixa renda – faixa 01Não se aplicaNão se aplicaPonta",Mercado_Receita!$L$2:$L$644)+SUMIF(Mercado_Receita!$S$2:$S$644,"44621B1ConvencionalResidencialResidencial baixa renda – faixa 01Não se aplicaNão se aplicaFora ponta",Mercado_Receita!$L$2:$L$644)+SUMIF(Mercado_Receita!$S$2:$S$644,"44621B1ConvencionalResidencialResidencial baixa renda – faixa 01Não se aplicaNão se aplicaIntermediário",Mercado_Receita!$L$2:$L$644)+SUMIF(Mercado_Receita!$S$2:$S$644,"44621B1ConvencionalResidencialResidencial baixa renda – faixa 01Não se aplicaNão se aplicaNão se aplica",Mercado_Receita!$L$2:$L$644)</f>
        <v>16.68</v>
      </c>
      <c r="P21" s="13">
        <f>SUMIF(Mercado_Receita!$S$2:$S$644,"44652B1ConvencionalResidencialResidencial baixa renda – faixa 01Não se aplicaNão se aplicaPonta",Mercado_Receita!$L$2:$L$644)+SUMIF(Mercado_Receita!$S$2:$S$644,"44652B1ConvencionalResidencialResidencial baixa renda – faixa 01Não se aplicaNão se aplicaFora ponta",Mercado_Receita!$L$2:$L$644)+SUMIF(Mercado_Receita!$S$2:$S$644,"44652B1ConvencionalResidencialResidencial baixa renda – faixa 01Não se aplicaNão se aplicaIntermediário",Mercado_Receita!$L$2:$L$644)+SUMIF(Mercado_Receita!$S$2:$S$644,"44652B1ConvencionalResidencialResidencial baixa renda – faixa 01Não se aplicaNão se aplicaNão se aplica",Mercado_Receita!$L$2:$L$644)</f>
        <v>16.829999999999998</v>
      </c>
      <c r="Q21" s="13">
        <f>SUMIF(Mercado_Receita!$S$2:$S$644,"44682B1ConvencionalResidencialResidencial baixa renda – faixa 01Não se aplicaNão se aplicaPonta",Mercado_Receita!$L$2:$L$644)+SUMIF(Mercado_Receita!$S$2:$S$644,"44682B1ConvencionalResidencialResidencial baixa renda – faixa 01Não se aplicaNão se aplicaFora ponta",Mercado_Receita!$L$2:$L$644)+SUMIF(Mercado_Receita!$S$2:$S$644,"44682B1ConvencionalResidencialResidencial baixa renda – faixa 01Não se aplicaNão se aplicaIntermediário",Mercado_Receita!$L$2:$L$644)+SUMIF(Mercado_Receita!$S$2:$S$644,"44682B1ConvencionalResidencialResidencial baixa renda – faixa 01Não se aplicaNão se aplicaNão se aplica",Mercado_Receita!$L$2:$L$644)</f>
        <v>16.830000000000002</v>
      </c>
      <c r="R21" s="13">
        <f>SUMIF(Mercado_Receita!$S$2:$S$644,"44713B1ConvencionalResidencialResidencial baixa renda – faixa 01Não se aplicaNão se aplicaPonta",Mercado_Receita!$L$2:$L$644)+SUMIF(Mercado_Receita!$S$2:$S$644,"44713B1ConvencionalResidencialResidencial baixa renda – faixa 01Não se aplicaNão se aplicaFora ponta",Mercado_Receita!$L$2:$L$644)+SUMIF(Mercado_Receita!$S$2:$S$644,"44713B1ConvencionalResidencialResidencial baixa renda – faixa 01Não se aplicaNão se aplicaIntermediário",Mercado_Receita!$L$2:$L$644)+SUMIF(Mercado_Receita!$S$2:$S$644,"44713B1ConvencionalResidencialResidencial baixa renda – faixa 01Não se aplicaNão se aplicaNão se aplica",Mercado_Receita!$L$2:$L$644)</f>
        <v>15.21</v>
      </c>
      <c r="S21" s="13">
        <f>SUMIF(Mercado_Receita!$S$2:$S$644,"44743B1ConvencionalResidencialResidencial baixa renda – faixa 01Não se aplicaNão se aplicaPonta",Mercado_Receita!$L$2:$L$644)+SUMIF(Mercado_Receita!$S$2:$S$644,"44743B1ConvencionalResidencialResidencial baixa renda – faixa 01Não se aplicaNão se aplicaFora ponta",Mercado_Receita!$L$2:$L$644)+SUMIF(Mercado_Receita!$S$2:$S$644,"44743B1ConvencionalResidencialResidencial baixa renda – faixa 01Não se aplicaNão se aplicaIntermediário",Mercado_Receita!$L$2:$L$644)+SUMIF(Mercado_Receita!$S$2:$S$644,"44743B1ConvencionalResidencialResidencial baixa renda – faixa 01Não se aplicaNão se aplicaNão se aplica",Mercado_Receita!$L$2:$L$644)</f>
        <v>14.97</v>
      </c>
      <c r="T21" s="13">
        <f>SUMIF(Mercado_Receita!$S$2:$S$644,"44774B1ConvencionalResidencialResidencial baixa renda – faixa 01Não se aplicaNão se aplicaPonta",Mercado_Receita!$L$2:$L$644)+SUMIF(Mercado_Receita!$S$2:$S$644,"44774B1ConvencionalResidencialResidencial baixa renda – faixa 01Não se aplicaNão se aplicaFora ponta",Mercado_Receita!$L$2:$L$644)+SUMIF(Mercado_Receita!$S$2:$S$644,"44774B1ConvencionalResidencialResidencial baixa renda – faixa 01Não se aplicaNão se aplicaIntermediário",Mercado_Receita!$L$2:$L$644)+SUMIF(Mercado_Receita!$S$2:$S$644,"44774B1ConvencionalResidencialResidencial baixa renda – faixa 01Não se aplicaNão se aplicaNão se aplica",Mercado_Receita!$L$2:$L$644)</f>
        <v>16.2</v>
      </c>
      <c r="U21" s="13">
        <f t="shared" si="0"/>
        <v>174.63</v>
      </c>
      <c r="V21" s="13"/>
      <c r="W21" s="13"/>
    </row>
    <row r="22" spans="1:23" ht="11.25" customHeight="1" x14ac:dyDescent="0.25">
      <c r="A22" s="84"/>
      <c r="B22" s="84"/>
      <c r="C22" s="84"/>
      <c r="D22" s="12" t="s">
        <v>30</v>
      </c>
      <c r="E22" s="12" t="s">
        <v>25</v>
      </c>
      <c r="F22" s="12" t="s">
        <v>25</v>
      </c>
      <c r="G22" s="13" t="s">
        <v>87</v>
      </c>
      <c r="H22" s="13" t="s">
        <v>82</v>
      </c>
      <c r="I22" s="13">
        <f>SUMIF(Mercado_Receita!$S$2:$S$644,"44440B1ConvencionalResidencialResidencial baixa renda – faixa 02Não se aplicaNão se aplicaPonta",Mercado_Receita!$L$2:$L$644)+SUMIF(Mercado_Receita!$S$2:$S$644,"44440B1ConvencionalResidencialResidencial baixa renda – faixa 02Não se aplicaNão se aplicaFora ponta",Mercado_Receita!$L$2:$L$644)+SUMIF(Mercado_Receita!$S$2:$S$644,"44440B1ConvencionalResidencialResidencial baixa renda – faixa 02Não se aplicaNão se aplicaIntermediário",Mercado_Receita!$L$2:$L$644)+SUMIF(Mercado_Receita!$S$2:$S$644,"44440B1ConvencionalResidencialResidencial baixa renda – faixa 02Não se aplicaNão se aplicaNão se aplica",Mercado_Receita!$L$2:$L$644)</f>
        <v>25.515000000000001</v>
      </c>
      <c r="J22" s="13">
        <f>SUMIF(Mercado_Receita!$S$2:$S$644,"44470B1ConvencionalResidencialResidencial baixa renda – faixa 02Não se aplicaNão se aplicaPonta",Mercado_Receita!$L$2:$L$644)+SUMIF(Mercado_Receita!$S$2:$S$644,"44470B1ConvencionalResidencialResidencial baixa renda – faixa 02Não se aplicaNão se aplicaFora ponta",Mercado_Receita!$L$2:$L$644)+SUMIF(Mercado_Receita!$S$2:$S$644,"44470B1ConvencionalResidencialResidencial baixa renda – faixa 02Não se aplicaNão se aplicaIntermediário",Mercado_Receita!$L$2:$L$644)+SUMIF(Mercado_Receita!$S$2:$S$644,"44470B1ConvencionalResidencialResidencial baixa renda – faixa 02Não se aplicaNão se aplicaNão se aplica",Mercado_Receita!$L$2:$L$644)</f>
        <v>25.896000000000001</v>
      </c>
      <c r="K22" s="13">
        <f>SUMIF(Mercado_Receita!$S$2:$S$644,"44501B1ConvencionalResidencialResidencial baixa renda – faixa 02Não se aplicaNão se aplicaPonta",Mercado_Receita!$L$2:$L$644)+SUMIF(Mercado_Receita!$S$2:$S$644,"44501B1ConvencionalResidencialResidencial baixa renda – faixa 02Não se aplicaNão se aplicaFora ponta",Mercado_Receita!$L$2:$L$644)+SUMIF(Mercado_Receita!$S$2:$S$644,"44501B1ConvencionalResidencialResidencial baixa renda – faixa 02Não se aplicaNão se aplicaIntermediário",Mercado_Receita!$L$2:$L$644)+SUMIF(Mercado_Receita!$S$2:$S$644,"44501B1ConvencionalResidencialResidencial baixa renda – faixa 02Não se aplicaNão se aplicaNão se aplica",Mercado_Receita!$L$2:$L$644)</f>
        <v>26.738</v>
      </c>
      <c r="L22" s="13">
        <f>SUMIF(Mercado_Receita!$S$2:$S$644,"44531B1ConvencionalResidencialResidencial baixa renda – faixa 02Não se aplicaNão se aplicaPonta",Mercado_Receita!$L$2:$L$644)+SUMIF(Mercado_Receita!$S$2:$S$644,"44531B1ConvencionalResidencialResidencial baixa renda – faixa 02Não se aplicaNão se aplicaFora ponta",Mercado_Receita!$L$2:$L$644)+SUMIF(Mercado_Receita!$S$2:$S$644,"44531B1ConvencionalResidencialResidencial baixa renda – faixa 02Não se aplicaNão se aplicaIntermediário",Mercado_Receita!$L$2:$L$644)+SUMIF(Mercado_Receita!$S$2:$S$644,"44531B1ConvencionalResidencialResidencial baixa renda – faixa 02Não se aplicaNão se aplicaNão se aplica",Mercado_Receita!$L$2:$L$644)</f>
        <v>26.849</v>
      </c>
      <c r="M22" s="13">
        <f>SUMIF(Mercado_Receita!$S$2:$S$644,"44562B1ConvencionalResidencialResidencial baixa renda – faixa 02Não se aplicaNão se aplicaPonta",Mercado_Receita!$L$2:$L$644)+SUMIF(Mercado_Receita!$S$2:$S$644,"44562B1ConvencionalResidencialResidencial baixa renda – faixa 02Não se aplicaNão se aplicaFora ponta",Mercado_Receita!$L$2:$L$644)+SUMIF(Mercado_Receita!$S$2:$S$644,"44562B1ConvencionalResidencialResidencial baixa renda – faixa 02Não se aplicaNão se aplicaIntermediário",Mercado_Receita!$L$2:$L$644)+SUMIF(Mercado_Receita!$S$2:$S$644,"44562B1ConvencionalResidencialResidencial baixa renda – faixa 02Não se aplicaNão se aplicaNão se aplica",Mercado_Receita!$L$2:$L$644)</f>
        <v>29.689</v>
      </c>
      <c r="N22" s="13">
        <f>SUMIF(Mercado_Receita!$S$2:$S$644,"44593B1ConvencionalResidencialResidencial baixa renda – faixa 02Não se aplicaNão se aplicaPonta",Mercado_Receita!$L$2:$L$644)+SUMIF(Mercado_Receita!$S$2:$S$644,"44593B1ConvencionalResidencialResidencial baixa renda – faixa 02Não se aplicaNão se aplicaFora ponta",Mercado_Receita!$L$2:$L$644)+SUMIF(Mercado_Receita!$S$2:$S$644,"44593B1ConvencionalResidencialResidencial baixa renda – faixa 02Não se aplicaNão se aplicaIntermediário",Mercado_Receita!$L$2:$L$644)+SUMIF(Mercado_Receita!$S$2:$S$644,"44593B1ConvencionalResidencialResidencial baixa renda – faixa 02Não se aplicaNão se aplicaNão se aplica",Mercado_Receita!$L$2:$L$644)</f>
        <v>35.854999999999997</v>
      </c>
      <c r="O22" s="13">
        <f>SUMIF(Mercado_Receita!$S$2:$S$644,"44621B1ConvencionalResidencialResidencial baixa renda – faixa 02Não se aplicaNão se aplicaPonta",Mercado_Receita!$L$2:$L$644)+SUMIF(Mercado_Receita!$S$2:$S$644,"44621B1ConvencionalResidencialResidencial baixa renda – faixa 02Não se aplicaNão se aplicaFora ponta",Mercado_Receita!$L$2:$L$644)+SUMIF(Mercado_Receita!$S$2:$S$644,"44621B1ConvencionalResidencialResidencial baixa renda – faixa 02Não se aplicaNão se aplicaIntermediário",Mercado_Receita!$L$2:$L$644)+SUMIF(Mercado_Receita!$S$2:$S$644,"44621B1ConvencionalResidencialResidencial baixa renda – faixa 02Não se aplicaNão se aplicaNão se aplica",Mercado_Receita!$L$2:$L$644)</f>
        <v>37.210999999999999</v>
      </c>
      <c r="P22" s="13">
        <f>SUMIF(Mercado_Receita!$S$2:$S$644,"44652B1ConvencionalResidencialResidencial baixa renda – faixa 02Não se aplicaNão se aplicaPonta",Mercado_Receita!$L$2:$L$644)+SUMIF(Mercado_Receita!$S$2:$S$644,"44652B1ConvencionalResidencialResidencial baixa renda – faixa 02Não se aplicaNão se aplicaFora ponta",Mercado_Receita!$L$2:$L$644)+SUMIF(Mercado_Receita!$S$2:$S$644,"44652B1ConvencionalResidencialResidencial baixa renda – faixa 02Não se aplicaNão se aplicaIntermediário",Mercado_Receita!$L$2:$L$644)+SUMIF(Mercado_Receita!$S$2:$S$644,"44652B1ConvencionalResidencialResidencial baixa renda – faixa 02Não se aplicaNão se aplicaNão se aplica",Mercado_Receita!$L$2:$L$644)</f>
        <v>36.758000000000003</v>
      </c>
      <c r="Q22" s="13">
        <f>SUMIF(Mercado_Receita!$S$2:$S$644,"44682B1ConvencionalResidencialResidencial baixa renda – faixa 02Não se aplicaNão se aplicaPonta",Mercado_Receita!$L$2:$L$644)+SUMIF(Mercado_Receita!$S$2:$S$644,"44682B1ConvencionalResidencialResidencial baixa renda – faixa 02Não se aplicaNão se aplicaFora ponta",Mercado_Receita!$L$2:$L$644)+SUMIF(Mercado_Receita!$S$2:$S$644,"44682B1ConvencionalResidencialResidencial baixa renda – faixa 02Não se aplicaNão se aplicaIntermediário",Mercado_Receita!$L$2:$L$644)+SUMIF(Mercado_Receita!$S$2:$S$644,"44682B1ConvencionalResidencialResidencial baixa renda – faixa 02Não se aplicaNão se aplicaNão se aplica",Mercado_Receita!$L$2:$L$644)</f>
        <v>36.148000000000003</v>
      </c>
      <c r="R22" s="13">
        <f>SUMIF(Mercado_Receita!$S$2:$S$644,"44713B1ConvencionalResidencialResidencial baixa renda – faixa 02Não se aplicaNão se aplicaPonta",Mercado_Receita!$L$2:$L$644)+SUMIF(Mercado_Receita!$S$2:$S$644,"44713B1ConvencionalResidencialResidencial baixa renda – faixa 02Não se aplicaNão se aplicaFora ponta",Mercado_Receita!$L$2:$L$644)+SUMIF(Mercado_Receita!$S$2:$S$644,"44713B1ConvencionalResidencialResidencial baixa renda – faixa 02Não se aplicaNão se aplicaIntermediário",Mercado_Receita!$L$2:$L$644)+SUMIF(Mercado_Receita!$S$2:$S$644,"44713B1ConvencionalResidencialResidencial baixa renda – faixa 02Não se aplicaNão se aplicaNão se aplica",Mercado_Receita!$L$2:$L$644)</f>
        <v>32.643999999999998</v>
      </c>
      <c r="S22" s="13">
        <f>SUMIF(Mercado_Receita!$S$2:$S$644,"44743B1ConvencionalResidencialResidencial baixa renda – faixa 02Não se aplicaNão se aplicaPonta",Mercado_Receita!$L$2:$L$644)+SUMIF(Mercado_Receita!$S$2:$S$644,"44743B1ConvencionalResidencialResidencial baixa renda – faixa 02Não se aplicaNão se aplicaFora ponta",Mercado_Receita!$L$2:$L$644)+SUMIF(Mercado_Receita!$S$2:$S$644,"44743B1ConvencionalResidencialResidencial baixa renda – faixa 02Não se aplicaNão se aplicaIntermediário",Mercado_Receita!$L$2:$L$644)+SUMIF(Mercado_Receita!$S$2:$S$644,"44743B1ConvencionalResidencialResidencial baixa renda – faixa 02Não se aplicaNão se aplicaNão se aplica",Mercado_Receita!$L$2:$L$644)</f>
        <v>32.027999999999999</v>
      </c>
      <c r="T22" s="13">
        <f>SUMIF(Mercado_Receita!$S$2:$S$644,"44774B1ConvencionalResidencialResidencial baixa renda – faixa 02Não se aplicaNão se aplicaPonta",Mercado_Receita!$L$2:$L$644)+SUMIF(Mercado_Receita!$S$2:$S$644,"44774B1ConvencionalResidencialResidencial baixa renda – faixa 02Não se aplicaNão se aplicaFora ponta",Mercado_Receita!$L$2:$L$644)+SUMIF(Mercado_Receita!$S$2:$S$644,"44774B1ConvencionalResidencialResidencial baixa renda – faixa 02Não se aplicaNão se aplicaIntermediário",Mercado_Receita!$L$2:$L$644)+SUMIF(Mercado_Receita!$S$2:$S$644,"44774B1ConvencionalResidencialResidencial baixa renda – faixa 02Não se aplicaNão se aplicaNão se aplica",Mercado_Receita!$L$2:$L$644)</f>
        <v>36.630000000000003</v>
      </c>
      <c r="U22" s="13">
        <f t="shared" si="0"/>
        <v>381.96100000000001</v>
      </c>
      <c r="V22" s="13"/>
      <c r="W22" s="13"/>
    </row>
    <row r="23" spans="1:23" ht="11.25" customHeight="1" x14ac:dyDescent="0.25">
      <c r="A23" s="84"/>
      <c r="B23" s="84"/>
      <c r="C23" s="84"/>
      <c r="D23" s="12" t="s">
        <v>31</v>
      </c>
      <c r="E23" s="12" t="s">
        <v>25</v>
      </c>
      <c r="F23" s="12" t="s">
        <v>25</v>
      </c>
      <c r="G23" s="13" t="s">
        <v>87</v>
      </c>
      <c r="H23" s="13" t="s">
        <v>82</v>
      </c>
      <c r="I23" s="13">
        <f>SUMIF(Mercado_Receita!$S$2:$S$644,"44440B1ConvencionalResidencialResidencial baixa renda – faixa 03Não se aplicaNão se aplicaPonta",Mercado_Receita!$L$2:$L$644)+SUMIF(Mercado_Receita!$S$2:$S$644,"44440B1ConvencionalResidencialResidencial baixa renda – faixa 03Não se aplicaNão se aplicaFora ponta",Mercado_Receita!$L$2:$L$644)+SUMIF(Mercado_Receita!$S$2:$S$644,"44440B1ConvencionalResidencialResidencial baixa renda – faixa 03Não se aplicaNão se aplicaIntermediário",Mercado_Receita!$L$2:$L$644)+SUMIF(Mercado_Receita!$S$2:$S$644,"44440B1ConvencionalResidencialResidencial baixa renda – faixa 03Não se aplicaNão se aplicaNão se aplica",Mercado_Receita!$L$2:$L$644)</f>
        <v>30.728999999999999</v>
      </c>
      <c r="J23" s="13">
        <f>SUMIF(Mercado_Receita!$S$2:$S$644,"44470B1ConvencionalResidencialResidencial baixa renda – faixa 03Não se aplicaNão se aplicaPonta",Mercado_Receita!$L$2:$L$644)+SUMIF(Mercado_Receita!$S$2:$S$644,"44470B1ConvencionalResidencialResidencial baixa renda – faixa 03Não se aplicaNão se aplicaFora ponta",Mercado_Receita!$L$2:$L$644)+SUMIF(Mercado_Receita!$S$2:$S$644,"44470B1ConvencionalResidencialResidencial baixa renda – faixa 03Não se aplicaNão se aplicaIntermediário",Mercado_Receita!$L$2:$L$644)+SUMIF(Mercado_Receita!$S$2:$S$644,"44470B1ConvencionalResidencialResidencial baixa renda – faixa 03Não se aplicaNão se aplicaNão se aplica",Mercado_Receita!$L$2:$L$644)</f>
        <v>31.2</v>
      </c>
      <c r="K23" s="13">
        <f>SUMIF(Mercado_Receita!$S$2:$S$644,"44501B1ConvencionalResidencialResidencial baixa renda – faixa 03Não se aplicaNão se aplicaPonta",Mercado_Receita!$L$2:$L$644)+SUMIF(Mercado_Receita!$S$2:$S$644,"44501B1ConvencionalResidencialResidencial baixa renda – faixa 03Não se aplicaNão se aplicaFora ponta",Mercado_Receita!$L$2:$L$644)+SUMIF(Mercado_Receita!$S$2:$S$644,"44501B1ConvencionalResidencialResidencial baixa renda – faixa 03Não se aplicaNão se aplicaIntermediário",Mercado_Receita!$L$2:$L$644)+SUMIF(Mercado_Receita!$S$2:$S$644,"44501B1ConvencionalResidencialResidencial baixa renda – faixa 03Não se aplicaNão se aplicaNão se aplica",Mercado_Receita!$L$2:$L$644)</f>
        <v>32.558</v>
      </c>
      <c r="L23" s="13">
        <f>SUMIF(Mercado_Receita!$S$2:$S$644,"44531B1ConvencionalResidencialResidencial baixa renda – faixa 03Não se aplicaNão se aplicaPonta",Mercado_Receita!$L$2:$L$644)+SUMIF(Mercado_Receita!$S$2:$S$644,"44531B1ConvencionalResidencialResidencial baixa renda – faixa 03Não se aplicaNão se aplicaFora ponta",Mercado_Receita!$L$2:$L$644)+SUMIF(Mercado_Receita!$S$2:$S$644,"44531B1ConvencionalResidencialResidencial baixa renda – faixa 03Não se aplicaNão se aplicaIntermediário",Mercado_Receita!$L$2:$L$644)+SUMIF(Mercado_Receita!$S$2:$S$644,"44531B1ConvencionalResidencialResidencial baixa renda – faixa 03Não se aplicaNão se aplicaNão se aplica",Mercado_Receita!$L$2:$L$644)</f>
        <v>33.174999999999997</v>
      </c>
      <c r="M23" s="13">
        <f>SUMIF(Mercado_Receita!$S$2:$S$644,"44562B1ConvencionalResidencialResidencial baixa renda – faixa 03Não se aplicaNão se aplicaPonta",Mercado_Receita!$L$2:$L$644)+SUMIF(Mercado_Receita!$S$2:$S$644,"44562B1ConvencionalResidencialResidencial baixa renda – faixa 03Não se aplicaNão se aplicaFora ponta",Mercado_Receita!$L$2:$L$644)+SUMIF(Mercado_Receita!$S$2:$S$644,"44562B1ConvencionalResidencialResidencial baixa renda – faixa 03Não se aplicaNão se aplicaIntermediário",Mercado_Receita!$L$2:$L$644)+SUMIF(Mercado_Receita!$S$2:$S$644,"44562B1ConvencionalResidencialResidencial baixa renda – faixa 03Não se aplicaNão se aplicaNão se aplica",Mercado_Receita!$L$2:$L$644)</f>
        <v>40.127000000000002</v>
      </c>
      <c r="N23" s="13">
        <f>SUMIF(Mercado_Receita!$S$2:$S$644,"44593B1ConvencionalResidencialResidencial baixa renda – faixa 03Não se aplicaNão se aplicaPonta",Mercado_Receita!$L$2:$L$644)+SUMIF(Mercado_Receita!$S$2:$S$644,"44593B1ConvencionalResidencialResidencial baixa renda – faixa 03Não se aplicaNão se aplicaFora ponta",Mercado_Receita!$L$2:$L$644)+SUMIF(Mercado_Receita!$S$2:$S$644,"44593B1ConvencionalResidencialResidencial baixa renda – faixa 03Não se aplicaNão se aplicaIntermediário",Mercado_Receita!$L$2:$L$644)+SUMIF(Mercado_Receita!$S$2:$S$644,"44593B1ConvencionalResidencialResidencial baixa renda – faixa 03Não se aplicaNão se aplicaNão se aplica",Mercado_Receita!$L$2:$L$644)</f>
        <v>48.387</v>
      </c>
      <c r="O23" s="13">
        <f>SUMIF(Mercado_Receita!$S$2:$S$644,"44621B1ConvencionalResidencialResidencial baixa renda – faixa 03Não se aplicaNão se aplicaPonta",Mercado_Receita!$L$2:$L$644)+SUMIF(Mercado_Receita!$S$2:$S$644,"44621B1ConvencionalResidencialResidencial baixa renda – faixa 03Não se aplicaNão se aplicaFora ponta",Mercado_Receita!$L$2:$L$644)+SUMIF(Mercado_Receita!$S$2:$S$644,"44621B1ConvencionalResidencialResidencial baixa renda – faixa 03Não se aplicaNão se aplicaIntermediário",Mercado_Receita!$L$2:$L$644)+SUMIF(Mercado_Receita!$S$2:$S$644,"44621B1ConvencionalResidencialResidencial baixa renda – faixa 03Não se aplicaNão se aplicaNão se aplica",Mercado_Receita!$L$2:$L$644)</f>
        <v>48.087000000000003</v>
      </c>
      <c r="P23" s="13">
        <f>SUMIF(Mercado_Receita!$S$2:$S$644,"44652B1ConvencionalResidencialResidencial baixa renda – faixa 03Não se aplicaNão se aplicaPonta",Mercado_Receita!$L$2:$L$644)+SUMIF(Mercado_Receita!$S$2:$S$644,"44652B1ConvencionalResidencialResidencial baixa renda – faixa 03Não se aplicaNão se aplicaFora ponta",Mercado_Receita!$L$2:$L$644)+SUMIF(Mercado_Receita!$S$2:$S$644,"44652B1ConvencionalResidencialResidencial baixa renda – faixa 03Não se aplicaNão se aplicaIntermediário",Mercado_Receita!$L$2:$L$644)+SUMIF(Mercado_Receita!$S$2:$S$644,"44652B1ConvencionalResidencialResidencial baixa renda – faixa 03Não se aplicaNão se aplicaNão se aplica",Mercado_Receita!$L$2:$L$644)</f>
        <v>44.235999999999997</v>
      </c>
      <c r="Q23" s="13">
        <f>SUMIF(Mercado_Receita!$S$2:$S$644,"44682B1ConvencionalResidencialResidencial baixa renda – faixa 03Não se aplicaNão se aplicaPonta",Mercado_Receita!$L$2:$L$644)+SUMIF(Mercado_Receita!$S$2:$S$644,"44682B1ConvencionalResidencialResidencial baixa renda – faixa 03Não se aplicaNão se aplicaFora ponta",Mercado_Receita!$L$2:$L$644)+SUMIF(Mercado_Receita!$S$2:$S$644,"44682B1ConvencionalResidencialResidencial baixa renda – faixa 03Não se aplicaNão se aplicaIntermediário",Mercado_Receita!$L$2:$L$644)+SUMIF(Mercado_Receita!$S$2:$S$644,"44682B1ConvencionalResidencialResidencial baixa renda – faixa 03Não se aplicaNão se aplicaNão se aplica",Mercado_Receita!$L$2:$L$644)</f>
        <v>39.167999999999999</v>
      </c>
      <c r="R23" s="13">
        <f>SUMIF(Mercado_Receita!$S$2:$S$644,"44713B1ConvencionalResidencialResidencial baixa renda – faixa 03Não se aplicaNão se aplicaPonta",Mercado_Receita!$L$2:$L$644)+SUMIF(Mercado_Receita!$S$2:$S$644,"44713B1ConvencionalResidencialResidencial baixa renda – faixa 03Não se aplicaNão se aplicaFora ponta",Mercado_Receita!$L$2:$L$644)+SUMIF(Mercado_Receita!$S$2:$S$644,"44713B1ConvencionalResidencialResidencial baixa renda – faixa 03Não se aplicaNão se aplicaIntermediário",Mercado_Receita!$L$2:$L$644)+SUMIF(Mercado_Receita!$S$2:$S$644,"44713B1ConvencionalResidencialResidencial baixa renda – faixa 03Não se aplicaNão se aplicaNão se aplica",Mercado_Receita!$L$2:$L$644)</f>
        <v>39.506</v>
      </c>
      <c r="S23" s="13">
        <f>SUMIF(Mercado_Receita!$S$2:$S$644,"44743B1ConvencionalResidencialResidencial baixa renda – faixa 03Não se aplicaNão se aplicaPonta",Mercado_Receita!$L$2:$L$644)+SUMIF(Mercado_Receita!$S$2:$S$644,"44743B1ConvencionalResidencialResidencial baixa renda – faixa 03Não se aplicaNão se aplicaFora ponta",Mercado_Receita!$L$2:$L$644)+SUMIF(Mercado_Receita!$S$2:$S$644,"44743B1ConvencionalResidencialResidencial baixa renda – faixa 03Não se aplicaNão se aplicaIntermediário",Mercado_Receita!$L$2:$L$644)+SUMIF(Mercado_Receita!$S$2:$S$644,"44743B1ConvencionalResidencialResidencial baixa renda – faixa 03Não se aplicaNão se aplicaNão se aplica",Mercado_Receita!$L$2:$L$644)</f>
        <v>37.194000000000003</v>
      </c>
      <c r="T23" s="13">
        <f>SUMIF(Mercado_Receita!$S$2:$S$644,"44774B1ConvencionalResidencialResidencial baixa renda – faixa 03Não se aplicaNão se aplicaPonta",Mercado_Receita!$L$2:$L$644)+SUMIF(Mercado_Receita!$S$2:$S$644,"44774B1ConvencionalResidencialResidencial baixa renda – faixa 03Não se aplicaNão se aplicaFora ponta",Mercado_Receita!$L$2:$L$644)+SUMIF(Mercado_Receita!$S$2:$S$644,"44774B1ConvencionalResidencialResidencial baixa renda – faixa 03Não se aplicaNão se aplicaIntermediário",Mercado_Receita!$L$2:$L$644)+SUMIF(Mercado_Receita!$S$2:$S$644,"44774B1ConvencionalResidencialResidencial baixa renda – faixa 03Não se aplicaNão se aplicaNão se aplica",Mercado_Receita!$L$2:$L$644)</f>
        <v>41.235999999999997</v>
      </c>
      <c r="U23" s="13">
        <f t="shared" si="0"/>
        <v>465.60300000000001</v>
      </c>
      <c r="V23" s="13"/>
      <c r="W23" s="13"/>
    </row>
    <row r="24" spans="1:23" ht="11.25" customHeight="1" x14ac:dyDescent="0.25">
      <c r="A24" s="84"/>
      <c r="B24" s="84"/>
      <c r="C24" s="84"/>
      <c r="D24" s="12" t="s">
        <v>32</v>
      </c>
      <c r="E24" s="12" t="s">
        <v>25</v>
      </c>
      <c r="F24" s="12" t="s">
        <v>25</v>
      </c>
      <c r="G24" s="13" t="s">
        <v>87</v>
      </c>
      <c r="H24" s="13" t="s">
        <v>82</v>
      </c>
      <c r="I24" s="13">
        <f>SUMIF(Mercado_Receita!$S$2:$S$644,"44440B1ConvencionalResidencialResidencial baixa renda – faixa 04Não se aplicaNão se aplicaPonta",Mercado_Receita!$L$2:$L$644)+SUMIF(Mercado_Receita!$S$2:$S$644,"44440B1ConvencionalResidencialResidencial baixa renda – faixa 04Não se aplicaNão se aplicaFora ponta",Mercado_Receita!$L$2:$L$644)+SUMIF(Mercado_Receita!$S$2:$S$644,"44440B1ConvencionalResidencialResidencial baixa renda – faixa 04Não se aplicaNão se aplicaIntermediário",Mercado_Receita!$L$2:$L$644)+SUMIF(Mercado_Receita!$S$2:$S$644,"44440B1ConvencionalResidencialResidencial baixa renda – faixa 04Não se aplicaNão se aplicaNão se aplica",Mercado_Receita!$L$2:$L$644)</f>
        <v>16.521999999999998</v>
      </c>
      <c r="J24" s="13">
        <f>SUMIF(Mercado_Receita!$S$2:$S$644,"44470B1ConvencionalResidencialResidencial baixa renda – faixa 04Não se aplicaNão se aplicaPonta",Mercado_Receita!$L$2:$L$644)+SUMIF(Mercado_Receita!$S$2:$S$644,"44470B1ConvencionalResidencialResidencial baixa renda – faixa 04Não se aplicaNão se aplicaFora ponta",Mercado_Receita!$L$2:$L$644)+SUMIF(Mercado_Receita!$S$2:$S$644,"44470B1ConvencionalResidencialResidencial baixa renda – faixa 04Não se aplicaNão se aplicaIntermediário",Mercado_Receita!$L$2:$L$644)+SUMIF(Mercado_Receita!$S$2:$S$644,"44470B1ConvencionalResidencialResidencial baixa renda – faixa 04Não se aplicaNão se aplicaNão se aplica",Mercado_Receita!$L$2:$L$644)</f>
        <v>17.109000000000002</v>
      </c>
      <c r="K24" s="13">
        <f>SUMIF(Mercado_Receita!$S$2:$S$644,"44501B1ConvencionalResidencialResidencial baixa renda – faixa 04Não se aplicaNão se aplicaPonta",Mercado_Receita!$L$2:$L$644)+SUMIF(Mercado_Receita!$S$2:$S$644,"44501B1ConvencionalResidencialResidencial baixa renda – faixa 04Não se aplicaNão se aplicaFora ponta",Mercado_Receita!$L$2:$L$644)+SUMIF(Mercado_Receita!$S$2:$S$644,"44501B1ConvencionalResidencialResidencial baixa renda – faixa 04Não se aplicaNão se aplicaIntermediário",Mercado_Receita!$L$2:$L$644)+SUMIF(Mercado_Receita!$S$2:$S$644,"44501B1ConvencionalResidencialResidencial baixa renda – faixa 04Não se aplicaNão se aplicaNão se aplica",Mercado_Receita!$L$2:$L$644)</f>
        <v>18.899000000000001</v>
      </c>
      <c r="L24" s="13">
        <f>SUMIF(Mercado_Receita!$S$2:$S$644,"44531B1ConvencionalResidencialResidencial baixa renda – faixa 04Não se aplicaNão se aplicaPonta",Mercado_Receita!$L$2:$L$644)+SUMIF(Mercado_Receita!$S$2:$S$644,"44531B1ConvencionalResidencialResidencial baixa renda – faixa 04Não se aplicaNão se aplicaFora ponta",Mercado_Receita!$L$2:$L$644)+SUMIF(Mercado_Receita!$S$2:$S$644,"44531B1ConvencionalResidencialResidencial baixa renda – faixa 04Não se aplicaNão se aplicaIntermediário",Mercado_Receita!$L$2:$L$644)+SUMIF(Mercado_Receita!$S$2:$S$644,"44531B1ConvencionalResidencialResidencial baixa renda – faixa 04Não se aplicaNão se aplicaNão se aplica",Mercado_Receita!$L$2:$L$644)</f>
        <v>21.431000000000001</v>
      </c>
      <c r="M24" s="13">
        <f>SUMIF(Mercado_Receita!$S$2:$S$644,"44562B1ConvencionalResidencialResidencial baixa renda – faixa 04Não se aplicaNão se aplicaPonta",Mercado_Receita!$L$2:$L$644)+SUMIF(Mercado_Receita!$S$2:$S$644,"44562B1ConvencionalResidencialResidencial baixa renda – faixa 04Não se aplicaNão se aplicaFora ponta",Mercado_Receita!$L$2:$L$644)+SUMIF(Mercado_Receita!$S$2:$S$644,"44562B1ConvencionalResidencialResidencial baixa renda – faixa 04Não se aplicaNão se aplicaIntermediário",Mercado_Receita!$L$2:$L$644)+SUMIF(Mercado_Receita!$S$2:$S$644,"44562B1ConvencionalResidencialResidencial baixa renda – faixa 04Não se aplicaNão se aplicaNão se aplica",Mercado_Receita!$L$2:$L$644)</f>
        <v>33.978999999999999</v>
      </c>
      <c r="N24" s="13">
        <f>SUMIF(Mercado_Receita!$S$2:$S$644,"44593B1ConvencionalResidencialResidencial baixa renda – faixa 04Não se aplicaNão se aplicaPonta",Mercado_Receita!$L$2:$L$644)+SUMIF(Mercado_Receita!$S$2:$S$644,"44593B1ConvencionalResidencialResidencial baixa renda – faixa 04Não se aplicaNão se aplicaFora ponta",Mercado_Receita!$L$2:$L$644)+SUMIF(Mercado_Receita!$S$2:$S$644,"44593B1ConvencionalResidencialResidencial baixa renda – faixa 04Não se aplicaNão se aplicaIntermediário",Mercado_Receita!$L$2:$L$644)+SUMIF(Mercado_Receita!$S$2:$S$644,"44593B1ConvencionalResidencialResidencial baixa renda – faixa 04Não se aplicaNão se aplicaNão se aplica",Mercado_Receita!$L$2:$L$644)</f>
        <v>50.307000000000002</v>
      </c>
      <c r="O24" s="13">
        <f>SUMIF(Mercado_Receita!$S$2:$S$644,"44621B1ConvencionalResidencialResidencial baixa renda – faixa 04Não se aplicaNão se aplicaPonta",Mercado_Receita!$L$2:$L$644)+SUMIF(Mercado_Receita!$S$2:$S$644,"44621B1ConvencionalResidencialResidencial baixa renda – faixa 04Não se aplicaNão se aplicaFora ponta",Mercado_Receita!$L$2:$L$644)+SUMIF(Mercado_Receita!$S$2:$S$644,"44621B1ConvencionalResidencialResidencial baixa renda – faixa 04Não se aplicaNão se aplicaIntermediário",Mercado_Receita!$L$2:$L$644)+SUMIF(Mercado_Receita!$S$2:$S$644,"44621B1ConvencionalResidencialResidencial baixa renda – faixa 04Não se aplicaNão se aplicaNão se aplica",Mercado_Receita!$L$2:$L$644)</f>
        <v>38.713999999999999</v>
      </c>
      <c r="P24" s="13">
        <f>SUMIF(Mercado_Receita!$S$2:$S$644,"44652B1ConvencionalResidencialResidencial baixa renda – faixa 04Não se aplicaNão se aplicaPonta",Mercado_Receita!$L$2:$L$644)+SUMIF(Mercado_Receita!$S$2:$S$644,"44652B1ConvencionalResidencialResidencial baixa renda – faixa 04Não se aplicaNão se aplicaFora ponta",Mercado_Receita!$L$2:$L$644)+SUMIF(Mercado_Receita!$S$2:$S$644,"44652B1ConvencionalResidencialResidencial baixa renda – faixa 04Não se aplicaNão se aplicaIntermediário",Mercado_Receita!$L$2:$L$644)+SUMIF(Mercado_Receita!$S$2:$S$644,"44652B1ConvencionalResidencialResidencial baixa renda – faixa 04Não se aplicaNão se aplicaNão se aplica",Mercado_Receita!$L$2:$L$644)</f>
        <v>23.859000000000002</v>
      </c>
      <c r="Q24" s="13">
        <f>SUMIF(Mercado_Receita!$S$2:$S$644,"44682B1ConvencionalResidencialResidencial baixa renda – faixa 04Não se aplicaNão se aplicaPonta",Mercado_Receita!$L$2:$L$644)+SUMIF(Mercado_Receita!$S$2:$S$644,"44682B1ConvencionalResidencialResidencial baixa renda – faixa 04Não se aplicaNão se aplicaFora ponta",Mercado_Receita!$L$2:$L$644)+SUMIF(Mercado_Receita!$S$2:$S$644,"44682B1ConvencionalResidencialResidencial baixa renda – faixa 04Não se aplicaNão se aplicaIntermediário",Mercado_Receita!$L$2:$L$644)+SUMIF(Mercado_Receita!$S$2:$S$644,"44682B1ConvencionalResidencialResidencial baixa renda – faixa 04Não se aplicaNão se aplicaNão se aplica",Mercado_Receita!$L$2:$L$644)</f>
        <v>18.257999999999999</v>
      </c>
      <c r="R24" s="13">
        <f>SUMIF(Mercado_Receita!$S$2:$S$644,"44713B1ConvencionalResidencialResidencial baixa renda – faixa 04Não se aplicaNão se aplicaPonta",Mercado_Receita!$L$2:$L$644)+SUMIF(Mercado_Receita!$S$2:$S$644,"44713B1ConvencionalResidencialResidencial baixa renda – faixa 04Não se aplicaNão se aplicaFora ponta",Mercado_Receita!$L$2:$L$644)+SUMIF(Mercado_Receita!$S$2:$S$644,"44713B1ConvencionalResidencialResidencial baixa renda – faixa 04Não se aplicaNão se aplicaIntermediário",Mercado_Receita!$L$2:$L$644)+SUMIF(Mercado_Receita!$S$2:$S$644,"44713B1ConvencionalResidencialResidencial baixa renda – faixa 04Não se aplicaNão se aplicaNão se aplica",Mercado_Receita!$L$2:$L$644)</f>
        <v>26.19</v>
      </c>
      <c r="S24" s="13">
        <f>SUMIF(Mercado_Receita!$S$2:$S$644,"44743B1ConvencionalResidencialResidencial baixa renda – faixa 04Não se aplicaNão se aplicaPonta",Mercado_Receita!$L$2:$L$644)+SUMIF(Mercado_Receita!$S$2:$S$644,"44743B1ConvencionalResidencialResidencial baixa renda – faixa 04Não se aplicaNão se aplicaFora ponta",Mercado_Receita!$L$2:$L$644)+SUMIF(Mercado_Receita!$S$2:$S$644,"44743B1ConvencionalResidencialResidencial baixa renda – faixa 04Não se aplicaNão se aplicaIntermediário",Mercado_Receita!$L$2:$L$644)+SUMIF(Mercado_Receita!$S$2:$S$644,"44743B1ConvencionalResidencialResidencial baixa renda – faixa 04Não se aplicaNão se aplicaNão se aplica",Mercado_Receita!$L$2:$L$644)</f>
        <v>23.417000000000002</v>
      </c>
      <c r="T24" s="13">
        <f>SUMIF(Mercado_Receita!$S$2:$S$644,"44774B1ConvencionalResidencialResidencial baixa renda – faixa 04Não se aplicaNão se aplicaPonta",Mercado_Receita!$L$2:$L$644)+SUMIF(Mercado_Receita!$S$2:$S$644,"44774B1ConvencionalResidencialResidencial baixa renda – faixa 04Não se aplicaNão se aplicaFora ponta",Mercado_Receita!$L$2:$L$644)+SUMIF(Mercado_Receita!$S$2:$S$644,"44774B1ConvencionalResidencialResidencial baixa renda – faixa 04Não se aplicaNão se aplicaIntermediário",Mercado_Receita!$L$2:$L$644)+SUMIF(Mercado_Receita!$S$2:$S$644,"44774B1ConvencionalResidencialResidencial baixa renda – faixa 04Não se aplicaNão se aplicaNão se aplica",Mercado_Receita!$L$2:$L$644)</f>
        <v>28.462</v>
      </c>
      <c r="U24" s="13">
        <f t="shared" si="0"/>
        <v>317.14700000000005</v>
      </c>
      <c r="V24" s="13"/>
      <c r="W24" s="13"/>
    </row>
    <row r="25" spans="1:23" ht="11.25" customHeight="1" x14ac:dyDescent="0.25">
      <c r="A25" s="84"/>
      <c r="B25" s="83" t="s">
        <v>99</v>
      </c>
      <c r="C25" s="83" t="s">
        <v>24</v>
      </c>
      <c r="D25" s="12" t="s">
        <v>24</v>
      </c>
      <c r="E25" s="12" t="s">
        <v>25</v>
      </c>
      <c r="F25" s="12" t="s">
        <v>25</v>
      </c>
      <c r="G25" s="13" t="s">
        <v>87</v>
      </c>
      <c r="H25" s="13" t="s">
        <v>82</v>
      </c>
      <c r="I25" s="13">
        <f>SUMIF(Mercado_Receita!$S$2:$S$644,"44440B1Convencional pré-pagamentoResidencialResidencialNão se aplicaNão se aplicaPonta",Mercado_Receita!$L$2:$L$644)+SUMIF(Mercado_Receita!$S$2:$S$644,"44440B1Convencional pré-pagamentoResidencialResidencialNão se aplicaNão se aplicaFora ponta",Mercado_Receita!$L$2:$L$644)+SUMIF(Mercado_Receita!$S$2:$S$644,"44440B1Convencional pré-pagamentoResidencialResidencialNão se aplicaNão se aplicaIntermediário",Mercado_Receita!$L$2:$L$644)+SUMIF(Mercado_Receita!$S$2:$S$644,"44440B1Convencional pré-pagamentoResidencialResidencialNão se aplicaNão se aplicaNão se aplica",Mercado_Receita!$L$2:$L$644)</f>
        <v>0</v>
      </c>
      <c r="J25" s="13">
        <f>SUMIF(Mercado_Receita!$S$2:$S$644,"44470B1Convencional pré-pagamentoResidencialResidencialNão se aplicaNão se aplicaPonta",Mercado_Receita!$L$2:$L$644)+SUMIF(Mercado_Receita!$S$2:$S$644,"44470B1Convencional pré-pagamentoResidencialResidencialNão se aplicaNão se aplicaFora ponta",Mercado_Receita!$L$2:$L$644)+SUMIF(Mercado_Receita!$S$2:$S$644,"44470B1Convencional pré-pagamentoResidencialResidencialNão se aplicaNão se aplicaIntermediário",Mercado_Receita!$L$2:$L$644)+SUMIF(Mercado_Receita!$S$2:$S$644,"44470B1Convencional pré-pagamentoResidencialResidencialNão se aplicaNão se aplicaNão se aplica",Mercado_Receita!$L$2:$L$644)</f>
        <v>0</v>
      </c>
      <c r="K25" s="13">
        <f>SUMIF(Mercado_Receita!$S$2:$S$644,"44501B1Convencional pré-pagamentoResidencialResidencialNão se aplicaNão se aplicaPonta",Mercado_Receita!$L$2:$L$644)+SUMIF(Mercado_Receita!$S$2:$S$644,"44501B1Convencional pré-pagamentoResidencialResidencialNão se aplicaNão se aplicaFora ponta",Mercado_Receita!$L$2:$L$644)+SUMIF(Mercado_Receita!$S$2:$S$644,"44501B1Convencional pré-pagamentoResidencialResidencialNão se aplicaNão se aplicaIntermediário",Mercado_Receita!$L$2:$L$644)+SUMIF(Mercado_Receita!$S$2:$S$644,"44501B1Convencional pré-pagamentoResidencialResidencialNão se aplicaNão se aplicaNão se aplica",Mercado_Receita!$L$2:$L$644)</f>
        <v>0</v>
      </c>
      <c r="L25" s="13">
        <f>SUMIF(Mercado_Receita!$S$2:$S$644,"44531B1Convencional pré-pagamentoResidencialResidencialNão se aplicaNão se aplicaPonta",Mercado_Receita!$L$2:$L$644)+SUMIF(Mercado_Receita!$S$2:$S$644,"44531B1Convencional pré-pagamentoResidencialResidencialNão se aplicaNão se aplicaFora ponta",Mercado_Receita!$L$2:$L$644)+SUMIF(Mercado_Receita!$S$2:$S$644,"44531B1Convencional pré-pagamentoResidencialResidencialNão se aplicaNão se aplicaIntermediário",Mercado_Receita!$L$2:$L$644)+SUMIF(Mercado_Receita!$S$2:$S$644,"44531B1Convencional pré-pagamentoResidencialResidencialNão se aplicaNão se aplicaNão se aplica",Mercado_Receita!$L$2:$L$644)</f>
        <v>0</v>
      </c>
      <c r="M25" s="13">
        <f>SUMIF(Mercado_Receita!$S$2:$S$644,"44562B1Convencional pré-pagamentoResidencialResidencialNão se aplicaNão se aplicaPonta",Mercado_Receita!$L$2:$L$644)+SUMIF(Mercado_Receita!$S$2:$S$644,"44562B1Convencional pré-pagamentoResidencialResidencialNão se aplicaNão se aplicaFora ponta",Mercado_Receita!$L$2:$L$644)+SUMIF(Mercado_Receita!$S$2:$S$644,"44562B1Convencional pré-pagamentoResidencialResidencialNão se aplicaNão se aplicaIntermediário",Mercado_Receita!$L$2:$L$644)+SUMIF(Mercado_Receita!$S$2:$S$644,"44562B1Convencional pré-pagamentoResidencialResidencialNão se aplicaNão se aplicaNão se aplica",Mercado_Receita!$L$2:$L$644)</f>
        <v>0</v>
      </c>
      <c r="N25" s="13">
        <f>SUMIF(Mercado_Receita!$S$2:$S$644,"44593B1Convencional pré-pagamentoResidencialResidencialNão se aplicaNão se aplicaPonta",Mercado_Receita!$L$2:$L$644)+SUMIF(Mercado_Receita!$S$2:$S$644,"44593B1Convencional pré-pagamentoResidencialResidencialNão se aplicaNão se aplicaFora ponta",Mercado_Receita!$L$2:$L$644)+SUMIF(Mercado_Receita!$S$2:$S$644,"44593B1Convencional pré-pagamentoResidencialResidencialNão se aplicaNão se aplicaIntermediário",Mercado_Receita!$L$2:$L$644)+SUMIF(Mercado_Receita!$S$2:$S$644,"44593B1Convencional pré-pagamentoResidencialResidencialNão se aplicaNão se aplicaNão se aplica",Mercado_Receita!$L$2:$L$644)</f>
        <v>0</v>
      </c>
      <c r="O25" s="13">
        <f>SUMIF(Mercado_Receita!$S$2:$S$644,"44621B1Convencional pré-pagamentoResidencialResidencialNão se aplicaNão se aplicaPonta",Mercado_Receita!$L$2:$L$644)+SUMIF(Mercado_Receita!$S$2:$S$644,"44621B1Convencional pré-pagamentoResidencialResidencialNão se aplicaNão se aplicaFora ponta",Mercado_Receita!$L$2:$L$644)+SUMIF(Mercado_Receita!$S$2:$S$644,"44621B1Convencional pré-pagamentoResidencialResidencialNão se aplicaNão se aplicaIntermediário",Mercado_Receita!$L$2:$L$644)+SUMIF(Mercado_Receita!$S$2:$S$644,"44621B1Convencional pré-pagamentoResidencialResidencialNão se aplicaNão se aplicaNão se aplica",Mercado_Receita!$L$2:$L$644)</f>
        <v>0</v>
      </c>
      <c r="P25" s="13">
        <f>SUMIF(Mercado_Receita!$S$2:$S$644,"44652B1Convencional pré-pagamentoResidencialResidencialNão se aplicaNão se aplicaPonta",Mercado_Receita!$L$2:$L$644)+SUMIF(Mercado_Receita!$S$2:$S$644,"44652B1Convencional pré-pagamentoResidencialResidencialNão se aplicaNão se aplicaFora ponta",Mercado_Receita!$L$2:$L$644)+SUMIF(Mercado_Receita!$S$2:$S$644,"44652B1Convencional pré-pagamentoResidencialResidencialNão se aplicaNão se aplicaIntermediário",Mercado_Receita!$L$2:$L$644)+SUMIF(Mercado_Receita!$S$2:$S$644,"44652B1Convencional pré-pagamentoResidencialResidencialNão se aplicaNão se aplicaNão se aplica",Mercado_Receita!$L$2:$L$644)</f>
        <v>0</v>
      </c>
      <c r="Q25" s="13">
        <f>SUMIF(Mercado_Receita!$S$2:$S$644,"44682B1Convencional pré-pagamentoResidencialResidencialNão se aplicaNão se aplicaPonta",Mercado_Receita!$L$2:$L$644)+SUMIF(Mercado_Receita!$S$2:$S$644,"44682B1Convencional pré-pagamentoResidencialResidencialNão se aplicaNão se aplicaFora ponta",Mercado_Receita!$L$2:$L$644)+SUMIF(Mercado_Receita!$S$2:$S$644,"44682B1Convencional pré-pagamentoResidencialResidencialNão se aplicaNão se aplicaIntermediário",Mercado_Receita!$L$2:$L$644)+SUMIF(Mercado_Receita!$S$2:$S$644,"44682B1Convencional pré-pagamentoResidencialResidencialNão se aplicaNão se aplicaNão se aplica",Mercado_Receita!$L$2:$L$644)</f>
        <v>0</v>
      </c>
      <c r="R25" s="13">
        <f>SUMIF(Mercado_Receita!$S$2:$S$644,"44713B1Convencional pré-pagamentoResidencialResidencialNão se aplicaNão se aplicaPonta",Mercado_Receita!$L$2:$L$644)+SUMIF(Mercado_Receita!$S$2:$S$644,"44713B1Convencional pré-pagamentoResidencialResidencialNão se aplicaNão se aplicaFora ponta",Mercado_Receita!$L$2:$L$644)+SUMIF(Mercado_Receita!$S$2:$S$644,"44713B1Convencional pré-pagamentoResidencialResidencialNão se aplicaNão se aplicaIntermediário",Mercado_Receita!$L$2:$L$644)+SUMIF(Mercado_Receita!$S$2:$S$644,"44713B1Convencional pré-pagamentoResidencialResidencialNão se aplicaNão se aplicaNão se aplica",Mercado_Receita!$L$2:$L$644)</f>
        <v>0</v>
      </c>
      <c r="S25" s="13">
        <f>SUMIF(Mercado_Receita!$S$2:$S$644,"44743B1Convencional pré-pagamentoResidencialResidencialNão se aplicaNão se aplicaPonta",Mercado_Receita!$L$2:$L$644)+SUMIF(Mercado_Receita!$S$2:$S$644,"44743B1Convencional pré-pagamentoResidencialResidencialNão se aplicaNão se aplicaFora ponta",Mercado_Receita!$L$2:$L$644)+SUMIF(Mercado_Receita!$S$2:$S$644,"44743B1Convencional pré-pagamentoResidencialResidencialNão se aplicaNão se aplicaIntermediário",Mercado_Receita!$L$2:$L$644)+SUMIF(Mercado_Receita!$S$2:$S$644,"44743B1Convencional pré-pagamentoResidencialResidencialNão se aplicaNão se aplicaNão se aplica",Mercado_Receita!$L$2:$L$644)</f>
        <v>0</v>
      </c>
      <c r="T25" s="13">
        <f>SUMIF(Mercado_Receita!$S$2:$S$644,"44774B1Convencional pré-pagamentoResidencialResidencialNão se aplicaNão se aplicaPonta",Mercado_Receita!$L$2:$L$644)+SUMIF(Mercado_Receita!$S$2:$S$644,"44774B1Convencional pré-pagamentoResidencialResidencialNão se aplicaNão se aplicaFora ponta",Mercado_Receita!$L$2:$L$644)+SUMIF(Mercado_Receita!$S$2:$S$644,"44774B1Convencional pré-pagamentoResidencialResidencialNão se aplicaNão se aplicaIntermediário",Mercado_Receita!$L$2:$L$644)+SUMIF(Mercado_Receita!$S$2:$S$644,"44774B1Convencional pré-pagamentoResidencialResidencialNão se aplicaNão se aplicaNão se aplica",Mercado_Receita!$L$2:$L$644)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4"/>
      <c r="B26" s="84"/>
      <c r="C26" s="84"/>
      <c r="D26" s="12" t="s">
        <v>29</v>
      </c>
      <c r="E26" s="12" t="s">
        <v>25</v>
      </c>
      <c r="F26" s="12" t="s">
        <v>25</v>
      </c>
      <c r="G26" s="13" t="s">
        <v>87</v>
      </c>
      <c r="H26" s="13" t="s">
        <v>82</v>
      </c>
      <c r="I26" s="13">
        <f>SUMIF(Mercado_Receita!$S$2:$S$644,"44440B1Convencional pré-pagamentoResidencialResidencial baixa renda – faixa 01Não se aplicaNão se aplicaPonta",Mercado_Receita!$L$2:$L$644)+SUMIF(Mercado_Receita!$S$2:$S$644,"44440B1Convencional pré-pagamentoResidencialResidencial baixa renda – faixa 01Não se aplicaNão se aplicaFora ponta",Mercado_Receita!$L$2:$L$644)+SUMIF(Mercado_Receita!$S$2:$S$644,"44440B1Convencional pré-pagamentoResidencialResidencial baixa renda – faixa 01Não se aplicaNão se aplicaIntermediário",Mercado_Receita!$L$2:$L$644)+SUMIF(Mercado_Receita!$S$2:$S$644,"44440B1Convencional pré-pagamentoResidencialResidencial baixa renda – faixa 01Não se aplicaNão se aplicaNão se aplica",Mercado_Receita!$L$2:$L$644)</f>
        <v>0</v>
      </c>
      <c r="J26" s="13">
        <f>SUMIF(Mercado_Receita!$S$2:$S$644,"44470B1Convencional pré-pagamentoResidencialResidencial baixa renda – faixa 01Não se aplicaNão se aplicaPonta",Mercado_Receita!$L$2:$L$644)+SUMIF(Mercado_Receita!$S$2:$S$644,"44470B1Convencional pré-pagamentoResidencialResidencial baixa renda – faixa 01Não se aplicaNão se aplicaFora ponta",Mercado_Receita!$L$2:$L$644)+SUMIF(Mercado_Receita!$S$2:$S$644,"44470B1Convencional pré-pagamentoResidencialResidencial baixa renda – faixa 01Não se aplicaNão se aplicaIntermediário",Mercado_Receita!$L$2:$L$644)+SUMIF(Mercado_Receita!$S$2:$S$644,"44470B1Convencional pré-pagamentoResidencialResidencial baixa renda – faixa 01Não se aplicaNão se aplicaNão se aplica",Mercado_Receita!$L$2:$L$644)</f>
        <v>0</v>
      </c>
      <c r="K26" s="13">
        <f>SUMIF(Mercado_Receita!$S$2:$S$644,"44501B1Convencional pré-pagamentoResidencialResidencial baixa renda – faixa 01Não se aplicaNão se aplicaPonta",Mercado_Receita!$L$2:$L$644)+SUMIF(Mercado_Receita!$S$2:$S$644,"44501B1Convencional pré-pagamentoResidencialResidencial baixa renda – faixa 01Não se aplicaNão se aplicaFora ponta",Mercado_Receita!$L$2:$L$644)+SUMIF(Mercado_Receita!$S$2:$S$644,"44501B1Convencional pré-pagamentoResidencialResidencial baixa renda – faixa 01Não se aplicaNão se aplicaIntermediário",Mercado_Receita!$L$2:$L$644)+SUMIF(Mercado_Receita!$S$2:$S$644,"44501B1Convencional pré-pagamentoResidencialResidencial baixa renda – faixa 01Não se aplicaNão se aplicaNão se aplica",Mercado_Receita!$L$2:$L$644)</f>
        <v>0</v>
      </c>
      <c r="L26" s="13">
        <f>SUMIF(Mercado_Receita!$S$2:$S$644,"44531B1Convencional pré-pagamentoResidencialResidencial baixa renda – faixa 01Não se aplicaNão se aplicaPonta",Mercado_Receita!$L$2:$L$644)+SUMIF(Mercado_Receita!$S$2:$S$644,"44531B1Convencional pré-pagamentoResidencialResidencial baixa renda – faixa 01Não se aplicaNão se aplicaFora ponta",Mercado_Receita!$L$2:$L$644)+SUMIF(Mercado_Receita!$S$2:$S$644,"44531B1Convencional pré-pagamentoResidencialResidencial baixa renda – faixa 01Não se aplicaNão se aplicaIntermediário",Mercado_Receita!$L$2:$L$644)+SUMIF(Mercado_Receita!$S$2:$S$644,"44531B1Convencional pré-pagamentoResidencialResidencial baixa renda – faixa 01Não se aplicaNão se aplicaNão se aplica",Mercado_Receita!$L$2:$L$644)</f>
        <v>0</v>
      </c>
      <c r="M26" s="13">
        <f>SUMIF(Mercado_Receita!$S$2:$S$644,"44562B1Convencional pré-pagamentoResidencialResidencial baixa renda – faixa 01Não se aplicaNão se aplicaPonta",Mercado_Receita!$L$2:$L$644)+SUMIF(Mercado_Receita!$S$2:$S$644,"44562B1Convencional pré-pagamentoResidencialResidencial baixa renda – faixa 01Não se aplicaNão se aplicaFora ponta",Mercado_Receita!$L$2:$L$644)+SUMIF(Mercado_Receita!$S$2:$S$644,"44562B1Convencional pré-pagamentoResidencialResidencial baixa renda – faixa 01Não se aplicaNão se aplicaIntermediário",Mercado_Receita!$L$2:$L$644)+SUMIF(Mercado_Receita!$S$2:$S$644,"44562B1Convencional pré-pagamentoResidencialResidencial baixa renda – faixa 01Não se aplicaNão se aplicaNão se aplica",Mercado_Receita!$L$2:$L$644)</f>
        <v>0</v>
      </c>
      <c r="N26" s="13">
        <f>SUMIF(Mercado_Receita!$S$2:$S$644,"44593B1Convencional pré-pagamentoResidencialResidencial baixa renda – faixa 01Não se aplicaNão se aplicaPonta",Mercado_Receita!$L$2:$L$644)+SUMIF(Mercado_Receita!$S$2:$S$644,"44593B1Convencional pré-pagamentoResidencialResidencial baixa renda – faixa 01Não se aplicaNão se aplicaFora ponta",Mercado_Receita!$L$2:$L$644)+SUMIF(Mercado_Receita!$S$2:$S$644,"44593B1Convencional pré-pagamentoResidencialResidencial baixa renda – faixa 01Não se aplicaNão se aplicaIntermediário",Mercado_Receita!$L$2:$L$644)+SUMIF(Mercado_Receita!$S$2:$S$644,"44593B1Convencional pré-pagamentoResidencialResidencial baixa renda – faixa 01Não se aplicaNão se aplicaNão se aplica",Mercado_Receita!$L$2:$L$644)</f>
        <v>0</v>
      </c>
      <c r="O26" s="13">
        <f>SUMIF(Mercado_Receita!$S$2:$S$644,"44621B1Convencional pré-pagamentoResidencialResidencial baixa renda – faixa 01Não se aplicaNão se aplicaPonta",Mercado_Receita!$L$2:$L$644)+SUMIF(Mercado_Receita!$S$2:$S$644,"44621B1Convencional pré-pagamentoResidencialResidencial baixa renda – faixa 01Não se aplicaNão se aplicaFora ponta",Mercado_Receita!$L$2:$L$644)+SUMIF(Mercado_Receita!$S$2:$S$644,"44621B1Convencional pré-pagamentoResidencialResidencial baixa renda – faixa 01Não se aplicaNão se aplicaIntermediário",Mercado_Receita!$L$2:$L$644)+SUMIF(Mercado_Receita!$S$2:$S$644,"44621B1Convencional pré-pagamentoResidencialResidencial baixa renda – faixa 01Não se aplicaNão se aplicaNão se aplica",Mercado_Receita!$L$2:$L$644)</f>
        <v>0</v>
      </c>
      <c r="P26" s="13">
        <f>SUMIF(Mercado_Receita!$S$2:$S$644,"44652B1Convencional pré-pagamentoResidencialResidencial baixa renda – faixa 01Não se aplicaNão se aplicaPonta",Mercado_Receita!$L$2:$L$644)+SUMIF(Mercado_Receita!$S$2:$S$644,"44652B1Convencional pré-pagamentoResidencialResidencial baixa renda – faixa 01Não se aplicaNão se aplicaFora ponta",Mercado_Receita!$L$2:$L$644)+SUMIF(Mercado_Receita!$S$2:$S$644,"44652B1Convencional pré-pagamentoResidencialResidencial baixa renda – faixa 01Não se aplicaNão se aplicaIntermediário",Mercado_Receita!$L$2:$L$644)+SUMIF(Mercado_Receita!$S$2:$S$644,"44652B1Convencional pré-pagamentoResidencialResidencial baixa renda – faixa 01Não se aplicaNão se aplicaNão se aplica",Mercado_Receita!$L$2:$L$644)</f>
        <v>0</v>
      </c>
      <c r="Q26" s="13">
        <f>SUMIF(Mercado_Receita!$S$2:$S$644,"44682B1Convencional pré-pagamentoResidencialResidencial baixa renda – faixa 01Não se aplicaNão se aplicaPonta",Mercado_Receita!$L$2:$L$644)+SUMIF(Mercado_Receita!$S$2:$S$644,"44682B1Convencional pré-pagamentoResidencialResidencial baixa renda – faixa 01Não se aplicaNão se aplicaFora ponta",Mercado_Receita!$L$2:$L$644)+SUMIF(Mercado_Receita!$S$2:$S$644,"44682B1Convencional pré-pagamentoResidencialResidencial baixa renda – faixa 01Não se aplicaNão se aplicaIntermediário",Mercado_Receita!$L$2:$L$644)+SUMIF(Mercado_Receita!$S$2:$S$644,"44682B1Convencional pré-pagamentoResidencialResidencial baixa renda – faixa 01Não se aplicaNão se aplicaNão se aplica",Mercado_Receita!$L$2:$L$644)</f>
        <v>0</v>
      </c>
      <c r="R26" s="13">
        <f>SUMIF(Mercado_Receita!$S$2:$S$644,"44713B1Convencional pré-pagamentoResidencialResidencial baixa renda – faixa 01Não se aplicaNão se aplicaPonta",Mercado_Receita!$L$2:$L$644)+SUMIF(Mercado_Receita!$S$2:$S$644,"44713B1Convencional pré-pagamentoResidencialResidencial baixa renda – faixa 01Não se aplicaNão se aplicaFora ponta",Mercado_Receita!$L$2:$L$644)+SUMIF(Mercado_Receita!$S$2:$S$644,"44713B1Convencional pré-pagamentoResidencialResidencial baixa renda – faixa 01Não se aplicaNão se aplicaIntermediário",Mercado_Receita!$L$2:$L$644)+SUMIF(Mercado_Receita!$S$2:$S$644,"44713B1Convencional pré-pagamentoResidencialResidencial baixa renda – faixa 01Não se aplicaNão se aplicaNão se aplica",Mercado_Receita!$L$2:$L$644)</f>
        <v>0</v>
      </c>
      <c r="S26" s="13">
        <f>SUMIF(Mercado_Receita!$S$2:$S$644,"44743B1Convencional pré-pagamentoResidencialResidencial baixa renda – faixa 01Não se aplicaNão se aplicaPonta",Mercado_Receita!$L$2:$L$644)+SUMIF(Mercado_Receita!$S$2:$S$644,"44743B1Convencional pré-pagamentoResidencialResidencial baixa renda – faixa 01Não se aplicaNão se aplicaFora ponta",Mercado_Receita!$L$2:$L$644)+SUMIF(Mercado_Receita!$S$2:$S$644,"44743B1Convencional pré-pagamentoResidencialResidencial baixa renda – faixa 01Não se aplicaNão se aplicaIntermediário",Mercado_Receita!$L$2:$L$644)+SUMIF(Mercado_Receita!$S$2:$S$644,"44743B1Convencional pré-pagamentoResidencialResidencial baixa renda – faixa 01Não se aplicaNão se aplicaNão se aplica",Mercado_Receita!$L$2:$L$644)</f>
        <v>0</v>
      </c>
      <c r="T26" s="13">
        <f>SUMIF(Mercado_Receita!$S$2:$S$644,"44774B1Convencional pré-pagamentoResidencialResidencial baixa renda – faixa 01Não se aplicaNão se aplicaPonta",Mercado_Receita!$L$2:$L$644)+SUMIF(Mercado_Receita!$S$2:$S$644,"44774B1Convencional pré-pagamentoResidencialResidencial baixa renda – faixa 01Não se aplicaNão se aplicaFora ponta",Mercado_Receita!$L$2:$L$644)+SUMIF(Mercado_Receita!$S$2:$S$644,"44774B1Convencional pré-pagamentoResidencialResidencial baixa renda – faixa 01Não se aplicaNão se aplicaIntermediário",Mercado_Receita!$L$2:$L$644)+SUMIF(Mercado_Receita!$S$2:$S$644,"44774B1Convencional pré-pagamentoResidencialResidencial baixa renda – faixa 01Não se aplicaNão se aplicaNão se aplica",Mercado_Receita!$L$2:$L$644)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4"/>
      <c r="B27" s="84"/>
      <c r="C27" s="84"/>
      <c r="D27" s="12" t="s">
        <v>30</v>
      </c>
      <c r="E27" s="12" t="s">
        <v>25</v>
      </c>
      <c r="F27" s="12" t="s">
        <v>25</v>
      </c>
      <c r="G27" s="13" t="s">
        <v>87</v>
      </c>
      <c r="H27" s="13" t="s">
        <v>82</v>
      </c>
      <c r="I27" s="13">
        <f>SUMIF(Mercado_Receita!$S$2:$S$644,"44440B1Convencional pré-pagamentoResidencialResidencial baixa renda – faixa 02Não se aplicaNão se aplicaPonta",Mercado_Receita!$L$2:$L$644)+SUMIF(Mercado_Receita!$S$2:$S$644,"44440B1Convencional pré-pagamentoResidencialResidencial baixa renda – faixa 02Não se aplicaNão se aplicaFora ponta",Mercado_Receita!$L$2:$L$644)+SUMIF(Mercado_Receita!$S$2:$S$644,"44440B1Convencional pré-pagamentoResidencialResidencial baixa renda – faixa 02Não se aplicaNão se aplicaIntermediário",Mercado_Receita!$L$2:$L$644)+SUMIF(Mercado_Receita!$S$2:$S$644,"44440B1Convencional pré-pagamentoResidencialResidencial baixa renda – faixa 02Não se aplicaNão se aplicaNão se aplica",Mercado_Receita!$L$2:$L$644)</f>
        <v>0</v>
      </c>
      <c r="J27" s="13">
        <f>SUMIF(Mercado_Receita!$S$2:$S$644,"44470B1Convencional pré-pagamentoResidencialResidencial baixa renda – faixa 02Não se aplicaNão se aplicaPonta",Mercado_Receita!$L$2:$L$644)+SUMIF(Mercado_Receita!$S$2:$S$644,"44470B1Convencional pré-pagamentoResidencialResidencial baixa renda – faixa 02Não se aplicaNão se aplicaFora ponta",Mercado_Receita!$L$2:$L$644)+SUMIF(Mercado_Receita!$S$2:$S$644,"44470B1Convencional pré-pagamentoResidencialResidencial baixa renda – faixa 02Não se aplicaNão se aplicaIntermediário",Mercado_Receita!$L$2:$L$644)+SUMIF(Mercado_Receita!$S$2:$S$644,"44470B1Convencional pré-pagamentoResidencialResidencial baixa renda – faixa 02Não se aplicaNão se aplicaNão se aplica",Mercado_Receita!$L$2:$L$644)</f>
        <v>0</v>
      </c>
      <c r="K27" s="13">
        <f>SUMIF(Mercado_Receita!$S$2:$S$644,"44501B1Convencional pré-pagamentoResidencialResidencial baixa renda – faixa 02Não se aplicaNão se aplicaPonta",Mercado_Receita!$L$2:$L$644)+SUMIF(Mercado_Receita!$S$2:$S$644,"44501B1Convencional pré-pagamentoResidencialResidencial baixa renda – faixa 02Não se aplicaNão se aplicaFora ponta",Mercado_Receita!$L$2:$L$644)+SUMIF(Mercado_Receita!$S$2:$S$644,"44501B1Convencional pré-pagamentoResidencialResidencial baixa renda – faixa 02Não se aplicaNão se aplicaIntermediário",Mercado_Receita!$L$2:$L$644)+SUMIF(Mercado_Receita!$S$2:$S$644,"44501B1Convencional pré-pagamentoResidencialResidencial baixa renda – faixa 02Não se aplicaNão se aplicaNão se aplica",Mercado_Receita!$L$2:$L$644)</f>
        <v>0</v>
      </c>
      <c r="L27" s="13">
        <f>SUMIF(Mercado_Receita!$S$2:$S$644,"44531B1Convencional pré-pagamentoResidencialResidencial baixa renda – faixa 02Não se aplicaNão se aplicaPonta",Mercado_Receita!$L$2:$L$644)+SUMIF(Mercado_Receita!$S$2:$S$644,"44531B1Convencional pré-pagamentoResidencialResidencial baixa renda – faixa 02Não se aplicaNão se aplicaFora ponta",Mercado_Receita!$L$2:$L$644)+SUMIF(Mercado_Receita!$S$2:$S$644,"44531B1Convencional pré-pagamentoResidencialResidencial baixa renda – faixa 02Não se aplicaNão se aplicaIntermediário",Mercado_Receita!$L$2:$L$644)+SUMIF(Mercado_Receita!$S$2:$S$644,"44531B1Convencional pré-pagamentoResidencialResidencial baixa renda – faixa 02Não se aplicaNão se aplicaNão se aplica",Mercado_Receita!$L$2:$L$644)</f>
        <v>0</v>
      </c>
      <c r="M27" s="13">
        <f>SUMIF(Mercado_Receita!$S$2:$S$644,"44562B1Convencional pré-pagamentoResidencialResidencial baixa renda – faixa 02Não se aplicaNão se aplicaPonta",Mercado_Receita!$L$2:$L$644)+SUMIF(Mercado_Receita!$S$2:$S$644,"44562B1Convencional pré-pagamentoResidencialResidencial baixa renda – faixa 02Não se aplicaNão se aplicaFora ponta",Mercado_Receita!$L$2:$L$644)+SUMIF(Mercado_Receita!$S$2:$S$644,"44562B1Convencional pré-pagamentoResidencialResidencial baixa renda – faixa 02Não se aplicaNão se aplicaIntermediário",Mercado_Receita!$L$2:$L$644)+SUMIF(Mercado_Receita!$S$2:$S$644,"44562B1Convencional pré-pagamentoResidencialResidencial baixa renda – faixa 02Não se aplicaNão se aplicaNão se aplica",Mercado_Receita!$L$2:$L$644)</f>
        <v>0</v>
      </c>
      <c r="N27" s="13">
        <f>SUMIF(Mercado_Receita!$S$2:$S$644,"44593B1Convencional pré-pagamentoResidencialResidencial baixa renda – faixa 02Não se aplicaNão se aplicaPonta",Mercado_Receita!$L$2:$L$644)+SUMIF(Mercado_Receita!$S$2:$S$644,"44593B1Convencional pré-pagamentoResidencialResidencial baixa renda – faixa 02Não se aplicaNão se aplicaFora ponta",Mercado_Receita!$L$2:$L$644)+SUMIF(Mercado_Receita!$S$2:$S$644,"44593B1Convencional pré-pagamentoResidencialResidencial baixa renda – faixa 02Não se aplicaNão se aplicaIntermediário",Mercado_Receita!$L$2:$L$644)+SUMIF(Mercado_Receita!$S$2:$S$644,"44593B1Convencional pré-pagamentoResidencialResidencial baixa renda – faixa 02Não se aplicaNão se aplicaNão se aplica",Mercado_Receita!$L$2:$L$644)</f>
        <v>0</v>
      </c>
      <c r="O27" s="13">
        <f>SUMIF(Mercado_Receita!$S$2:$S$644,"44621B1Convencional pré-pagamentoResidencialResidencial baixa renda – faixa 02Não se aplicaNão se aplicaPonta",Mercado_Receita!$L$2:$L$644)+SUMIF(Mercado_Receita!$S$2:$S$644,"44621B1Convencional pré-pagamentoResidencialResidencial baixa renda – faixa 02Não se aplicaNão se aplicaFora ponta",Mercado_Receita!$L$2:$L$644)+SUMIF(Mercado_Receita!$S$2:$S$644,"44621B1Convencional pré-pagamentoResidencialResidencial baixa renda – faixa 02Não se aplicaNão se aplicaIntermediário",Mercado_Receita!$L$2:$L$644)+SUMIF(Mercado_Receita!$S$2:$S$644,"44621B1Convencional pré-pagamentoResidencialResidencial baixa renda – faixa 02Não se aplicaNão se aplicaNão se aplica",Mercado_Receita!$L$2:$L$644)</f>
        <v>0</v>
      </c>
      <c r="P27" s="13">
        <f>SUMIF(Mercado_Receita!$S$2:$S$644,"44652B1Convencional pré-pagamentoResidencialResidencial baixa renda – faixa 02Não se aplicaNão se aplicaPonta",Mercado_Receita!$L$2:$L$644)+SUMIF(Mercado_Receita!$S$2:$S$644,"44652B1Convencional pré-pagamentoResidencialResidencial baixa renda – faixa 02Não se aplicaNão se aplicaFora ponta",Mercado_Receita!$L$2:$L$644)+SUMIF(Mercado_Receita!$S$2:$S$644,"44652B1Convencional pré-pagamentoResidencialResidencial baixa renda – faixa 02Não se aplicaNão se aplicaIntermediário",Mercado_Receita!$L$2:$L$644)+SUMIF(Mercado_Receita!$S$2:$S$644,"44652B1Convencional pré-pagamentoResidencialResidencial baixa renda – faixa 02Não se aplicaNão se aplicaNão se aplica",Mercado_Receita!$L$2:$L$644)</f>
        <v>0</v>
      </c>
      <c r="Q27" s="13">
        <f>SUMIF(Mercado_Receita!$S$2:$S$644,"44682B1Convencional pré-pagamentoResidencialResidencial baixa renda – faixa 02Não se aplicaNão se aplicaPonta",Mercado_Receita!$L$2:$L$644)+SUMIF(Mercado_Receita!$S$2:$S$644,"44682B1Convencional pré-pagamentoResidencialResidencial baixa renda – faixa 02Não se aplicaNão se aplicaFora ponta",Mercado_Receita!$L$2:$L$644)+SUMIF(Mercado_Receita!$S$2:$S$644,"44682B1Convencional pré-pagamentoResidencialResidencial baixa renda – faixa 02Não se aplicaNão se aplicaIntermediário",Mercado_Receita!$L$2:$L$644)+SUMIF(Mercado_Receita!$S$2:$S$644,"44682B1Convencional pré-pagamentoResidencialResidencial baixa renda – faixa 02Não se aplicaNão se aplicaNão se aplica",Mercado_Receita!$L$2:$L$644)</f>
        <v>0</v>
      </c>
      <c r="R27" s="13">
        <f>SUMIF(Mercado_Receita!$S$2:$S$644,"44713B1Convencional pré-pagamentoResidencialResidencial baixa renda – faixa 02Não se aplicaNão se aplicaPonta",Mercado_Receita!$L$2:$L$644)+SUMIF(Mercado_Receita!$S$2:$S$644,"44713B1Convencional pré-pagamentoResidencialResidencial baixa renda – faixa 02Não se aplicaNão se aplicaFora ponta",Mercado_Receita!$L$2:$L$644)+SUMIF(Mercado_Receita!$S$2:$S$644,"44713B1Convencional pré-pagamentoResidencialResidencial baixa renda – faixa 02Não se aplicaNão se aplicaIntermediário",Mercado_Receita!$L$2:$L$644)+SUMIF(Mercado_Receita!$S$2:$S$644,"44713B1Convencional pré-pagamentoResidencialResidencial baixa renda – faixa 02Não se aplicaNão se aplicaNão se aplica",Mercado_Receita!$L$2:$L$644)</f>
        <v>0</v>
      </c>
      <c r="S27" s="13">
        <f>SUMIF(Mercado_Receita!$S$2:$S$644,"44743B1Convencional pré-pagamentoResidencialResidencial baixa renda – faixa 02Não se aplicaNão se aplicaPonta",Mercado_Receita!$L$2:$L$644)+SUMIF(Mercado_Receita!$S$2:$S$644,"44743B1Convencional pré-pagamentoResidencialResidencial baixa renda – faixa 02Não se aplicaNão se aplicaFora ponta",Mercado_Receita!$L$2:$L$644)+SUMIF(Mercado_Receita!$S$2:$S$644,"44743B1Convencional pré-pagamentoResidencialResidencial baixa renda – faixa 02Não se aplicaNão se aplicaIntermediário",Mercado_Receita!$L$2:$L$644)+SUMIF(Mercado_Receita!$S$2:$S$644,"44743B1Convencional pré-pagamentoResidencialResidencial baixa renda – faixa 02Não se aplicaNão se aplicaNão se aplica",Mercado_Receita!$L$2:$L$644)</f>
        <v>0</v>
      </c>
      <c r="T27" s="13">
        <f>SUMIF(Mercado_Receita!$S$2:$S$644,"44774B1Convencional pré-pagamentoResidencialResidencial baixa renda – faixa 02Não se aplicaNão se aplicaPonta",Mercado_Receita!$L$2:$L$644)+SUMIF(Mercado_Receita!$S$2:$S$644,"44774B1Convencional pré-pagamentoResidencialResidencial baixa renda – faixa 02Não se aplicaNão se aplicaFora ponta",Mercado_Receita!$L$2:$L$644)+SUMIF(Mercado_Receita!$S$2:$S$644,"44774B1Convencional pré-pagamentoResidencialResidencial baixa renda – faixa 02Não se aplicaNão se aplicaIntermediário",Mercado_Receita!$L$2:$L$644)+SUMIF(Mercado_Receita!$S$2:$S$644,"44774B1Convencional pré-pagamentoResidencialResidencial baixa renda – faixa 02Não se aplicaNão se aplicaNão se aplica",Mercado_Receita!$L$2:$L$644)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4"/>
      <c r="B28" s="84"/>
      <c r="C28" s="84"/>
      <c r="D28" s="12" t="s">
        <v>31</v>
      </c>
      <c r="E28" s="12" t="s">
        <v>25</v>
      </c>
      <c r="F28" s="12" t="s">
        <v>25</v>
      </c>
      <c r="G28" s="13" t="s">
        <v>87</v>
      </c>
      <c r="H28" s="13" t="s">
        <v>82</v>
      </c>
      <c r="I28" s="13">
        <f>SUMIF(Mercado_Receita!$S$2:$S$644,"44440B1Convencional pré-pagamentoResidencialResidencial baixa renda – faixa 03Não se aplicaNão se aplicaPonta",Mercado_Receita!$L$2:$L$644)+SUMIF(Mercado_Receita!$S$2:$S$644,"44440B1Convencional pré-pagamentoResidencialResidencial baixa renda – faixa 03Não se aplicaNão se aplicaFora ponta",Mercado_Receita!$L$2:$L$644)+SUMIF(Mercado_Receita!$S$2:$S$644,"44440B1Convencional pré-pagamentoResidencialResidencial baixa renda – faixa 03Não se aplicaNão se aplicaIntermediário",Mercado_Receita!$L$2:$L$644)+SUMIF(Mercado_Receita!$S$2:$S$644,"44440B1Convencional pré-pagamentoResidencialResidencial baixa renda – faixa 03Não se aplicaNão se aplicaNão se aplica",Mercado_Receita!$L$2:$L$644)</f>
        <v>0</v>
      </c>
      <c r="J28" s="13">
        <f>SUMIF(Mercado_Receita!$S$2:$S$644,"44470B1Convencional pré-pagamentoResidencialResidencial baixa renda – faixa 03Não se aplicaNão se aplicaPonta",Mercado_Receita!$L$2:$L$644)+SUMIF(Mercado_Receita!$S$2:$S$644,"44470B1Convencional pré-pagamentoResidencialResidencial baixa renda – faixa 03Não se aplicaNão se aplicaFora ponta",Mercado_Receita!$L$2:$L$644)+SUMIF(Mercado_Receita!$S$2:$S$644,"44470B1Convencional pré-pagamentoResidencialResidencial baixa renda – faixa 03Não se aplicaNão se aplicaIntermediário",Mercado_Receita!$L$2:$L$644)+SUMIF(Mercado_Receita!$S$2:$S$644,"44470B1Convencional pré-pagamentoResidencialResidencial baixa renda – faixa 03Não se aplicaNão se aplicaNão se aplica",Mercado_Receita!$L$2:$L$644)</f>
        <v>0</v>
      </c>
      <c r="K28" s="13">
        <f>SUMIF(Mercado_Receita!$S$2:$S$644,"44501B1Convencional pré-pagamentoResidencialResidencial baixa renda – faixa 03Não se aplicaNão se aplicaPonta",Mercado_Receita!$L$2:$L$644)+SUMIF(Mercado_Receita!$S$2:$S$644,"44501B1Convencional pré-pagamentoResidencialResidencial baixa renda – faixa 03Não se aplicaNão se aplicaFora ponta",Mercado_Receita!$L$2:$L$644)+SUMIF(Mercado_Receita!$S$2:$S$644,"44501B1Convencional pré-pagamentoResidencialResidencial baixa renda – faixa 03Não se aplicaNão se aplicaIntermediário",Mercado_Receita!$L$2:$L$644)+SUMIF(Mercado_Receita!$S$2:$S$644,"44501B1Convencional pré-pagamentoResidencialResidencial baixa renda – faixa 03Não se aplicaNão se aplicaNão se aplica",Mercado_Receita!$L$2:$L$644)</f>
        <v>0</v>
      </c>
      <c r="L28" s="13">
        <f>SUMIF(Mercado_Receita!$S$2:$S$644,"44531B1Convencional pré-pagamentoResidencialResidencial baixa renda – faixa 03Não se aplicaNão se aplicaPonta",Mercado_Receita!$L$2:$L$644)+SUMIF(Mercado_Receita!$S$2:$S$644,"44531B1Convencional pré-pagamentoResidencialResidencial baixa renda – faixa 03Não se aplicaNão se aplicaFora ponta",Mercado_Receita!$L$2:$L$644)+SUMIF(Mercado_Receita!$S$2:$S$644,"44531B1Convencional pré-pagamentoResidencialResidencial baixa renda – faixa 03Não se aplicaNão se aplicaIntermediário",Mercado_Receita!$L$2:$L$644)+SUMIF(Mercado_Receita!$S$2:$S$644,"44531B1Convencional pré-pagamentoResidencialResidencial baixa renda – faixa 03Não se aplicaNão se aplicaNão se aplica",Mercado_Receita!$L$2:$L$644)</f>
        <v>0</v>
      </c>
      <c r="M28" s="13">
        <f>SUMIF(Mercado_Receita!$S$2:$S$644,"44562B1Convencional pré-pagamentoResidencialResidencial baixa renda – faixa 03Não se aplicaNão se aplicaPonta",Mercado_Receita!$L$2:$L$644)+SUMIF(Mercado_Receita!$S$2:$S$644,"44562B1Convencional pré-pagamentoResidencialResidencial baixa renda – faixa 03Não se aplicaNão se aplicaFora ponta",Mercado_Receita!$L$2:$L$644)+SUMIF(Mercado_Receita!$S$2:$S$644,"44562B1Convencional pré-pagamentoResidencialResidencial baixa renda – faixa 03Não se aplicaNão se aplicaIntermediário",Mercado_Receita!$L$2:$L$644)+SUMIF(Mercado_Receita!$S$2:$S$644,"44562B1Convencional pré-pagamentoResidencialResidencial baixa renda – faixa 03Não se aplicaNão se aplicaNão se aplica",Mercado_Receita!$L$2:$L$644)</f>
        <v>0</v>
      </c>
      <c r="N28" s="13">
        <f>SUMIF(Mercado_Receita!$S$2:$S$644,"44593B1Convencional pré-pagamentoResidencialResidencial baixa renda – faixa 03Não se aplicaNão se aplicaPonta",Mercado_Receita!$L$2:$L$644)+SUMIF(Mercado_Receita!$S$2:$S$644,"44593B1Convencional pré-pagamentoResidencialResidencial baixa renda – faixa 03Não se aplicaNão se aplicaFora ponta",Mercado_Receita!$L$2:$L$644)+SUMIF(Mercado_Receita!$S$2:$S$644,"44593B1Convencional pré-pagamentoResidencialResidencial baixa renda – faixa 03Não se aplicaNão se aplicaIntermediário",Mercado_Receita!$L$2:$L$644)+SUMIF(Mercado_Receita!$S$2:$S$644,"44593B1Convencional pré-pagamentoResidencialResidencial baixa renda – faixa 03Não se aplicaNão se aplicaNão se aplica",Mercado_Receita!$L$2:$L$644)</f>
        <v>0</v>
      </c>
      <c r="O28" s="13">
        <f>SUMIF(Mercado_Receita!$S$2:$S$644,"44621B1Convencional pré-pagamentoResidencialResidencial baixa renda – faixa 03Não se aplicaNão se aplicaPonta",Mercado_Receita!$L$2:$L$644)+SUMIF(Mercado_Receita!$S$2:$S$644,"44621B1Convencional pré-pagamentoResidencialResidencial baixa renda – faixa 03Não se aplicaNão se aplicaFora ponta",Mercado_Receita!$L$2:$L$644)+SUMIF(Mercado_Receita!$S$2:$S$644,"44621B1Convencional pré-pagamentoResidencialResidencial baixa renda – faixa 03Não se aplicaNão se aplicaIntermediário",Mercado_Receita!$L$2:$L$644)+SUMIF(Mercado_Receita!$S$2:$S$644,"44621B1Convencional pré-pagamentoResidencialResidencial baixa renda – faixa 03Não se aplicaNão se aplicaNão se aplica",Mercado_Receita!$L$2:$L$644)</f>
        <v>0</v>
      </c>
      <c r="P28" s="13">
        <f>SUMIF(Mercado_Receita!$S$2:$S$644,"44652B1Convencional pré-pagamentoResidencialResidencial baixa renda – faixa 03Não se aplicaNão se aplicaPonta",Mercado_Receita!$L$2:$L$644)+SUMIF(Mercado_Receita!$S$2:$S$644,"44652B1Convencional pré-pagamentoResidencialResidencial baixa renda – faixa 03Não se aplicaNão se aplicaFora ponta",Mercado_Receita!$L$2:$L$644)+SUMIF(Mercado_Receita!$S$2:$S$644,"44652B1Convencional pré-pagamentoResidencialResidencial baixa renda – faixa 03Não se aplicaNão se aplicaIntermediário",Mercado_Receita!$L$2:$L$644)+SUMIF(Mercado_Receita!$S$2:$S$644,"44652B1Convencional pré-pagamentoResidencialResidencial baixa renda – faixa 03Não se aplicaNão se aplicaNão se aplica",Mercado_Receita!$L$2:$L$644)</f>
        <v>0</v>
      </c>
      <c r="Q28" s="13">
        <f>SUMIF(Mercado_Receita!$S$2:$S$644,"44682B1Convencional pré-pagamentoResidencialResidencial baixa renda – faixa 03Não se aplicaNão se aplicaPonta",Mercado_Receita!$L$2:$L$644)+SUMIF(Mercado_Receita!$S$2:$S$644,"44682B1Convencional pré-pagamentoResidencialResidencial baixa renda – faixa 03Não se aplicaNão se aplicaFora ponta",Mercado_Receita!$L$2:$L$644)+SUMIF(Mercado_Receita!$S$2:$S$644,"44682B1Convencional pré-pagamentoResidencialResidencial baixa renda – faixa 03Não se aplicaNão se aplicaIntermediário",Mercado_Receita!$L$2:$L$644)+SUMIF(Mercado_Receita!$S$2:$S$644,"44682B1Convencional pré-pagamentoResidencialResidencial baixa renda – faixa 03Não se aplicaNão se aplicaNão se aplica",Mercado_Receita!$L$2:$L$644)</f>
        <v>0</v>
      </c>
      <c r="R28" s="13">
        <f>SUMIF(Mercado_Receita!$S$2:$S$644,"44713B1Convencional pré-pagamentoResidencialResidencial baixa renda – faixa 03Não se aplicaNão se aplicaPonta",Mercado_Receita!$L$2:$L$644)+SUMIF(Mercado_Receita!$S$2:$S$644,"44713B1Convencional pré-pagamentoResidencialResidencial baixa renda – faixa 03Não se aplicaNão se aplicaFora ponta",Mercado_Receita!$L$2:$L$644)+SUMIF(Mercado_Receita!$S$2:$S$644,"44713B1Convencional pré-pagamentoResidencialResidencial baixa renda – faixa 03Não se aplicaNão se aplicaIntermediário",Mercado_Receita!$L$2:$L$644)+SUMIF(Mercado_Receita!$S$2:$S$644,"44713B1Convencional pré-pagamentoResidencialResidencial baixa renda – faixa 03Não se aplicaNão se aplicaNão se aplica",Mercado_Receita!$L$2:$L$644)</f>
        <v>0</v>
      </c>
      <c r="S28" s="13">
        <f>SUMIF(Mercado_Receita!$S$2:$S$644,"44743B1Convencional pré-pagamentoResidencialResidencial baixa renda – faixa 03Não se aplicaNão se aplicaPonta",Mercado_Receita!$L$2:$L$644)+SUMIF(Mercado_Receita!$S$2:$S$644,"44743B1Convencional pré-pagamentoResidencialResidencial baixa renda – faixa 03Não se aplicaNão se aplicaFora ponta",Mercado_Receita!$L$2:$L$644)+SUMIF(Mercado_Receita!$S$2:$S$644,"44743B1Convencional pré-pagamentoResidencialResidencial baixa renda – faixa 03Não se aplicaNão se aplicaIntermediário",Mercado_Receita!$L$2:$L$644)+SUMIF(Mercado_Receita!$S$2:$S$644,"44743B1Convencional pré-pagamentoResidencialResidencial baixa renda – faixa 03Não se aplicaNão se aplicaNão se aplica",Mercado_Receita!$L$2:$L$644)</f>
        <v>0</v>
      </c>
      <c r="T28" s="13">
        <f>SUMIF(Mercado_Receita!$S$2:$S$644,"44774B1Convencional pré-pagamentoResidencialResidencial baixa renda – faixa 03Não se aplicaNão se aplicaPonta",Mercado_Receita!$L$2:$L$644)+SUMIF(Mercado_Receita!$S$2:$S$644,"44774B1Convencional pré-pagamentoResidencialResidencial baixa renda – faixa 03Não se aplicaNão se aplicaFora ponta",Mercado_Receita!$L$2:$L$644)+SUMIF(Mercado_Receita!$S$2:$S$644,"44774B1Convencional pré-pagamentoResidencialResidencial baixa renda – faixa 03Não se aplicaNão se aplicaIntermediário",Mercado_Receita!$L$2:$L$644)+SUMIF(Mercado_Receita!$S$2:$S$644,"44774B1Convencional pré-pagamentoResidencialResidencial baixa renda – faixa 03Não se aplicaNão se aplicaNão se aplica",Mercado_Receita!$L$2:$L$644)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4"/>
      <c r="B29" s="84"/>
      <c r="C29" s="84"/>
      <c r="D29" s="12" t="s">
        <v>32</v>
      </c>
      <c r="E29" s="12" t="s">
        <v>25</v>
      </c>
      <c r="F29" s="12" t="s">
        <v>25</v>
      </c>
      <c r="G29" s="13" t="s">
        <v>87</v>
      </c>
      <c r="H29" s="13" t="s">
        <v>82</v>
      </c>
      <c r="I29" s="13">
        <f>SUMIF(Mercado_Receita!$S$2:$S$644,"44440B1Convencional pré-pagamentoResidencialResidencial baixa renda – faixa 04Não se aplicaNão se aplicaPonta",Mercado_Receita!$L$2:$L$644)+SUMIF(Mercado_Receita!$S$2:$S$644,"44440B1Convencional pré-pagamentoResidencialResidencial baixa renda – faixa 04Não se aplicaNão se aplicaFora ponta",Mercado_Receita!$L$2:$L$644)+SUMIF(Mercado_Receita!$S$2:$S$644,"44440B1Convencional pré-pagamentoResidencialResidencial baixa renda – faixa 04Não se aplicaNão se aplicaIntermediário",Mercado_Receita!$L$2:$L$644)+SUMIF(Mercado_Receita!$S$2:$S$644,"44440B1Convencional pré-pagamentoResidencialResidencial baixa renda – faixa 04Não se aplicaNão se aplicaNão se aplica",Mercado_Receita!$L$2:$L$644)</f>
        <v>0</v>
      </c>
      <c r="J29" s="13">
        <f>SUMIF(Mercado_Receita!$S$2:$S$644,"44470B1Convencional pré-pagamentoResidencialResidencial baixa renda – faixa 04Não se aplicaNão se aplicaPonta",Mercado_Receita!$L$2:$L$644)+SUMIF(Mercado_Receita!$S$2:$S$644,"44470B1Convencional pré-pagamentoResidencialResidencial baixa renda – faixa 04Não se aplicaNão se aplicaFora ponta",Mercado_Receita!$L$2:$L$644)+SUMIF(Mercado_Receita!$S$2:$S$644,"44470B1Convencional pré-pagamentoResidencialResidencial baixa renda – faixa 04Não se aplicaNão se aplicaIntermediário",Mercado_Receita!$L$2:$L$644)+SUMIF(Mercado_Receita!$S$2:$S$644,"44470B1Convencional pré-pagamentoResidencialResidencial baixa renda – faixa 04Não se aplicaNão se aplicaNão se aplica",Mercado_Receita!$L$2:$L$644)</f>
        <v>0</v>
      </c>
      <c r="K29" s="13">
        <f>SUMIF(Mercado_Receita!$S$2:$S$644,"44501B1Convencional pré-pagamentoResidencialResidencial baixa renda – faixa 04Não se aplicaNão se aplicaPonta",Mercado_Receita!$L$2:$L$644)+SUMIF(Mercado_Receita!$S$2:$S$644,"44501B1Convencional pré-pagamentoResidencialResidencial baixa renda – faixa 04Não se aplicaNão se aplicaFora ponta",Mercado_Receita!$L$2:$L$644)+SUMIF(Mercado_Receita!$S$2:$S$644,"44501B1Convencional pré-pagamentoResidencialResidencial baixa renda – faixa 04Não se aplicaNão se aplicaIntermediário",Mercado_Receita!$L$2:$L$644)+SUMIF(Mercado_Receita!$S$2:$S$644,"44501B1Convencional pré-pagamentoResidencialResidencial baixa renda – faixa 04Não se aplicaNão se aplicaNão se aplica",Mercado_Receita!$L$2:$L$644)</f>
        <v>0</v>
      </c>
      <c r="L29" s="13">
        <f>SUMIF(Mercado_Receita!$S$2:$S$644,"44531B1Convencional pré-pagamentoResidencialResidencial baixa renda – faixa 04Não se aplicaNão se aplicaPonta",Mercado_Receita!$L$2:$L$644)+SUMIF(Mercado_Receita!$S$2:$S$644,"44531B1Convencional pré-pagamentoResidencialResidencial baixa renda – faixa 04Não se aplicaNão se aplicaFora ponta",Mercado_Receita!$L$2:$L$644)+SUMIF(Mercado_Receita!$S$2:$S$644,"44531B1Convencional pré-pagamentoResidencialResidencial baixa renda – faixa 04Não se aplicaNão se aplicaIntermediário",Mercado_Receita!$L$2:$L$644)+SUMIF(Mercado_Receita!$S$2:$S$644,"44531B1Convencional pré-pagamentoResidencialResidencial baixa renda – faixa 04Não se aplicaNão se aplicaNão se aplica",Mercado_Receita!$L$2:$L$644)</f>
        <v>0</v>
      </c>
      <c r="M29" s="13">
        <f>SUMIF(Mercado_Receita!$S$2:$S$644,"44562B1Convencional pré-pagamentoResidencialResidencial baixa renda – faixa 04Não se aplicaNão se aplicaPonta",Mercado_Receita!$L$2:$L$644)+SUMIF(Mercado_Receita!$S$2:$S$644,"44562B1Convencional pré-pagamentoResidencialResidencial baixa renda – faixa 04Não se aplicaNão se aplicaFora ponta",Mercado_Receita!$L$2:$L$644)+SUMIF(Mercado_Receita!$S$2:$S$644,"44562B1Convencional pré-pagamentoResidencialResidencial baixa renda – faixa 04Não se aplicaNão se aplicaIntermediário",Mercado_Receita!$L$2:$L$644)+SUMIF(Mercado_Receita!$S$2:$S$644,"44562B1Convencional pré-pagamentoResidencialResidencial baixa renda – faixa 04Não se aplicaNão se aplicaNão se aplica",Mercado_Receita!$L$2:$L$644)</f>
        <v>0</v>
      </c>
      <c r="N29" s="13">
        <f>SUMIF(Mercado_Receita!$S$2:$S$644,"44593B1Convencional pré-pagamentoResidencialResidencial baixa renda – faixa 04Não se aplicaNão se aplicaPonta",Mercado_Receita!$L$2:$L$644)+SUMIF(Mercado_Receita!$S$2:$S$644,"44593B1Convencional pré-pagamentoResidencialResidencial baixa renda – faixa 04Não se aplicaNão se aplicaFora ponta",Mercado_Receita!$L$2:$L$644)+SUMIF(Mercado_Receita!$S$2:$S$644,"44593B1Convencional pré-pagamentoResidencialResidencial baixa renda – faixa 04Não se aplicaNão se aplicaIntermediário",Mercado_Receita!$L$2:$L$644)+SUMIF(Mercado_Receita!$S$2:$S$644,"44593B1Convencional pré-pagamentoResidencialResidencial baixa renda – faixa 04Não se aplicaNão se aplicaNão se aplica",Mercado_Receita!$L$2:$L$644)</f>
        <v>0</v>
      </c>
      <c r="O29" s="13">
        <f>SUMIF(Mercado_Receita!$S$2:$S$644,"44621B1Convencional pré-pagamentoResidencialResidencial baixa renda – faixa 04Não se aplicaNão se aplicaPonta",Mercado_Receita!$L$2:$L$644)+SUMIF(Mercado_Receita!$S$2:$S$644,"44621B1Convencional pré-pagamentoResidencialResidencial baixa renda – faixa 04Não se aplicaNão se aplicaFora ponta",Mercado_Receita!$L$2:$L$644)+SUMIF(Mercado_Receita!$S$2:$S$644,"44621B1Convencional pré-pagamentoResidencialResidencial baixa renda – faixa 04Não se aplicaNão se aplicaIntermediário",Mercado_Receita!$L$2:$L$644)+SUMIF(Mercado_Receita!$S$2:$S$644,"44621B1Convencional pré-pagamentoResidencialResidencial baixa renda – faixa 04Não se aplicaNão se aplicaNão se aplica",Mercado_Receita!$L$2:$L$644)</f>
        <v>0</v>
      </c>
      <c r="P29" s="13">
        <f>SUMIF(Mercado_Receita!$S$2:$S$644,"44652B1Convencional pré-pagamentoResidencialResidencial baixa renda – faixa 04Não se aplicaNão se aplicaPonta",Mercado_Receita!$L$2:$L$644)+SUMIF(Mercado_Receita!$S$2:$S$644,"44652B1Convencional pré-pagamentoResidencialResidencial baixa renda – faixa 04Não se aplicaNão se aplicaFora ponta",Mercado_Receita!$L$2:$L$644)+SUMIF(Mercado_Receita!$S$2:$S$644,"44652B1Convencional pré-pagamentoResidencialResidencial baixa renda – faixa 04Não se aplicaNão se aplicaIntermediário",Mercado_Receita!$L$2:$L$644)+SUMIF(Mercado_Receita!$S$2:$S$644,"44652B1Convencional pré-pagamentoResidencialResidencial baixa renda – faixa 04Não se aplicaNão se aplicaNão se aplica",Mercado_Receita!$L$2:$L$644)</f>
        <v>0</v>
      </c>
      <c r="Q29" s="13">
        <f>SUMIF(Mercado_Receita!$S$2:$S$644,"44682B1Convencional pré-pagamentoResidencialResidencial baixa renda – faixa 04Não se aplicaNão se aplicaPonta",Mercado_Receita!$L$2:$L$644)+SUMIF(Mercado_Receita!$S$2:$S$644,"44682B1Convencional pré-pagamentoResidencialResidencial baixa renda – faixa 04Não se aplicaNão se aplicaFora ponta",Mercado_Receita!$L$2:$L$644)+SUMIF(Mercado_Receita!$S$2:$S$644,"44682B1Convencional pré-pagamentoResidencialResidencial baixa renda – faixa 04Não se aplicaNão se aplicaIntermediário",Mercado_Receita!$L$2:$L$644)+SUMIF(Mercado_Receita!$S$2:$S$644,"44682B1Convencional pré-pagamentoResidencialResidencial baixa renda – faixa 04Não se aplicaNão se aplicaNão se aplica",Mercado_Receita!$L$2:$L$644)</f>
        <v>0</v>
      </c>
      <c r="R29" s="13">
        <f>SUMIF(Mercado_Receita!$S$2:$S$644,"44713B1Convencional pré-pagamentoResidencialResidencial baixa renda – faixa 04Não se aplicaNão se aplicaPonta",Mercado_Receita!$L$2:$L$644)+SUMIF(Mercado_Receita!$S$2:$S$644,"44713B1Convencional pré-pagamentoResidencialResidencial baixa renda – faixa 04Não se aplicaNão se aplicaFora ponta",Mercado_Receita!$L$2:$L$644)+SUMIF(Mercado_Receita!$S$2:$S$644,"44713B1Convencional pré-pagamentoResidencialResidencial baixa renda – faixa 04Não se aplicaNão se aplicaIntermediário",Mercado_Receita!$L$2:$L$644)+SUMIF(Mercado_Receita!$S$2:$S$644,"44713B1Convencional pré-pagamentoResidencialResidencial baixa renda – faixa 04Não se aplicaNão se aplicaNão se aplica",Mercado_Receita!$L$2:$L$644)</f>
        <v>0</v>
      </c>
      <c r="S29" s="13">
        <f>SUMIF(Mercado_Receita!$S$2:$S$644,"44743B1Convencional pré-pagamentoResidencialResidencial baixa renda – faixa 04Não se aplicaNão se aplicaPonta",Mercado_Receita!$L$2:$L$644)+SUMIF(Mercado_Receita!$S$2:$S$644,"44743B1Convencional pré-pagamentoResidencialResidencial baixa renda – faixa 04Não se aplicaNão se aplicaFora ponta",Mercado_Receita!$L$2:$L$644)+SUMIF(Mercado_Receita!$S$2:$S$644,"44743B1Convencional pré-pagamentoResidencialResidencial baixa renda – faixa 04Não se aplicaNão se aplicaIntermediário",Mercado_Receita!$L$2:$L$644)+SUMIF(Mercado_Receita!$S$2:$S$644,"44743B1Convencional pré-pagamentoResidencialResidencial baixa renda – faixa 04Não se aplicaNão se aplicaNão se aplica",Mercado_Receita!$L$2:$L$644)</f>
        <v>0</v>
      </c>
      <c r="T29" s="13">
        <f>SUMIF(Mercado_Receita!$S$2:$S$644,"44774B1Convencional pré-pagamentoResidencialResidencial baixa renda – faixa 04Não se aplicaNão se aplicaPonta",Mercado_Receita!$L$2:$L$644)+SUMIF(Mercado_Receita!$S$2:$S$644,"44774B1Convencional pré-pagamentoResidencialResidencial baixa renda – faixa 04Não se aplicaNão se aplicaFora ponta",Mercado_Receita!$L$2:$L$644)+SUMIF(Mercado_Receita!$S$2:$S$644,"44774B1Convencional pré-pagamentoResidencialResidencial baixa renda – faixa 04Não se aplicaNão se aplicaIntermediário",Mercado_Receita!$L$2:$L$644)+SUMIF(Mercado_Receita!$S$2:$S$644,"44774B1Convencional pré-pagamentoResidencialResidencial baixa renda – faixa 04Não se aplicaNão se aplicaNão se aplica",Mercado_Receita!$L$2:$L$644)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3" t="s">
        <v>40</v>
      </c>
      <c r="B30" s="83" t="s">
        <v>97</v>
      </c>
      <c r="C30" s="83" t="s">
        <v>41</v>
      </c>
      <c r="D30" s="83" t="s">
        <v>25</v>
      </c>
      <c r="E30" s="83" t="s">
        <v>25</v>
      </c>
      <c r="F30" s="83" t="s">
        <v>25</v>
      </c>
      <c r="G30" s="13" t="s">
        <v>83</v>
      </c>
      <c r="H30" s="13" t="s">
        <v>82</v>
      </c>
      <c r="I30" s="13">
        <f>SUMIF(Mercado_Receita!$S$2:$S$644,"44440B2BrancaRuralNão se aplicaNão se aplicaNão se aplicaPonta",Mercado_Receita!$L$2:$L$644)</f>
        <v>0</v>
      </c>
      <c r="J30" s="13">
        <f>SUMIF(Mercado_Receita!$S$2:$S$644,"44470B2BrancaRuralNão se aplicaNão se aplicaNão se aplicaPonta",Mercado_Receita!$L$2:$L$644)</f>
        <v>0</v>
      </c>
      <c r="K30" s="13">
        <f>SUMIF(Mercado_Receita!$S$2:$S$644,"44501B2BrancaRuralNão se aplicaNão se aplicaNão se aplicaPonta",Mercado_Receita!$L$2:$L$644)</f>
        <v>0</v>
      </c>
      <c r="L30" s="13">
        <f>SUMIF(Mercado_Receita!$S$2:$S$644,"44531B2BrancaRuralNão se aplicaNão se aplicaNão se aplicaPonta",Mercado_Receita!$L$2:$L$644)</f>
        <v>0</v>
      </c>
      <c r="M30" s="13">
        <f>SUMIF(Mercado_Receita!$S$2:$S$644,"44562B2BrancaRuralNão se aplicaNão se aplicaNão se aplicaPonta",Mercado_Receita!$L$2:$L$644)</f>
        <v>0</v>
      </c>
      <c r="N30" s="13">
        <f>SUMIF(Mercado_Receita!$S$2:$S$644,"44593B2BrancaRuralNão se aplicaNão se aplicaNão se aplicaPonta",Mercado_Receita!$L$2:$L$644)</f>
        <v>0</v>
      </c>
      <c r="O30" s="13">
        <f>SUMIF(Mercado_Receita!$S$2:$S$644,"44621B2BrancaRuralNão se aplicaNão se aplicaNão se aplicaPonta",Mercado_Receita!$L$2:$L$644)</f>
        <v>0</v>
      </c>
      <c r="P30" s="13">
        <f>SUMIF(Mercado_Receita!$S$2:$S$644,"44652B2BrancaRuralNão se aplicaNão se aplicaNão se aplicaPonta",Mercado_Receita!$L$2:$L$644)</f>
        <v>0</v>
      </c>
      <c r="Q30" s="13">
        <f>SUMIF(Mercado_Receita!$S$2:$S$644,"44682B2BrancaRuralNão se aplicaNão se aplicaNão se aplicaPonta",Mercado_Receita!$L$2:$L$644)</f>
        <v>0</v>
      </c>
      <c r="R30" s="13">
        <f>SUMIF(Mercado_Receita!$S$2:$S$644,"44713B2BrancaRuralNão se aplicaNão se aplicaNão se aplicaPonta",Mercado_Receita!$L$2:$L$644)</f>
        <v>0</v>
      </c>
      <c r="S30" s="13">
        <f>SUMIF(Mercado_Receita!$S$2:$S$644,"44743B2BrancaRuralNão se aplicaNão se aplicaNão se aplicaPonta",Mercado_Receita!$L$2:$L$644)</f>
        <v>0</v>
      </c>
      <c r="T30" s="13">
        <f>SUMIF(Mercado_Receita!$S$2:$S$644,"44774B2BrancaRuralNão se aplicaNão se aplicaNão se aplicaPonta",Mercado_Receita!$L$2:$L$644)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4"/>
      <c r="B31" s="84"/>
      <c r="C31" s="84"/>
      <c r="D31" s="84"/>
      <c r="E31" s="84"/>
      <c r="F31" s="84"/>
      <c r="G31" s="13" t="s">
        <v>95</v>
      </c>
      <c r="H31" s="13" t="s">
        <v>82</v>
      </c>
      <c r="I31" s="13">
        <f>SUMIF(Mercado_Receita!$S$2:$S$644,"44440B2BrancaRuralNão se aplicaNão se aplicaNão se aplicaIntermediário",Mercado_Receita!$L$2:$L$644)</f>
        <v>0</v>
      </c>
      <c r="J31" s="13">
        <f>SUMIF(Mercado_Receita!$S$2:$S$644,"44470B2BrancaRuralNão se aplicaNão se aplicaNão se aplicaIntermediário",Mercado_Receita!$L$2:$L$644)</f>
        <v>0</v>
      </c>
      <c r="K31" s="13">
        <f>SUMIF(Mercado_Receita!$S$2:$S$644,"44501B2BrancaRuralNão se aplicaNão se aplicaNão se aplicaIntermediário",Mercado_Receita!$L$2:$L$644)</f>
        <v>0</v>
      </c>
      <c r="L31" s="13">
        <f>SUMIF(Mercado_Receita!$S$2:$S$644,"44531B2BrancaRuralNão se aplicaNão se aplicaNão se aplicaIntermediário",Mercado_Receita!$L$2:$L$644)</f>
        <v>0</v>
      </c>
      <c r="M31" s="13">
        <f>SUMIF(Mercado_Receita!$S$2:$S$644,"44562B2BrancaRuralNão se aplicaNão se aplicaNão se aplicaIntermediário",Mercado_Receita!$L$2:$L$644)</f>
        <v>0</v>
      </c>
      <c r="N31" s="13">
        <f>SUMIF(Mercado_Receita!$S$2:$S$644,"44593B2BrancaRuralNão se aplicaNão se aplicaNão se aplicaIntermediário",Mercado_Receita!$L$2:$L$644)</f>
        <v>0</v>
      </c>
      <c r="O31" s="13">
        <f>SUMIF(Mercado_Receita!$S$2:$S$644,"44621B2BrancaRuralNão se aplicaNão se aplicaNão se aplicaIntermediário",Mercado_Receita!$L$2:$L$644)</f>
        <v>0</v>
      </c>
      <c r="P31" s="13">
        <f>SUMIF(Mercado_Receita!$S$2:$S$644,"44652B2BrancaRuralNão se aplicaNão se aplicaNão se aplicaIntermediário",Mercado_Receita!$L$2:$L$644)</f>
        <v>0</v>
      </c>
      <c r="Q31" s="13">
        <f>SUMIF(Mercado_Receita!$S$2:$S$644,"44682B2BrancaRuralNão se aplicaNão se aplicaNão se aplicaIntermediário",Mercado_Receita!$L$2:$L$644)</f>
        <v>0</v>
      </c>
      <c r="R31" s="13">
        <f>SUMIF(Mercado_Receita!$S$2:$S$644,"44713B2BrancaRuralNão se aplicaNão se aplicaNão se aplicaIntermediário",Mercado_Receita!$L$2:$L$644)</f>
        <v>0</v>
      </c>
      <c r="S31" s="13">
        <f>SUMIF(Mercado_Receita!$S$2:$S$644,"44743B2BrancaRuralNão se aplicaNão se aplicaNão se aplicaIntermediário",Mercado_Receita!$L$2:$L$644)</f>
        <v>0</v>
      </c>
      <c r="T31" s="13">
        <f>SUMIF(Mercado_Receita!$S$2:$S$644,"44774B2BrancaRuralNão se aplicaNão se aplicaNão se aplicaIntermediário",Mercado_Receita!$L$2:$L$644)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4"/>
      <c r="B32" s="84"/>
      <c r="C32" s="84"/>
      <c r="D32" s="84"/>
      <c r="E32" s="84"/>
      <c r="F32" s="84"/>
      <c r="G32" s="13" t="s">
        <v>84</v>
      </c>
      <c r="H32" s="13" t="s">
        <v>82</v>
      </c>
      <c r="I32" s="13">
        <f>SUMIF(Mercado_Receita!$S$2:$S$644,"44440B2BrancaRuralNão se aplicaNão se aplicaNão se aplicaFora ponta",Mercado_Receita!$L$2:$L$644)</f>
        <v>0</v>
      </c>
      <c r="J32" s="13">
        <f>SUMIF(Mercado_Receita!$S$2:$S$644,"44470B2BrancaRuralNão se aplicaNão se aplicaNão se aplicaFora ponta",Mercado_Receita!$L$2:$L$644)</f>
        <v>0</v>
      </c>
      <c r="K32" s="13">
        <f>SUMIF(Mercado_Receita!$S$2:$S$644,"44501B2BrancaRuralNão se aplicaNão se aplicaNão se aplicaFora ponta",Mercado_Receita!$L$2:$L$644)</f>
        <v>0</v>
      </c>
      <c r="L32" s="13">
        <f>SUMIF(Mercado_Receita!$S$2:$S$644,"44531B2BrancaRuralNão se aplicaNão se aplicaNão se aplicaFora ponta",Mercado_Receita!$L$2:$L$644)</f>
        <v>0</v>
      </c>
      <c r="M32" s="13">
        <f>SUMIF(Mercado_Receita!$S$2:$S$644,"44562B2BrancaRuralNão se aplicaNão se aplicaNão se aplicaFora ponta",Mercado_Receita!$L$2:$L$644)</f>
        <v>0</v>
      </c>
      <c r="N32" s="13">
        <f>SUMIF(Mercado_Receita!$S$2:$S$644,"44593B2BrancaRuralNão se aplicaNão se aplicaNão se aplicaFora ponta",Mercado_Receita!$L$2:$L$644)</f>
        <v>0</v>
      </c>
      <c r="O32" s="13">
        <f>SUMIF(Mercado_Receita!$S$2:$S$644,"44621B2BrancaRuralNão se aplicaNão se aplicaNão se aplicaFora ponta",Mercado_Receita!$L$2:$L$644)</f>
        <v>0</v>
      </c>
      <c r="P32" s="13">
        <f>SUMIF(Mercado_Receita!$S$2:$S$644,"44652B2BrancaRuralNão se aplicaNão se aplicaNão se aplicaFora ponta",Mercado_Receita!$L$2:$L$644)</f>
        <v>0</v>
      </c>
      <c r="Q32" s="13">
        <f>SUMIF(Mercado_Receita!$S$2:$S$644,"44682B2BrancaRuralNão se aplicaNão se aplicaNão se aplicaFora ponta",Mercado_Receita!$L$2:$L$644)</f>
        <v>0</v>
      </c>
      <c r="R32" s="13">
        <f>SUMIF(Mercado_Receita!$S$2:$S$644,"44713B2BrancaRuralNão se aplicaNão se aplicaNão se aplicaFora ponta",Mercado_Receita!$L$2:$L$644)</f>
        <v>0</v>
      </c>
      <c r="S32" s="13">
        <f>SUMIF(Mercado_Receita!$S$2:$S$644,"44743B2BrancaRuralNão se aplicaNão se aplicaNão se aplicaFora ponta",Mercado_Receita!$L$2:$L$644)</f>
        <v>0</v>
      </c>
      <c r="T32" s="13">
        <f>SUMIF(Mercado_Receita!$S$2:$S$644,"44774B2BrancaRuralNão se aplicaNão se aplicaNão se aplicaFora ponta",Mercado_Receita!$L$2:$L$644)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4"/>
      <c r="B33" s="12" t="s">
        <v>23</v>
      </c>
      <c r="C33" s="12" t="s">
        <v>41</v>
      </c>
      <c r="D33" s="12" t="s">
        <v>25</v>
      </c>
      <c r="E33" s="12" t="s">
        <v>25</v>
      </c>
      <c r="F33" s="12" t="s">
        <v>25</v>
      </c>
      <c r="G33" s="13" t="s">
        <v>87</v>
      </c>
      <c r="H33" s="13" t="s">
        <v>82</v>
      </c>
      <c r="I33" s="13">
        <f>SUMIF(Mercado_Receita!$S$2:$S$644,"44440B2ConvencionalRuralNão se aplicaNão se aplicaNão se aplicaPonta",Mercado_Receita!$L$2:$L$644)+SUMIF(Mercado_Receita!$S$2:$S$644,"44440B2ConvencionalRuralNão se aplicaNão se aplicaNão se aplicaFora ponta",Mercado_Receita!$L$2:$L$644)+SUMIF(Mercado_Receita!$S$2:$S$644,"44440B2ConvencionalRuralNão se aplicaNão se aplicaNão se aplicaIntermediário",Mercado_Receita!$L$2:$L$644)+SUMIF(Mercado_Receita!$S$2:$S$644,"44440B2ConvencionalRuralNão se aplicaNão se aplicaNão se aplicaNão se aplica",Mercado_Receita!$L$2:$L$644)</f>
        <v>2281.8879999999999</v>
      </c>
      <c r="J33" s="13">
        <f>SUMIF(Mercado_Receita!$S$2:$S$644,"44470B2ConvencionalRuralNão se aplicaNão se aplicaNão se aplicaPonta",Mercado_Receita!$L$2:$L$644)+SUMIF(Mercado_Receita!$S$2:$S$644,"44470B2ConvencionalRuralNão se aplicaNão se aplicaNão se aplicaFora ponta",Mercado_Receita!$L$2:$L$644)+SUMIF(Mercado_Receita!$S$2:$S$644,"44470B2ConvencionalRuralNão se aplicaNão se aplicaNão se aplicaIntermediário",Mercado_Receita!$L$2:$L$644)+SUMIF(Mercado_Receita!$S$2:$S$644,"44470B2ConvencionalRuralNão se aplicaNão se aplicaNão se aplicaNão se aplica",Mercado_Receita!$L$2:$L$644)</f>
        <v>2635.22</v>
      </c>
      <c r="K33" s="13">
        <f>SUMIF(Mercado_Receita!$S$2:$S$644,"44501B2ConvencionalRuralNão se aplicaNão se aplicaNão se aplicaPonta",Mercado_Receita!$L$2:$L$644)+SUMIF(Mercado_Receita!$S$2:$S$644,"44501B2ConvencionalRuralNão se aplicaNão se aplicaNão se aplicaFora ponta",Mercado_Receita!$L$2:$L$644)+SUMIF(Mercado_Receita!$S$2:$S$644,"44501B2ConvencionalRuralNão se aplicaNão se aplicaNão se aplicaIntermediário",Mercado_Receita!$L$2:$L$644)+SUMIF(Mercado_Receita!$S$2:$S$644,"44501B2ConvencionalRuralNão se aplicaNão se aplicaNão se aplicaNão se aplica",Mercado_Receita!$L$2:$L$644)</f>
        <v>2583.3159999999998</v>
      </c>
      <c r="L33" s="13">
        <f>SUMIF(Mercado_Receita!$S$2:$S$644,"44531B2ConvencionalRuralNão se aplicaNão se aplicaNão se aplicaPonta",Mercado_Receita!$L$2:$L$644)+SUMIF(Mercado_Receita!$S$2:$S$644,"44531B2ConvencionalRuralNão se aplicaNão se aplicaNão se aplicaFora ponta",Mercado_Receita!$L$2:$L$644)+SUMIF(Mercado_Receita!$S$2:$S$644,"44531B2ConvencionalRuralNão se aplicaNão se aplicaNão se aplicaIntermediário",Mercado_Receita!$L$2:$L$644)+SUMIF(Mercado_Receita!$S$2:$S$644,"44531B2ConvencionalRuralNão se aplicaNão se aplicaNão se aplicaNão se aplica",Mercado_Receita!$L$2:$L$644)</f>
        <v>2423.3759999999997</v>
      </c>
      <c r="M33" s="13">
        <f>SUMIF(Mercado_Receita!$S$2:$S$644,"44562B2ConvencionalRuralNão se aplicaNão se aplicaNão se aplicaPonta",Mercado_Receita!$L$2:$L$644)+SUMIF(Mercado_Receita!$S$2:$S$644,"44562B2ConvencionalRuralNão se aplicaNão se aplicaNão se aplicaFora ponta",Mercado_Receita!$L$2:$L$644)+SUMIF(Mercado_Receita!$S$2:$S$644,"44562B2ConvencionalRuralNão se aplicaNão se aplicaNão se aplicaIntermediário",Mercado_Receita!$L$2:$L$644)+SUMIF(Mercado_Receita!$S$2:$S$644,"44562B2ConvencionalRuralNão se aplicaNão se aplicaNão se aplicaNão se aplica",Mercado_Receita!$L$2:$L$644)</f>
        <v>2529.4270000000001</v>
      </c>
      <c r="N33" s="13">
        <f>SUMIF(Mercado_Receita!$S$2:$S$644,"44593B2ConvencionalRuralNão se aplicaNão se aplicaNão se aplicaPonta",Mercado_Receita!$L$2:$L$644)+SUMIF(Mercado_Receita!$S$2:$S$644,"44593B2ConvencionalRuralNão se aplicaNão se aplicaNão se aplicaFora ponta",Mercado_Receita!$L$2:$L$644)+SUMIF(Mercado_Receita!$S$2:$S$644,"44593B2ConvencionalRuralNão se aplicaNão se aplicaNão se aplicaIntermediário",Mercado_Receita!$L$2:$L$644)+SUMIF(Mercado_Receita!$S$2:$S$644,"44593B2ConvencionalRuralNão se aplicaNão se aplicaNão se aplicaNão se aplica",Mercado_Receita!$L$2:$L$644)</f>
        <v>2609.1110000000003</v>
      </c>
      <c r="O33" s="13">
        <f>SUMIF(Mercado_Receita!$S$2:$S$644,"44621B2ConvencionalRuralNão se aplicaNão se aplicaNão se aplicaPonta",Mercado_Receita!$L$2:$L$644)+SUMIF(Mercado_Receita!$S$2:$S$644,"44621B2ConvencionalRuralNão se aplicaNão se aplicaNão se aplicaFora ponta",Mercado_Receita!$L$2:$L$644)+SUMIF(Mercado_Receita!$S$2:$S$644,"44621B2ConvencionalRuralNão se aplicaNão se aplicaNão se aplicaIntermediário",Mercado_Receita!$L$2:$L$644)+SUMIF(Mercado_Receita!$S$2:$S$644,"44621B2ConvencionalRuralNão se aplicaNão se aplicaNão se aplicaNão se aplica",Mercado_Receita!$L$2:$L$644)</f>
        <v>2466.1839999999997</v>
      </c>
      <c r="P33" s="13">
        <f>SUMIF(Mercado_Receita!$S$2:$S$644,"44652B2ConvencionalRuralNão se aplicaNão se aplicaNão se aplicaPonta",Mercado_Receita!$L$2:$L$644)+SUMIF(Mercado_Receita!$S$2:$S$644,"44652B2ConvencionalRuralNão se aplicaNão se aplicaNão se aplicaFora ponta",Mercado_Receita!$L$2:$L$644)+SUMIF(Mercado_Receita!$S$2:$S$644,"44652B2ConvencionalRuralNão se aplicaNão se aplicaNão se aplicaIntermediário",Mercado_Receita!$L$2:$L$644)+SUMIF(Mercado_Receita!$S$2:$S$644,"44652B2ConvencionalRuralNão se aplicaNão se aplicaNão se aplicaNão se aplica",Mercado_Receita!$L$2:$L$644)</f>
        <v>2258.7400000000002</v>
      </c>
      <c r="Q33" s="13">
        <f>SUMIF(Mercado_Receita!$S$2:$S$644,"44682B2ConvencionalRuralNão se aplicaNão se aplicaNão se aplicaPonta",Mercado_Receita!$L$2:$L$644)+SUMIF(Mercado_Receita!$S$2:$S$644,"44682B2ConvencionalRuralNão se aplicaNão se aplicaNão se aplicaFora ponta",Mercado_Receita!$L$2:$L$644)+SUMIF(Mercado_Receita!$S$2:$S$644,"44682B2ConvencionalRuralNão se aplicaNão se aplicaNão se aplicaIntermediário",Mercado_Receita!$L$2:$L$644)+SUMIF(Mercado_Receita!$S$2:$S$644,"44682B2ConvencionalRuralNão se aplicaNão se aplicaNão se aplicaNão se aplica",Mercado_Receita!$L$2:$L$644)</f>
        <v>2192.1000000000004</v>
      </c>
      <c r="R33" s="13">
        <f>SUMIF(Mercado_Receita!$S$2:$S$644,"44713B2ConvencionalRuralNão se aplicaNão se aplicaNão se aplicaPonta",Mercado_Receita!$L$2:$L$644)+SUMIF(Mercado_Receita!$S$2:$S$644,"44713B2ConvencionalRuralNão se aplicaNão se aplicaNão se aplicaFora ponta",Mercado_Receita!$L$2:$L$644)+SUMIF(Mercado_Receita!$S$2:$S$644,"44713B2ConvencionalRuralNão se aplicaNão se aplicaNão se aplicaIntermediário",Mercado_Receita!$L$2:$L$644)+SUMIF(Mercado_Receita!$S$2:$S$644,"44713B2ConvencionalRuralNão se aplicaNão se aplicaNão se aplicaNão se aplica",Mercado_Receita!$L$2:$L$644)</f>
        <v>2188.509</v>
      </c>
      <c r="S33" s="13">
        <f>SUMIF(Mercado_Receita!$S$2:$S$644,"44743B2ConvencionalRuralNão se aplicaNão se aplicaNão se aplicaPonta",Mercado_Receita!$L$2:$L$644)+SUMIF(Mercado_Receita!$S$2:$S$644,"44743B2ConvencionalRuralNão se aplicaNão se aplicaNão se aplicaFora ponta",Mercado_Receita!$L$2:$L$644)+SUMIF(Mercado_Receita!$S$2:$S$644,"44743B2ConvencionalRuralNão se aplicaNão se aplicaNão se aplicaIntermediário",Mercado_Receita!$L$2:$L$644)+SUMIF(Mercado_Receita!$S$2:$S$644,"44743B2ConvencionalRuralNão se aplicaNão se aplicaNão se aplicaNão se aplica",Mercado_Receita!$L$2:$L$644)</f>
        <v>1826.153</v>
      </c>
      <c r="T33" s="13">
        <f>SUMIF(Mercado_Receita!$S$2:$S$644,"44774B2ConvencionalRuralNão se aplicaNão se aplicaNão se aplicaPonta",Mercado_Receita!$L$2:$L$644)+SUMIF(Mercado_Receita!$S$2:$S$644,"44774B2ConvencionalRuralNão se aplicaNão se aplicaNão se aplicaFora ponta",Mercado_Receita!$L$2:$L$644)+SUMIF(Mercado_Receita!$S$2:$S$644,"44774B2ConvencionalRuralNão se aplicaNão se aplicaNão se aplicaIntermediário",Mercado_Receita!$L$2:$L$644)+SUMIF(Mercado_Receita!$S$2:$S$644,"44774B2ConvencionalRuralNão se aplicaNão se aplicaNão se aplicaNão se aplica",Mercado_Receita!$L$2:$L$644)</f>
        <v>2161.3159999999998</v>
      </c>
      <c r="U33" s="13">
        <f t="shared" si="0"/>
        <v>28155.339999999997</v>
      </c>
      <c r="V33" s="13"/>
      <c r="W33" s="13"/>
    </row>
    <row r="34" spans="1:23" ht="11.25" customHeight="1" x14ac:dyDescent="0.25">
      <c r="A34" s="84"/>
      <c r="B34" s="83" t="s">
        <v>97</v>
      </c>
      <c r="C34" s="83" t="s">
        <v>41</v>
      </c>
      <c r="D34" s="83" t="s">
        <v>100</v>
      </c>
      <c r="E34" s="83" t="s">
        <v>25</v>
      </c>
      <c r="F34" s="83" t="s">
        <v>25</v>
      </c>
      <c r="G34" s="13" t="s">
        <v>83</v>
      </c>
      <c r="H34" s="13" t="s">
        <v>82</v>
      </c>
      <c r="I34" s="13">
        <f>SUMIF(Mercado_Receita!$S$2:$S$644,"44440B2BrancaRuralCooperativa de eletrificação ruralNão se aplicaNão se aplicaPonta",Mercado_Receita!$L$2:$L$644)</f>
        <v>0</v>
      </c>
      <c r="J34" s="13">
        <f>SUMIF(Mercado_Receita!$S$2:$S$644,"44470B2BrancaRuralCooperativa de eletrificação ruralNão se aplicaNão se aplicaPonta",Mercado_Receita!$L$2:$L$644)</f>
        <v>0</v>
      </c>
      <c r="K34" s="13">
        <f>SUMIF(Mercado_Receita!$S$2:$S$644,"44501B2BrancaRuralCooperativa de eletrificação ruralNão se aplicaNão se aplicaPonta",Mercado_Receita!$L$2:$L$644)</f>
        <v>0</v>
      </c>
      <c r="L34" s="13">
        <f>SUMIF(Mercado_Receita!$S$2:$S$644,"44531B2BrancaRuralCooperativa de eletrificação ruralNão se aplicaNão se aplicaPonta",Mercado_Receita!$L$2:$L$644)</f>
        <v>0</v>
      </c>
      <c r="M34" s="13">
        <f>SUMIF(Mercado_Receita!$S$2:$S$644,"44562B2BrancaRuralCooperativa de eletrificação ruralNão se aplicaNão se aplicaPonta",Mercado_Receita!$L$2:$L$644)</f>
        <v>0</v>
      </c>
      <c r="N34" s="13">
        <f>SUMIF(Mercado_Receita!$S$2:$S$644,"44593B2BrancaRuralCooperativa de eletrificação ruralNão se aplicaNão se aplicaPonta",Mercado_Receita!$L$2:$L$644)</f>
        <v>0</v>
      </c>
      <c r="O34" s="13">
        <f>SUMIF(Mercado_Receita!$S$2:$S$644,"44621B2BrancaRuralCooperativa de eletrificação ruralNão se aplicaNão se aplicaPonta",Mercado_Receita!$L$2:$L$644)</f>
        <v>0</v>
      </c>
      <c r="P34" s="13">
        <f>SUMIF(Mercado_Receita!$S$2:$S$644,"44652B2BrancaRuralCooperativa de eletrificação ruralNão se aplicaNão se aplicaPonta",Mercado_Receita!$L$2:$L$644)</f>
        <v>0</v>
      </c>
      <c r="Q34" s="13">
        <f>SUMIF(Mercado_Receita!$S$2:$S$644,"44682B2BrancaRuralCooperativa de eletrificação ruralNão se aplicaNão se aplicaPonta",Mercado_Receita!$L$2:$L$644)</f>
        <v>0</v>
      </c>
      <c r="R34" s="13">
        <f>SUMIF(Mercado_Receita!$S$2:$S$644,"44713B2BrancaRuralCooperativa de eletrificação ruralNão se aplicaNão se aplicaPonta",Mercado_Receita!$L$2:$L$644)</f>
        <v>0</v>
      </c>
      <c r="S34" s="13">
        <f>SUMIF(Mercado_Receita!$S$2:$S$644,"44743B2BrancaRuralCooperativa de eletrificação ruralNão se aplicaNão se aplicaPonta",Mercado_Receita!$L$2:$L$644)</f>
        <v>0</v>
      </c>
      <c r="T34" s="13">
        <f>SUMIF(Mercado_Receita!$S$2:$S$644,"44774B2BrancaRuralCooperativa de eletrificação ruralNão se aplicaNão se aplicaPonta",Mercado_Receita!$L$2:$L$644)</f>
        <v>0</v>
      </c>
      <c r="U34" s="13">
        <f t="shared" ref="U34:U51" si="1">SUM(I34:T34)</f>
        <v>0</v>
      </c>
      <c r="V34" s="13"/>
      <c r="W34" s="13"/>
    </row>
    <row r="35" spans="1:23" ht="11.25" customHeight="1" x14ac:dyDescent="0.25">
      <c r="A35" s="84"/>
      <c r="B35" s="84"/>
      <c r="C35" s="84"/>
      <c r="D35" s="84"/>
      <c r="E35" s="84"/>
      <c r="F35" s="84"/>
      <c r="G35" s="13" t="s">
        <v>95</v>
      </c>
      <c r="H35" s="13" t="s">
        <v>82</v>
      </c>
      <c r="I35" s="13">
        <f>SUMIF(Mercado_Receita!$S$2:$S$644,"44440B2BrancaRuralCooperativa de eletrificação ruralNão se aplicaNão se aplicaIntermediário",Mercado_Receita!$L$2:$L$644)</f>
        <v>0</v>
      </c>
      <c r="J35" s="13">
        <f>SUMIF(Mercado_Receita!$S$2:$S$644,"44470B2BrancaRuralCooperativa de eletrificação ruralNão se aplicaNão se aplicaIntermediário",Mercado_Receita!$L$2:$L$644)</f>
        <v>0</v>
      </c>
      <c r="K35" s="13">
        <f>SUMIF(Mercado_Receita!$S$2:$S$644,"44501B2BrancaRuralCooperativa de eletrificação ruralNão se aplicaNão se aplicaIntermediário",Mercado_Receita!$L$2:$L$644)</f>
        <v>0</v>
      </c>
      <c r="L35" s="13">
        <f>SUMIF(Mercado_Receita!$S$2:$S$644,"44531B2BrancaRuralCooperativa de eletrificação ruralNão se aplicaNão se aplicaIntermediário",Mercado_Receita!$L$2:$L$644)</f>
        <v>0</v>
      </c>
      <c r="M35" s="13">
        <f>SUMIF(Mercado_Receita!$S$2:$S$644,"44562B2BrancaRuralCooperativa de eletrificação ruralNão se aplicaNão se aplicaIntermediário",Mercado_Receita!$L$2:$L$644)</f>
        <v>0</v>
      </c>
      <c r="N35" s="13">
        <f>SUMIF(Mercado_Receita!$S$2:$S$644,"44593B2BrancaRuralCooperativa de eletrificação ruralNão se aplicaNão se aplicaIntermediário",Mercado_Receita!$L$2:$L$644)</f>
        <v>0</v>
      </c>
      <c r="O35" s="13">
        <f>SUMIF(Mercado_Receita!$S$2:$S$644,"44621B2BrancaRuralCooperativa de eletrificação ruralNão se aplicaNão se aplicaIntermediário",Mercado_Receita!$L$2:$L$644)</f>
        <v>0</v>
      </c>
      <c r="P35" s="13">
        <f>SUMIF(Mercado_Receita!$S$2:$S$644,"44652B2BrancaRuralCooperativa de eletrificação ruralNão se aplicaNão se aplicaIntermediário",Mercado_Receita!$L$2:$L$644)</f>
        <v>0</v>
      </c>
      <c r="Q35" s="13">
        <f>SUMIF(Mercado_Receita!$S$2:$S$644,"44682B2BrancaRuralCooperativa de eletrificação ruralNão se aplicaNão se aplicaIntermediário",Mercado_Receita!$L$2:$L$644)</f>
        <v>0</v>
      </c>
      <c r="R35" s="13">
        <f>SUMIF(Mercado_Receita!$S$2:$S$644,"44713B2BrancaRuralCooperativa de eletrificação ruralNão se aplicaNão se aplicaIntermediário",Mercado_Receita!$L$2:$L$644)</f>
        <v>0</v>
      </c>
      <c r="S35" s="13">
        <f>SUMIF(Mercado_Receita!$S$2:$S$644,"44743B2BrancaRuralCooperativa de eletrificação ruralNão se aplicaNão se aplicaIntermediário",Mercado_Receita!$L$2:$L$644)</f>
        <v>0</v>
      </c>
      <c r="T35" s="13">
        <f>SUMIF(Mercado_Receita!$S$2:$S$644,"44774B2BrancaRuralCooperativa de eletrificação ruralNão se aplicaNão se aplicaIntermediário",Mercado_Receita!$L$2:$L$644)</f>
        <v>0</v>
      </c>
      <c r="U35" s="13">
        <f t="shared" si="1"/>
        <v>0</v>
      </c>
      <c r="V35" s="13"/>
      <c r="W35" s="13"/>
    </row>
    <row r="36" spans="1:23" ht="11.25" customHeight="1" x14ac:dyDescent="0.25">
      <c r="A36" s="84"/>
      <c r="B36" s="84"/>
      <c r="C36" s="84"/>
      <c r="D36" s="84"/>
      <c r="E36" s="84"/>
      <c r="F36" s="84"/>
      <c r="G36" s="13" t="s">
        <v>84</v>
      </c>
      <c r="H36" s="13" t="s">
        <v>82</v>
      </c>
      <c r="I36" s="13">
        <f>SUMIF(Mercado_Receita!$S$2:$S$644,"44440B2BrancaRuralCooperativa de eletrificação ruralNão se aplicaNão se aplicaFora ponta",Mercado_Receita!$L$2:$L$644)</f>
        <v>0</v>
      </c>
      <c r="J36" s="13">
        <f>SUMIF(Mercado_Receita!$S$2:$S$644,"44470B2BrancaRuralCooperativa de eletrificação ruralNão se aplicaNão se aplicaFora ponta",Mercado_Receita!$L$2:$L$644)</f>
        <v>0</v>
      </c>
      <c r="K36" s="13">
        <f>SUMIF(Mercado_Receita!$S$2:$S$644,"44501B2BrancaRuralCooperativa de eletrificação ruralNão se aplicaNão se aplicaFora ponta",Mercado_Receita!$L$2:$L$644)</f>
        <v>0</v>
      </c>
      <c r="L36" s="13">
        <f>SUMIF(Mercado_Receita!$S$2:$S$644,"44531B2BrancaRuralCooperativa de eletrificação ruralNão se aplicaNão se aplicaFora ponta",Mercado_Receita!$L$2:$L$644)</f>
        <v>0</v>
      </c>
      <c r="M36" s="13">
        <f>SUMIF(Mercado_Receita!$S$2:$S$644,"44562B2BrancaRuralCooperativa de eletrificação ruralNão se aplicaNão se aplicaFora ponta",Mercado_Receita!$L$2:$L$644)</f>
        <v>0</v>
      </c>
      <c r="N36" s="13">
        <f>SUMIF(Mercado_Receita!$S$2:$S$644,"44593B2BrancaRuralCooperativa de eletrificação ruralNão se aplicaNão se aplicaFora ponta",Mercado_Receita!$L$2:$L$644)</f>
        <v>0</v>
      </c>
      <c r="O36" s="13">
        <f>SUMIF(Mercado_Receita!$S$2:$S$644,"44621B2BrancaRuralCooperativa de eletrificação ruralNão se aplicaNão se aplicaFora ponta",Mercado_Receita!$L$2:$L$644)</f>
        <v>0</v>
      </c>
      <c r="P36" s="13">
        <f>SUMIF(Mercado_Receita!$S$2:$S$644,"44652B2BrancaRuralCooperativa de eletrificação ruralNão se aplicaNão se aplicaFora ponta",Mercado_Receita!$L$2:$L$644)</f>
        <v>0</v>
      </c>
      <c r="Q36" s="13">
        <f>SUMIF(Mercado_Receita!$S$2:$S$644,"44682B2BrancaRuralCooperativa de eletrificação ruralNão se aplicaNão se aplicaFora ponta",Mercado_Receita!$L$2:$L$644)</f>
        <v>0</v>
      </c>
      <c r="R36" s="13">
        <f>SUMIF(Mercado_Receita!$S$2:$S$644,"44713B2BrancaRuralCooperativa de eletrificação ruralNão se aplicaNão se aplicaFora ponta",Mercado_Receita!$L$2:$L$644)</f>
        <v>0</v>
      </c>
      <c r="S36" s="13">
        <f>SUMIF(Mercado_Receita!$S$2:$S$644,"44743B2BrancaRuralCooperativa de eletrificação ruralNão se aplicaNão se aplicaFora ponta",Mercado_Receita!$L$2:$L$644)</f>
        <v>0</v>
      </c>
      <c r="T36" s="13">
        <f>SUMIF(Mercado_Receita!$S$2:$S$644,"44774B2BrancaRuralCooperativa de eletrificação ruralNão se aplicaNão se aplicaFora ponta",Mercado_Receita!$L$2:$L$644)</f>
        <v>0</v>
      </c>
      <c r="U36" s="13">
        <f t="shared" si="1"/>
        <v>0</v>
      </c>
      <c r="V36" s="13"/>
      <c r="W36" s="13"/>
    </row>
    <row r="37" spans="1:23" ht="11.25" customHeight="1" x14ac:dyDescent="0.25">
      <c r="A37" s="84"/>
      <c r="B37" s="12" t="s">
        <v>23</v>
      </c>
      <c r="C37" s="12" t="s">
        <v>41</v>
      </c>
      <c r="D37" s="12" t="s">
        <v>100</v>
      </c>
      <c r="E37" s="12" t="s">
        <v>25</v>
      </c>
      <c r="F37" s="12" t="s">
        <v>25</v>
      </c>
      <c r="G37" s="13" t="s">
        <v>87</v>
      </c>
      <c r="H37" s="13" t="s">
        <v>82</v>
      </c>
      <c r="I37" s="13">
        <f>SUMIF(Mercado_Receita!$S$2:$S$644,"44440B2ConvencionalRuralCooperativa de eletrificação ruralNão se aplicaNão se aplicaPonta",Mercado_Receita!$L$2:$L$644)+SUMIF(Mercado_Receita!$S$2:$S$644,"44440B2ConvencionalRuralCooperativa de eletrificação ruralNão se aplicaNão se aplicaFora ponta",Mercado_Receita!$L$2:$L$644)+SUMIF(Mercado_Receita!$S$2:$S$644,"44440B2ConvencionalRuralCooperativa de eletrificação ruralNão se aplicaNão se aplicaIntermediário",Mercado_Receita!$L$2:$L$644)+SUMIF(Mercado_Receita!$S$2:$S$644,"44440B2ConvencionalRuralCooperativa de eletrificação ruralNão se aplicaNão se aplicaNão se aplica",Mercado_Receita!$L$2:$L$644)</f>
        <v>0</v>
      </c>
      <c r="J37" s="13">
        <f>SUMIF(Mercado_Receita!$S$2:$S$644,"44470B2ConvencionalRuralCooperativa de eletrificação ruralNão se aplicaNão se aplicaPonta",Mercado_Receita!$L$2:$L$644)+SUMIF(Mercado_Receita!$S$2:$S$644,"44470B2ConvencionalRuralCooperativa de eletrificação ruralNão se aplicaNão se aplicaFora ponta",Mercado_Receita!$L$2:$L$644)+SUMIF(Mercado_Receita!$S$2:$S$644,"44470B2ConvencionalRuralCooperativa de eletrificação ruralNão se aplicaNão se aplicaIntermediário",Mercado_Receita!$L$2:$L$644)+SUMIF(Mercado_Receita!$S$2:$S$644,"44470B2ConvencionalRuralCooperativa de eletrificação ruralNão se aplicaNão se aplicaNão se aplica",Mercado_Receita!$L$2:$L$644)</f>
        <v>0</v>
      </c>
      <c r="K37" s="13">
        <f>SUMIF(Mercado_Receita!$S$2:$S$644,"44501B2ConvencionalRuralCooperativa de eletrificação ruralNão se aplicaNão se aplicaPonta",Mercado_Receita!$L$2:$L$644)+SUMIF(Mercado_Receita!$S$2:$S$644,"44501B2ConvencionalRuralCooperativa de eletrificação ruralNão se aplicaNão se aplicaFora ponta",Mercado_Receita!$L$2:$L$644)+SUMIF(Mercado_Receita!$S$2:$S$644,"44501B2ConvencionalRuralCooperativa de eletrificação ruralNão se aplicaNão se aplicaIntermediário",Mercado_Receita!$L$2:$L$644)+SUMIF(Mercado_Receita!$S$2:$S$644,"44501B2ConvencionalRuralCooperativa de eletrificação ruralNão se aplicaNão se aplicaNão se aplica",Mercado_Receita!$L$2:$L$644)</f>
        <v>0</v>
      </c>
      <c r="L37" s="13">
        <f>SUMIF(Mercado_Receita!$S$2:$S$644,"44531B2ConvencionalRuralCooperativa de eletrificação ruralNão se aplicaNão se aplicaPonta",Mercado_Receita!$L$2:$L$644)+SUMIF(Mercado_Receita!$S$2:$S$644,"44531B2ConvencionalRuralCooperativa de eletrificação ruralNão se aplicaNão se aplicaFora ponta",Mercado_Receita!$L$2:$L$644)+SUMIF(Mercado_Receita!$S$2:$S$644,"44531B2ConvencionalRuralCooperativa de eletrificação ruralNão se aplicaNão se aplicaIntermediário",Mercado_Receita!$L$2:$L$644)+SUMIF(Mercado_Receita!$S$2:$S$644,"44531B2ConvencionalRuralCooperativa de eletrificação ruralNão se aplicaNão se aplicaNão se aplica",Mercado_Receita!$L$2:$L$644)</f>
        <v>0</v>
      </c>
      <c r="M37" s="13">
        <f>SUMIF(Mercado_Receita!$S$2:$S$644,"44562B2ConvencionalRuralCooperativa de eletrificação ruralNão se aplicaNão se aplicaPonta",Mercado_Receita!$L$2:$L$644)+SUMIF(Mercado_Receita!$S$2:$S$644,"44562B2ConvencionalRuralCooperativa de eletrificação ruralNão se aplicaNão se aplicaFora ponta",Mercado_Receita!$L$2:$L$644)+SUMIF(Mercado_Receita!$S$2:$S$644,"44562B2ConvencionalRuralCooperativa de eletrificação ruralNão se aplicaNão se aplicaIntermediário",Mercado_Receita!$L$2:$L$644)+SUMIF(Mercado_Receita!$S$2:$S$644,"44562B2ConvencionalRuralCooperativa de eletrificação ruralNão se aplicaNão se aplicaNão se aplica",Mercado_Receita!$L$2:$L$644)</f>
        <v>0</v>
      </c>
      <c r="N37" s="13">
        <f>SUMIF(Mercado_Receita!$S$2:$S$644,"44593B2ConvencionalRuralCooperativa de eletrificação ruralNão se aplicaNão se aplicaPonta",Mercado_Receita!$L$2:$L$644)+SUMIF(Mercado_Receita!$S$2:$S$644,"44593B2ConvencionalRuralCooperativa de eletrificação ruralNão se aplicaNão se aplicaFora ponta",Mercado_Receita!$L$2:$L$644)+SUMIF(Mercado_Receita!$S$2:$S$644,"44593B2ConvencionalRuralCooperativa de eletrificação ruralNão se aplicaNão se aplicaIntermediário",Mercado_Receita!$L$2:$L$644)+SUMIF(Mercado_Receita!$S$2:$S$644,"44593B2ConvencionalRuralCooperativa de eletrificação ruralNão se aplicaNão se aplicaNão se aplica",Mercado_Receita!$L$2:$L$644)</f>
        <v>0</v>
      </c>
      <c r="O37" s="13">
        <f>SUMIF(Mercado_Receita!$S$2:$S$644,"44621B2ConvencionalRuralCooperativa de eletrificação ruralNão se aplicaNão se aplicaPonta",Mercado_Receita!$L$2:$L$644)+SUMIF(Mercado_Receita!$S$2:$S$644,"44621B2ConvencionalRuralCooperativa de eletrificação ruralNão se aplicaNão se aplicaFora ponta",Mercado_Receita!$L$2:$L$644)+SUMIF(Mercado_Receita!$S$2:$S$644,"44621B2ConvencionalRuralCooperativa de eletrificação ruralNão se aplicaNão se aplicaIntermediário",Mercado_Receita!$L$2:$L$644)+SUMIF(Mercado_Receita!$S$2:$S$644,"44621B2ConvencionalRuralCooperativa de eletrificação ruralNão se aplicaNão se aplicaNão se aplica",Mercado_Receita!$L$2:$L$644)</f>
        <v>0</v>
      </c>
      <c r="P37" s="13">
        <f>SUMIF(Mercado_Receita!$S$2:$S$644,"44652B2ConvencionalRuralCooperativa de eletrificação ruralNão se aplicaNão se aplicaPonta",Mercado_Receita!$L$2:$L$644)+SUMIF(Mercado_Receita!$S$2:$S$644,"44652B2ConvencionalRuralCooperativa de eletrificação ruralNão se aplicaNão se aplicaFora ponta",Mercado_Receita!$L$2:$L$644)+SUMIF(Mercado_Receita!$S$2:$S$644,"44652B2ConvencionalRuralCooperativa de eletrificação ruralNão se aplicaNão se aplicaIntermediário",Mercado_Receita!$L$2:$L$644)+SUMIF(Mercado_Receita!$S$2:$S$644,"44652B2ConvencionalRuralCooperativa de eletrificação ruralNão se aplicaNão se aplicaNão se aplica",Mercado_Receita!$L$2:$L$644)</f>
        <v>0</v>
      </c>
      <c r="Q37" s="13">
        <f>SUMIF(Mercado_Receita!$S$2:$S$644,"44682B2ConvencionalRuralCooperativa de eletrificação ruralNão se aplicaNão se aplicaPonta",Mercado_Receita!$L$2:$L$644)+SUMIF(Mercado_Receita!$S$2:$S$644,"44682B2ConvencionalRuralCooperativa de eletrificação ruralNão se aplicaNão se aplicaFora ponta",Mercado_Receita!$L$2:$L$644)+SUMIF(Mercado_Receita!$S$2:$S$644,"44682B2ConvencionalRuralCooperativa de eletrificação ruralNão se aplicaNão se aplicaIntermediário",Mercado_Receita!$L$2:$L$644)+SUMIF(Mercado_Receita!$S$2:$S$644,"44682B2ConvencionalRuralCooperativa de eletrificação ruralNão se aplicaNão se aplicaNão se aplica",Mercado_Receita!$L$2:$L$644)</f>
        <v>0</v>
      </c>
      <c r="R37" s="13">
        <f>SUMIF(Mercado_Receita!$S$2:$S$644,"44713B2ConvencionalRuralCooperativa de eletrificação ruralNão se aplicaNão se aplicaPonta",Mercado_Receita!$L$2:$L$644)+SUMIF(Mercado_Receita!$S$2:$S$644,"44713B2ConvencionalRuralCooperativa de eletrificação ruralNão se aplicaNão se aplicaFora ponta",Mercado_Receita!$L$2:$L$644)+SUMIF(Mercado_Receita!$S$2:$S$644,"44713B2ConvencionalRuralCooperativa de eletrificação ruralNão se aplicaNão se aplicaIntermediário",Mercado_Receita!$L$2:$L$644)+SUMIF(Mercado_Receita!$S$2:$S$644,"44713B2ConvencionalRuralCooperativa de eletrificação ruralNão se aplicaNão se aplicaNão se aplica",Mercado_Receita!$L$2:$L$644)</f>
        <v>0</v>
      </c>
      <c r="S37" s="13">
        <f>SUMIF(Mercado_Receita!$S$2:$S$644,"44743B2ConvencionalRuralCooperativa de eletrificação ruralNão se aplicaNão se aplicaPonta",Mercado_Receita!$L$2:$L$644)+SUMIF(Mercado_Receita!$S$2:$S$644,"44743B2ConvencionalRuralCooperativa de eletrificação ruralNão se aplicaNão se aplicaFora ponta",Mercado_Receita!$L$2:$L$644)+SUMIF(Mercado_Receita!$S$2:$S$644,"44743B2ConvencionalRuralCooperativa de eletrificação ruralNão se aplicaNão se aplicaIntermediário",Mercado_Receita!$L$2:$L$644)+SUMIF(Mercado_Receita!$S$2:$S$644,"44743B2ConvencionalRuralCooperativa de eletrificação ruralNão se aplicaNão se aplicaNão se aplica",Mercado_Receita!$L$2:$L$644)</f>
        <v>0</v>
      </c>
      <c r="T37" s="13">
        <f>SUMIF(Mercado_Receita!$S$2:$S$644,"44774B2ConvencionalRuralCooperativa de eletrificação ruralNão se aplicaNão se aplicaPonta",Mercado_Receita!$L$2:$L$644)+SUMIF(Mercado_Receita!$S$2:$S$644,"44774B2ConvencionalRuralCooperativa de eletrificação ruralNão se aplicaNão se aplicaFora ponta",Mercado_Receita!$L$2:$L$644)+SUMIF(Mercado_Receita!$S$2:$S$644,"44774B2ConvencionalRuralCooperativa de eletrificação ruralNão se aplicaNão se aplicaIntermediário",Mercado_Receita!$L$2:$L$644)+SUMIF(Mercado_Receita!$S$2:$S$644,"44774B2ConvencionalRuralCooperativa de eletrificação ruralNão se aplicaNão se aplicaNão se aplica",Mercado_Receita!$L$2:$L$644)</f>
        <v>0</v>
      </c>
      <c r="U37" s="13">
        <f t="shared" si="1"/>
        <v>0</v>
      </c>
      <c r="V37" s="13"/>
      <c r="W37" s="13"/>
    </row>
    <row r="38" spans="1:23" ht="11.25" customHeight="1" x14ac:dyDescent="0.25">
      <c r="A38" s="84"/>
      <c r="B38" s="83" t="s">
        <v>97</v>
      </c>
      <c r="C38" s="83" t="s">
        <v>41</v>
      </c>
      <c r="D38" s="83" t="s">
        <v>101</v>
      </c>
      <c r="E38" s="83" t="s">
        <v>25</v>
      </c>
      <c r="F38" s="83" t="s">
        <v>25</v>
      </c>
      <c r="G38" s="13" t="s">
        <v>83</v>
      </c>
      <c r="H38" s="13" t="s">
        <v>82</v>
      </c>
      <c r="I38" s="13">
        <f>SUMIF(Mercado_Receita!$S$2:$S$644,"44440B2BrancaRuralServiço público de irrigação ruralNão se aplicaNão se aplicaPonta",Mercado_Receita!$L$2:$L$644)</f>
        <v>0</v>
      </c>
      <c r="J38" s="13">
        <f>SUMIF(Mercado_Receita!$S$2:$S$644,"44470B2BrancaRuralServiço público de irrigação ruralNão se aplicaNão se aplicaPonta",Mercado_Receita!$L$2:$L$644)</f>
        <v>0</v>
      </c>
      <c r="K38" s="13">
        <f>SUMIF(Mercado_Receita!$S$2:$S$644,"44501B2BrancaRuralServiço público de irrigação ruralNão se aplicaNão se aplicaPonta",Mercado_Receita!$L$2:$L$644)</f>
        <v>0</v>
      </c>
      <c r="L38" s="13">
        <f>SUMIF(Mercado_Receita!$S$2:$S$644,"44531B2BrancaRuralServiço público de irrigação ruralNão se aplicaNão se aplicaPonta",Mercado_Receita!$L$2:$L$644)</f>
        <v>0</v>
      </c>
      <c r="M38" s="13">
        <f>SUMIF(Mercado_Receita!$S$2:$S$644,"44562B2BrancaRuralServiço público de irrigação ruralNão se aplicaNão se aplicaPonta",Mercado_Receita!$L$2:$L$644)</f>
        <v>0</v>
      </c>
      <c r="N38" s="13">
        <f>SUMIF(Mercado_Receita!$S$2:$S$644,"44593B2BrancaRuralServiço público de irrigação ruralNão se aplicaNão se aplicaPonta",Mercado_Receita!$L$2:$L$644)</f>
        <v>0</v>
      </c>
      <c r="O38" s="13">
        <f>SUMIF(Mercado_Receita!$S$2:$S$644,"44621B2BrancaRuralServiço público de irrigação ruralNão se aplicaNão se aplicaPonta",Mercado_Receita!$L$2:$L$644)</f>
        <v>0</v>
      </c>
      <c r="P38" s="13">
        <f>SUMIF(Mercado_Receita!$S$2:$S$644,"44652B2BrancaRuralServiço público de irrigação ruralNão se aplicaNão se aplicaPonta",Mercado_Receita!$L$2:$L$644)</f>
        <v>0</v>
      </c>
      <c r="Q38" s="13">
        <f>SUMIF(Mercado_Receita!$S$2:$S$644,"44682B2BrancaRuralServiço público de irrigação ruralNão se aplicaNão se aplicaPonta",Mercado_Receita!$L$2:$L$644)</f>
        <v>0</v>
      </c>
      <c r="R38" s="13">
        <f>SUMIF(Mercado_Receita!$S$2:$S$644,"44713B2BrancaRuralServiço público de irrigação ruralNão se aplicaNão se aplicaPonta",Mercado_Receita!$L$2:$L$644)</f>
        <v>0</v>
      </c>
      <c r="S38" s="13">
        <f>SUMIF(Mercado_Receita!$S$2:$S$644,"44743B2BrancaRuralServiço público de irrigação ruralNão se aplicaNão se aplicaPonta",Mercado_Receita!$L$2:$L$644)</f>
        <v>0</v>
      </c>
      <c r="T38" s="13">
        <f>SUMIF(Mercado_Receita!$S$2:$S$644,"44774B2BrancaRuralServiço público de irrigação ruralNão se aplicaNão se aplicaPonta",Mercado_Receita!$L$2:$L$644)</f>
        <v>0</v>
      </c>
      <c r="U38" s="13">
        <f t="shared" si="1"/>
        <v>0</v>
      </c>
      <c r="V38" s="13"/>
      <c r="W38" s="13"/>
    </row>
    <row r="39" spans="1:23" ht="11.25" customHeight="1" x14ac:dyDescent="0.25">
      <c r="A39" s="84"/>
      <c r="B39" s="84"/>
      <c r="C39" s="84"/>
      <c r="D39" s="84"/>
      <c r="E39" s="84"/>
      <c r="F39" s="84"/>
      <c r="G39" s="13" t="s">
        <v>95</v>
      </c>
      <c r="H39" s="13" t="s">
        <v>82</v>
      </c>
      <c r="I39" s="13">
        <f>SUMIF(Mercado_Receita!$S$2:$S$644,"44440B2BrancaRuralServiço público de irrigação ruralNão se aplicaNão se aplicaIntermediário",Mercado_Receita!$L$2:$L$644)</f>
        <v>0</v>
      </c>
      <c r="J39" s="13">
        <f>SUMIF(Mercado_Receita!$S$2:$S$644,"44470B2BrancaRuralServiço público de irrigação ruralNão se aplicaNão se aplicaIntermediário",Mercado_Receita!$L$2:$L$644)</f>
        <v>0</v>
      </c>
      <c r="K39" s="13">
        <f>SUMIF(Mercado_Receita!$S$2:$S$644,"44501B2BrancaRuralServiço público de irrigação ruralNão se aplicaNão se aplicaIntermediário",Mercado_Receita!$L$2:$L$644)</f>
        <v>0</v>
      </c>
      <c r="L39" s="13">
        <f>SUMIF(Mercado_Receita!$S$2:$S$644,"44531B2BrancaRuralServiço público de irrigação ruralNão se aplicaNão se aplicaIntermediário",Mercado_Receita!$L$2:$L$644)</f>
        <v>0</v>
      </c>
      <c r="M39" s="13">
        <f>SUMIF(Mercado_Receita!$S$2:$S$644,"44562B2BrancaRuralServiço público de irrigação ruralNão se aplicaNão se aplicaIntermediário",Mercado_Receita!$L$2:$L$644)</f>
        <v>0</v>
      </c>
      <c r="N39" s="13">
        <f>SUMIF(Mercado_Receita!$S$2:$S$644,"44593B2BrancaRuralServiço público de irrigação ruralNão se aplicaNão se aplicaIntermediário",Mercado_Receita!$L$2:$L$644)</f>
        <v>0</v>
      </c>
      <c r="O39" s="13">
        <f>SUMIF(Mercado_Receita!$S$2:$S$644,"44621B2BrancaRuralServiço público de irrigação ruralNão se aplicaNão se aplicaIntermediário",Mercado_Receita!$L$2:$L$644)</f>
        <v>0</v>
      </c>
      <c r="P39" s="13">
        <f>SUMIF(Mercado_Receita!$S$2:$S$644,"44652B2BrancaRuralServiço público de irrigação ruralNão se aplicaNão se aplicaIntermediário",Mercado_Receita!$L$2:$L$644)</f>
        <v>0</v>
      </c>
      <c r="Q39" s="13">
        <f>SUMIF(Mercado_Receita!$S$2:$S$644,"44682B2BrancaRuralServiço público de irrigação ruralNão se aplicaNão se aplicaIntermediário",Mercado_Receita!$L$2:$L$644)</f>
        <v>0</v>
      </c>
      <c r="R39" s="13">
        <f>SUMIF(Mercado_Receita!$S$2:$S$644,"44713B2BrancaRuralServiço público de irrigação ruralNão se aplicaNão se aplicaIntermediário",Mercado_Receita!$L$2:$L$644)</f>
        <v>0</v>
      </c>
      <c r="S39" s="13">
        <f>SUMIF(Mercado_Receita!$S$2:$S$644,"44743B2BrancaRuralServiço público de irrigação ruralNão se aplicaNão se aplicaIntermediário",Mercado_Receita!$L$2:$L$644)</f>
        <v>0</v>
      </c>
      <c r="T39" s="13">
        <f>SUMIF(Mercado_Receita!$S$2:$S$644,"44774B2BrancaRuralServiço público de irrigação ruralNão se aplicaNão se aplicaIntermediário",Mercado_Receita!$L$2:$L$644)</f>
        <v>0</v>
      </c>
      <c r="U39" s="13">
        <f t="shared" si="1"/>
        <v>0</v>
      </c>
      <c r="V39" s="13"/>
      <c r="W39" s="13"/>
    </row>
    <row r="40" spans="1:23" ht="11.25" customHeight="1" x14ac:dyDescent="0.25">
      <c r="A40" s="84"/>
      <c r="B40" s="84"/>
      <c r="C40" s="84"/>
      <c r="D40" s="84"/>
      <c r="E40" s="84"/>
      <c r="F40" s="84"/>
      <c r="G40" s="13" t="s">
        <v>84</v>
      </c>
      <c r="H40" s="13" t="s">
        <v>82</v>
      </c>
      <c r="I40" s="13">
        <f>SUMIF(Mercado_Receita!$S$2:$S$644,"44440B2BrancaRuralServiço público de irrigação ruralNão se aplicaNão se aplicaFora ponta",Mercado_Receita!$L$2:$L$644)</f>
        <v>0</v>
      </c>
      <c r="J40" s="13">
        <f>SUMIF(Mercado_Receita!$S$2:$S$644,"44470B2BrancaRuralServiço público de irrigação ruralNão se aplicaNão se aplicaFora ponta",Mercado_Receita!$L$2:$L$644)</f>
        <v>0</v>
      </c>
      <c r="K40" s="13">
        <f>SUMIF(Mercado_Receita!$S$2:$S$644,"44501B2BrancaRuralServiço público de irrigação ruralNão se aplicaNão se aplicaFora ponta",Mercado_Receita!$L$2:$L$644)</f>
        <v>0</v>
      </c>
      <c r="L40" s="13">
        <f>SUMIF(Mercado_Receita!$S$2:$S$644,"44531B2BrancaRuralServiço público de irrigação ruralNão se aplicaNão se aplicaFora ponta",Mercado_Receita!$L$2:$L$644)</f>
        <v>0</v>
      </c>
      <c r="M40" s="13">
        <f>SUMIF(Mercado_Receita!$S$2:$S$644,"44562B2BrancaRuralServiço público de irrigação ruralNão se aplicaNão se aplicaFora ponta",Mercado_Receita!$L$2:$L$644)</f>
        <v>0</v>
      </c>
      <c r="N40" s="13">
        <f>SUMIF(Mercado_Receita!$S$2:$S$644,"44593B2BrancaRuralServiço público de irrigação ruralNão se aplicaNão se aplicaFora ponta",Mercado_Receita!$L$2:$L$644)</f>
        <v>0</v>
      </c>
      <c r="O40" s="13">
        <f>SUMIF(Mercado_Receita!$S$2:$S$644,"44621B2BrancaRuralServiço público de irrigação ruralNão se aplicaNão se aplicaFora ponta",Mercado_Receita!$L$2:$L$644)</f>
        <v>0</v>
      </c>
      <c r="P40" s="13">
        <f>SUMIF(Mercado_Receita!$S$2:$S$644,"44652B2BrancaRuralServiço público de irrigação ruralNão se aplicaNão se aplicaFora ponta",Mercado_Receita!$L$2:$L$644)</f>
        <v>0</v>
      </c>
      <c r="Q40" s="13">
        <f>SUMIF(Mercado_Receita!$S$2:$S$644,"44682B2BrancaRuralServiço público de irrigação ruralNão se aplicaNão se aplicaFora ponta",Mercado_Receita!$L$2:$L$644)</f>
        <v>0</v>
      </c>
      <c r="R40" s="13">
        <f>SUMIF(Mercado_Receita!$S$2:$S$644,"44713B2BrancaRuralServiço público de irrigação ruralNão se aplicaNão se aplicaFora ponta",Mercado_Receita!$L$2:$L$644)</f>
        <v>0</v>
      </c>
      <c r="S40" s="13">
        <f>SUMIF(Mercado_Receita!$S$2:$S$644,"44743B2BrancaRuralServiço público de irrigação ruralNão se aplicaNão se aplicaFora ponta",Mercado_Receita!$L$2:$L$644)</f>
        <v>0</v>
      </c>
      <c r="T40" s="13">
        <f>SUMIF(Mercado_Receita!$S$2:$S$644,"44774B2BrancaRuralServiço público de irrigação ruralNão se aplicaNão se aplicaFora ponta",Mercado_Receita!$L$2:$L$644)</f>
        <v>0</v>
      </c>
      <c r="U40" s="13">
        <f t="shared" si="1"/>
        <v>0</v>
      </c>
      <c r="V40" s="13"/>
      <c r="W40" s="13"/>
    </row>
    <row r="41" spans="1:23" ht="11.25" customHeight="1" x14ac:dyDescent="0.25">
      <c r="A41" s="84"/>
      <c r="B41" s="12" t="s">
        <v>23</v>
      </c>
      <c r="C41" s="12" t="s">
        <v>41</v>
      </c>
      <c r="D41" s="12" t="s">
        <v>101</v>
      </c>
      <c r="E41" s="12" t="s">
        <v>25</v>
      </c>
      <c r="F41" s="12" t="s">
        <v>25</v>
      </c>
      <c r="G41" s="13" t="s">
        <v>87</v>
      </c>
      <c r="H41" s="13" t="s">
        <v>82</v>
      </c>
      <c r="I41" s="13">
        <f>SUMIF(Mercado_Receita!$S$2:$S$644,"44440B2ConvencionalRuralServiço público de irrigação ruralNão se aplicaNão se aplicaPonta",Mercado_Receita!$L$2:$L$644)+SUMIF(Mercado_Receita!$S$2:$S$644,"44440B2ConvencionalRuralServiço público de irrigação ruralNão se aplicaNão se aplicaFora ponta",Mercado_Receita!$L$2:$L$644)+SUMIF(Mercado_Receita!$S$2:$S$644,"44440B2ConvencionalRuralServiço público de irrigação ruralNão se aplicaNão se aplicaIntermediário",Mercado_Receita!$L$2:$L$644)+SUMIF(Mercado_Receita!$S$2:$S$644,"44440B2ConvencionalRuralServiço público de irrigação ruralNão se aplicaNão se aplicaNão se aplica",Mercado_Receita!$L$2:$L$644)</f>
        <v>0</v>
      </c>
      <c r="J41" s="13">
        <f>SUMIF(Mercado_Receita!$S$2:$S$644,"44470B2ConvencionalRuralServiço público de irrigação ruralNão se aplicaNão se aplicaPonta",Mercado_Receita!$L$2:$L$644)+SUMIF(Mercado_Receita!$S$2:$S$644,"44470B2ConvencionalRuralServiço público de irrigação ruralNão se aplicaNão se aplicaFora ponta",Mercado_Receita!$L$2:$L$644)+SUMIF(Mercado_Receita!$S$2:$S$644,"44470B2ConvencionalRuralServiço público de irrigação ruralNão se aplicaNão se aplicaIntermediário",Mercado_Receita!$L$2:$L$644)+SUMIF(Mercado_Receita!$S$2:$S$644,"44470B2ConvencionalRuralServiço público de irrigação ruralNão se aplicaNão se aplicaNão se aplica",Mercado_Receita!$L$2:$L$644)</f>
        <v>0</v>
      </c>
      <c r="K41" s="13">
        <f>SUMIF(Mercado_Receita!$S$2:$S$644,"44501B2ConvencionalRuralServiço público de irrigação ruralNão se aplicaNão se aplicaPonta",Mercado_Receita!$L$2:$L$644)+SUMIF(Mercado_Receita!$S$2:$S$644,"44501B2ConvencionalRuralServiço público de irrigação ruralNão se aplicaNão se aplicaFora ponta",Mercado_Receita!$L$2:$L$644)+SUMIF(Mercado_Receita!$S$2:$S$644,"44501B2ConvencionalRuralServiço público de irrigação ruralNão se aplicaNão se aplicaIntermediário",Mercado_Receita!$L$2:$L$644)+SUMIF(Mercado_Receita!$S$2:$S$644,"44501B2ConvencionalRuralServiço público de irrigação ruralNão se aplicaNão se aplicaNão se aplica",Mercado_Receita!$L$2:$L$644)</f>
        <v>0</v>
      </c>
      <c r="L41" s="13">
        <f>SUMIF(Mercado_Receita!$S$2:$S$644,"44531B2ConvencionalRuralServiço público de irrigação ruralNão se aplicaNão se aplicaPonta",Mercado_Receita!$L$2:$L$644)+SUMIF(Mercado_Receita!$S$2:$S$644,"44531B2ConvencionalRuralServiço público de irrigação ruralNão se aplicaNão se aplicaFora ponta",Mercado_Receita!$L$2:$L$644)+SUMIF(Mercado_Receita!$S$2:$S$644,"44531B2ConvencionalRuralServiço público de irrigação ruralNão se aplicaNão se aplicaIntermediário",Mercado_Receita!$L$2:$L$644)+SUMIF(Mercado_Receita!$S$2:$S$644,"44531B2ConvencionalRuralServiço público de irrigação ruralNão se aplicaNão se aplicaNão se aplica",Mercado_Receita!$L$2:$L$644)</f>
        <v>0</v>
      </c>
      <c r="M41" s="13">
        <f>SUMIF(Mercado_Receita!$S$2:$S$644,"44562B2ConvencionalRuralServiço público de irrigação ruralNão se aplicaNão se aplicaPonta",Mercado_Receita!$L$2:$L$644)+SUMIF(Mercado_Receita!$S$2:$S$644,"44562B2ConvencionalRuralServiço público de irrigação ruralNão se aplicaNão se aplicaFora ponta",Mercado_Receita!$L$2:$L$644)+SUMIF(Mercado_Receita!$S$2:$S$644,"44562B2ConvencionalRuralServiço público de irrigação ruralNão se aplicaNão se aplicaIntermediário",Mercado_Receita!$L$2:$L$644)+SUMIF(Mercado_Receita!$S$2:$S$644,"44562B2ConvencionalRuralServiço público de irrigação ruralNão se aplicaNão se aplicaNão se aplica",Mercado_Receita!$L$2:$L$644)</f>
        <v>0</v>
      </c>
      <c r="N41" s="13">
        <f>SUMIF(Mercado_Receita!$S$2:$S$644,"44593B2ConvencionalRuralServiço público de irrigação ruralNão se aplicaNão se aplicaPonta",Mercado_Receita!$L$2:$L$644)+SUMIF(Mercado_Receita!$S$2:$S$644,"44593B2ConvencionalRuralServiço público de irrigação ruralNão se aplicaNão se aplicaFora ponta",Mercado_Receita!$L$2:$L$644)+SUMIF(Mercado_Receita!$S$2:$S$644,"44593B2ConvencionalRuralServiço público de irrigação ruralNão se aplicaNão se aplicaIntermediário",Mercado_Receita!$L$2:$L$644)+SUMIF(Mercado_Receita!$S$2:$S$644,"44593B2ConvencionalRuralServiço público de irrigação ruralNão se aplicaNão se aplicaNão se aplica",Mercado_Receita!$L$2:$L$644)</f>
        <v>0</v>
      </c>
      <c r="O41" s="13">
        <f>SUMIF(Mercado_Receita!$S$2:$S$644,"44621B2ConvencionalRuralServiço público de irrigação ruralNão se aplicaNão se aplicaPonta",Mercado_Receita!$L$2:$L$644)+SUMIF(Mercado_Receita!$S$2:$S$644,"44621B2ConvencionalRuralServiço público de irrigação ruralNão se aplicaNão se aplicaFora ponta",Mercado_Receita!$L$2:$L$644)+SUMIF(Mercado_Receita!$S$2:$S$644,"44621B2ConvencionalRuralServiço público de irrigação ruralNão se aplicaNão se aplicaIntermediário",Mercado_Receita!$L$2:$L$644)+SUMIF(Mercado_Receita!$S$2:$S$644,"44621B2ConvencionalRuralServiço público de irrigação ruralNão se aplicaNão se aplicaNão se aplica",Mercado_Receita!$L$2:$L$644)</f>
        <v>0</v>
      </c>
      <c r="P41" s="13">
        <f>SUMIF(Mercado_Receita!$S$2:$S$644,"44652B2ConvencionalRuralServiço público de irrigação ruralNão se aplicaNão se aplicaPonta",Mercado_Receita!$L$2:$L$644)+SUMIF(Mercado_Receita!$S$2:$S$644,"44652B2ConvencionalRuralServiço público de irrigação ruralNão se aplicaNão se aplicaFora ponta",Mercado_Receita!$L$2:$L$644)+SUMIF(Mercado_Receita!$S$2:$S$644,"44652B2ConvencionalRuralServiço público de irrigação ruralNão se aplicaNão se aplicaIntermediário",Mercado_Receita!$L$2:$L$644)+SUMIF(Mercado_Receita!$S$2:$S$644,"44652B2ConvencionalRuralServiço público de irrigação ruralNão se aplicaNão se aplicaNão se aplica",Mercado_Receita!$L$2:$L$644)</f>
        <v>0</v>
      </c>
      <c r="Q41" s="13">
        <f>SUMIF(Mercado_Receita!$S$2:$S$644,"44682B2ConvencionalRuralServiço público de irrigação ruralNão se aplicaNão se aplicaPonta",Mercado_Receita!$L$2:$L$644)+SUMIF(Mercado_Receita!$S$2:$S$644,"44682B2ConvencionalRuralServiço público de irrigação ruralNão se aplicaNão se aplicaFora ponta",Mercado_Receita!$L$2:$L$644)+SUMIF(Mercado_Receita!$S$2:$S$644,"44682B2ConvencionalRuralServiço público de irrigação ruralNão se aplicaNão se aplicaIntermediário",Mercado_Receita!$L$2:$L$644)+SUMIF(Mercado_Receita!$S$2:$S$644,"44682B2ConvencionalRuralServiço público de irrigação ruralNão se aplicaNão se aplicaNão se aplica",Mercado_Receita!$L$2:$L$644)</f>
        <v>0</v>
      </c>
      <c r="R41" s="13">
        <f>SUMIF(Mercado_Receita!$S$2:$S$644,"44713B2ConvencionalRuralServiço público de irrigação ruralNão se aplicaNão se aplicaPonta",Mercado_Receita!$L$2:$L$644)+SUMIF(Mercado_Receita!$S$2:$S$644,"44713B2ConvencionalRuralServiço público de irrigação ruralNão se aplicaNão se aplicaFora ponta",Mercado_Receita!$L$2:$L$644)+SUMIF(Mercado_Receita!$S$2:$S$644,"44713B2ConvencionalRuralServiço público de irrigação ruralNão se aplicaNão se aplicaIntermediário",Mercado_Receita!$L$2:$L$644)+SUMIF(Mercado_Receita!$S$2:$S$644,"44713B2ConvencionalRuralServiço público de irrigação ruralNão se aplicaNão se aplicaNão se aplica",Mercado_Receita!$L$2:$L$644)</f>
        <v>0</v>
      </c>
      <c r="S41" s="13">
        <f>SUMIF(Mercado_Receita!$S$2:$S$644,"44743B2ConvencionalRuralServiço público de irrigação ruralNão se aplicaNão se aplicaPonta",Mercado_Receita!$L$2:$L$644)+SUMIF(Mercado_Receita!$S$2:$S$644,"44743B2ConvencionalRuralServiço público de irrigação ruralNão se aplicaNão se aplicaFora ponta",Mercado_Receita!$L$2:$L$644)+SUMIF(Mercado_Receita!$S$2:$S$644,"44743B2ConvencionalRuralServiço público de irrigação ruralNão se aplicaNão se aplicaIntermediário",Mercado_Receita!$L$2:$L$644)+SUMIF(Mercado_Receita!$S$2:$S$644,"44743B2ConvencionalRuralServiço público de irrigação ruralNão se aplicaNão se aplicaNão se aplica",Mercado_Receita!$L$2:$L$644)</f>
        <v>0</v>
      </c>
      <c r="T41" s="13">
        <f>SUMIF(Mercado_Receita!$S$2:$S$644,"44774B2ConvencionalRuralServiço público de irrigação ruralNão se aplicaNão se aplicaPonta",Mercado_Receita!$L$2:$L$644)+SUMIF(Mercado_Receita!$S$2:$S$644,"44774B2ConvencionalRuralServiço público de irrigação ruralNão se aplicaNão se aplicaFora ponta",Mercado_Receita!$L$2:$L$644)+SUMIF(Mercado_Receita!$S$2:$S$644,"44774B2ConvencionalRuralServiço público de irrigação ruralNão se aplicaNão se aplicaIntermediário",Mercado_Receita!$L$2:$L$644)+SUMIF(Mercado_Receita!$S$2:$S$644,"44774B2ConvencionalRuralServiço público de irrigação ruralNão se aplicaNão se aplicaNão se aplica",Mercado_Receita!$L$2:$L$644)</f>
        <v>0</v>
      </c>
      <c r="U41" s="13">
        <f t="shared" si="1"/>
        <v>0</v>
      </c>
      <c r="V41" s="13"/>
      <c r="W41" s="13"/>
    </row>
    <row r="42" spans="1:23" ht="11.25" customHeight="1" x14ac:dyDescent="0.25">
      <c r="A42" s="84"/>
      <c r="B42" s="83" t="s">
        <v>99</v>
      </c>
      <c r="C42" s="83" t="s">
        <v>41</v>
      </c>
      <c r="D42" s="12" t="s">
        <v>25</v>
      </c>
      <c r="E42" s="12" t="s">
        <v>25</v>
      </c>
      <c r="F42" s="12" t="s">
        <v>25</v>
      </c>
      <c r="G42" s="13" t="s">
        <v>87</v>
      </c>
      <c r="H42" s="13" t="s">
        <v>82</v>
      </c>
      <c r="I42" s="13">
        <f>SUMIF(Mercado_Receita!$S$2:$S$644,"44440B2Convencional pré-pagamentoRuralNão se aplicaNão se aplicaNão se aplicaPonta",Mercado_Receita!$L$2:$L$644)+SUMIF(Mercado_Receita!$S$2:$S$644,"44440B2Convencional pré-pagamentoRuralNão se aplicaNão se aplicaNão se aplicaFora ponta",Mercado_Receita!$L$2:$L$644)+SUMIF(Mercado_Receita!$S$2:$S$644,"44440B2Convencional pré-pagamentoRuralNão se aplicaNão se aplicaNão se aplicaIntermediário",Mercado_Receita!$L$2:$L$644)+SUMIF(Mercado_Receita!$S$2:$S$644,"44440B2Convencional pré-pagamentoRuralNão se aplicaNão se aplicaNão se aplicaNão se aplica",Mercado_Receita!$L$2:$L$644)</f>
        <v>0</v>
      </c>
      <c r="J42" s="13">
        <f>SUMIF(Mercado_Receita!$S$2:$S$644,"44470B2Convencional pré-pagamentoRuralNão se aplicaNão se aplicaNão se aplicaPonta",Mercado_Receita!$L$2:$L$644)+SUMIF(Mercado_Receita!$S$2:$S$644,"44470B2Convencional pré-pagamentoRuralNão se aplicaNão se aplicaNão se aplicaFora ponta",Mercado_Receita!$L$2:$L$644)+SUMIF(Mercado_Receita!$S$2:$S$644,"44470B2Convencional pré-pagamentoRuralNão se aplicaNão se aplicaNão se aplicaIntermediário",Mercado_Receita!$L$2:$L$644)+SUMIF(Mercado_Receita!$S$2:$S$644,"44470B2Convencional pré-pagamentoRuralNão se aplicaNão se aplicaNão se aplicaNão se aplica",Mercado_Receita!$L$2:$L$644)</f>
        <v>0</v>
      </c>
      <c r="K42" s="13">
        <f>SUMIF(Mercado_Receita!$S$2:$S$644,"44501B2Convencional pré-pagamentoRuralNão se aplicaNão se aplicaNão se aplicaPonta",Mercado_Receita!$L$2:$L$644)+SUMIF(Mercado_Receita!$S$2:$S$644,"44501B2Convencional pré-pagamentoRuralNão se aplicaNão se aplicaNão se aplicaFora ponta",Mercado_Receita!$L$2:$L$644)+SUMIF(Mercado_Receita!$S$2:$S$644,"44501B2Convencional pré-pagamentoRuralNão se aplicaNão se aplicaNão se aplicaIntermediário",Mercado_Receita!$L$2:$L$644)+SUMIF(Mercado_Receita!$S$2:$S$644,"44501B2Convencional pré-pagamentoRuralNão se aplicaNão se aplicaNão se aplicaNão se aplica",Mercado_Receita!$L$2:$L$644)</f>
        <v>0</v>
      </c>
      <c r="L42" s="13">
        <f>SUMIF(Mercado_Receita!$S$2:$S$644,"44531B2Convencional pré-pagamentoRuralNão se aplicaNão se aplicaNão se aplicaPonta",Mercado_Receita!$L$2:$L$644)+SUMIF(Mercado_Receita!$S$2:$S$644,"44531B2Convencional pré-pagamentoRuralNão se aplicaNão se aplicaNão se aplicaFora ponta",Mercado_Receita!$L$2:$L$644)+SUMIF(Mercado_Receita!$S$2:$S$644,"44531B2Convencional pré-pagamentoRuralNão se aplicaNão se aplicaNão se aplicaIntermediário",Mercado_Receita!$L$2:$L$644)+SUMIF(Mercado_Receita!$S$2:$S$644,"44531B2Convencional pré-pagamentoRuralNão se aplicaNão se aplicaNão se aplicaNão se aplica",Mercado_Receita!$L$2:$L$644)</f>
        <v>0</v>
      </c>
      <c r="M42" s="13">
        <f>SUMIF(Mercado_Receita!$S$2:$S$644,"44562B2Convencional pré-pagamentoRuralNão se aplicaNão se aplicaNão se aplicaPonta",Mercado_Receita!$L$2:$L$644)+SUMIF(Mercado_Receita!$S$2:$S$644,"44562B2Convencional pré-pagamentoRuralNão se aplicaNão se aplicaNão se aplicaFora ponta",Mercado_Receita!$L$2:$L$644)+SUMIF(Mercado_Receita!$S$2:$S$644,"44562B2Convencional pré-pagamentoRuralNão se aplicaNão se aplicaNão se aplicaIntermediário",Mercado_Receita!$L$2:$L$644)+SUMIF(Mercado_Receita!$S$2:$S$644,"44562B2Convencional pré-pagamentoRuralNão se aplicaNão se aplicaNão se aplicaNão se aplica",Mercado_Receita!$L$2:$L$644)</f>
        <v>0</v>
      </c>
      <c r="N42" s="13">
        <f>SUMIF(Mercado_Receita!$S$2:$S$644,"44593B2Convencional pré-pagamentoRuralNão se aplicaNão se aplicaNão se aplicaPonta",Mercado_Receita!$L$2:$L$644)+SUMIF(Mercado_Receita!$S$2:$S$644,"44593B2Convencional pré-pagamentoRuralNão se aplicaNão se aplicaNão se aplicaFora ponta",Mercado_Receita!$L$2:$L$644)+SUMIF(Mercado_Receita!$S$2:$S$644,"44593B2Convencional pré-pagamentoRuralNão se aplicaNão se aplicaNão se aplicaIntermediário",Mercado_Receita!$L$2:$L$644)+SUMIF(Mercado_Receita!$S$2:$S$644,"44593B2Convencional pré-pagamentoRuralNão se aplicaNão se aplicaNão se aplicaNão se aplica",Mercado_Receita!$L$2:$L$644)</f>
        <v>0</v>
      </c>
      <c r="O42" s="13">
        <f>SUMIF(Mercado_Receita!$S$2:$S$644,"44621B2Convencional pré-pagamentoRuralNão se aplicaNão se aplicaNão se aplicaPonta",Mercado_Receita!$L$2:$L$644)+SUMIF(Mercado_Receita!$S$2:$S$644,"44621B2Convencional pré-pagamentoRuralNão se aplicaNão se aplicaNão se aplicaFora ponta",Mercado_Receita!$L$2:$L$644)+SUMIF(Mercado_Receita!$S$2:$S$644,"44621B2Convencional pré-pagamentoRuralNão se aplicaNão se aplicaNão se aplicaIntermediário",Mercado_Receita!$L$2:$L$644)+SUMIF(Mercado_Receita!$S$2:$S$644,"44621B2Convencional pré-pagamentoRuralNão se aplicaNão se aplicaNão se aplicaNão se aplica",Mercado_Receita!$L$2:$L$644)</f>
        <v>0</v>
      </c>
      <c r="P42" s="13">
        <f>SUMIF(Mercado_Receita!$S$2:$S$644,"44652B2Convencional pré-pagamentoRuralNão se aplicaNão se aplicaNão se aplicaPonta",Mercado_Receita!$L$2:$L$644)+SUMIF(Mercado_Receita!$S$2:$S$644,"44652B2Convencional pré-pagamentoRuralNão se aplicaNão se aplicaNão se aplicaFora ponta",Mercado_Receita!$L$2:$L$644)+SUMIF(Mercado_Receita!$S$2:$S$644,"44652B2Convencional pré-pagamentoRuralNão se aplicaNão se aplicaNão se aplicaIntermediário",Mercado_Receita!$L$2:$L$644)+SUMIF(Mercado_Receita!$S$2:$S$644,"44652B2Convencional pré-pagamentoRuralNão se aplicaNão se aplicaNão se aplicaNão se aplica",Mercado_Receita!$L$2:$L$644)</f>
        <v>0</v>
      </c>
      <c r="Q42" s="13">
        <f>SUMIF(Mercado_Receita!$S$2:$S$644,"44682B2Convencional pré-pagamentoRuralNão se aplicaNão se aplicaNão se aplicaPonta",Mercado_Receita!$L$2:$L$644)+SUMIF(Mercado_Receita!$S$2:$S$644,"44682B2Convencional pré-pagamentoRuralNão se aplicaNão se aplicaNão se aplicaFora ponta",Mercado_Receita!$L$2:$L$644)+SUMIF(Mercado_Receita!$S$2:$S$644,"44682B2Convencional pré-pagamentoRuralNão se aplicaNão se aplicaNão se aplicaIntermediário",Mercado_Receita!$L$2:$L$644)+SUMIF(Mercado_Receita!$S$2:$S$644,"44682B2Convencional pré-pagamentoRuralNão se aplicaNão se aplicaNão se aplicaNão se aplica",Mercado_Receita!$L$2:$L$644)</f>
        <v>0</v>
      </c>
      <c r="R42" s="13">
        <f>SUMIF(Mercado_Receita!$S$2:$S$644,"44713B2Convencional pré-pagamentoRuralNão se aplicaNão se aplicaNão se aplicaPonta",Mercado_Receita!$L$2:$L$644)+SUMIF(Mercado_Receita!$S$2:$S$644,"44713B2Convencional pré-pagamentoRuralNão se aplicaNão se aplicaNão se aplicaFora ponta",Mercado_Receita!$L$2:$L$644)+SUMIF(Mercado_Receita!$S$2:$S$644,"44713B2Convencional pré-pagamentoRuralNão se aplicaNão se aplicaNão se aplicaIntermediário",Mercado_Receita!$L$2:$L$644)+SUMIF(Mercado_Receita!$S$2:$S$644,"44713B2Convencional pré-pagamentoRuralNão se aplicaNão se aplicaNão se aplicaNão se aplica",Mercado_Receita!$L$2:$L$644)</f>
        <v>0</v>
      </c>
      <c r="S42" s="13">
        <f>SUMIF(Mercado_Receita!$S$2:$S$644,"44743B2Convencional pré-pagamentoRuralNão se aplicaNão se aplicaNão se aplicaPonta",Mercado_Receita!$L$2:$L$644)+SUMIF(Mercado_Receita!$S$2:$S$644,"44743B2Convencional pré-pagamentoRuralNão se aplicaNão se aplicaNão se aplicaFora ponta",Mercado_Receita!$L$2:$L$644)+SUMIF(Mercado_Receita!$S$2:$S$644,"44743B2Convencional pré-pagamentoRuralNão se aplicaNão se aplicaNão se aplicaIntermediário",Mercado_Receita!$L$2:$L$644)+SUMIF(Mercado_Receita!$S$2:$S$644,"44743B2Convencional pré-pagamentoRuralNão se aplicaNão se aplicaNão se aplicaNão se aplica",Mercado_Receita!$L$2:$L$644)</f>
        <v>0</v>
      </c>
      <c r="T42" s="13">
        <f>SUMIF(Mercado_Receita!$S$2:$S$644,"44774B2Convencional pré-pagamentoRuralNão se aplicaNão se aplicaNão se aplicaPonta",Mercado_Receita!$L$2:$L$644)+SUMIF(Mercado_Receita!$S$2:$S$644,"44774B2Convencional pré-pagamentoRuralNão se aplicaNão se aplicaNão se aplicaFora ponta",Mercado_Receita!$L$2:$L$644)+SUMIF(Mercado_Receita!$S$2:$S$644,"44774B2Convencional pré-pagamentoRuralNão se aplicaNão se aplicaNão se aplicaIntermediário",Mercado_Receita!$L$2:$L$644)+SUMIF(Mercado_Receita!$S$2:$S$644,"44774B2Convencional pré-pagamentoRuralNão se aplicaNão se aplicaNão se aplicaNão se aplica",Mercado_Receita!$L$2:$L$644)</f>
        <v>0</v>
      </c>
      <c r="U42" s="13">
        <f t="shared" si="1"/>
        <v>0</v>
      </c>
      <c r="V42" s="13"/>
      <c r="W42" s="13"/>
    </row>
    <row r="43" spans="1:23" ht="11.25" customHeight="1" x14ac:dyDescent="0.25">
      <c r="A43" s="84"/>
      <c r="B43" s="84"/>
      <c r="C43" s="84"/>
      <c r="D43" s="12" t="s">
        <v>100</v>
      </c>
      <c r="E43" s="12" t="s">
        <v>25</v>
      </c>
      <c r="F43" s="12" t="s">
        <v>25</v>
      </c>
      <c r="G43" s="13" t="s">
        <v>87</v>
      </c>
      <c r="H43" s="13" t="s">
        <v>82</v>
      </c>
      <c r="I43" s="13">
        <f>SUMIF(Mercado_Receita!$S$2:$S$644,"44440B2Convencional pré-pagamentoRuralCooperativa de eletrificação ruralNão se aplicaNão se aplicaPonta",Mercado_Receita!$L$2:$L$644)+SUMIF(Mercado_Receita!$S$2:$S$644,"44440B2Convencional pré-pagamentoRuralCooperativa de eletrificação ruralNão se aplicaNão se aplicaFora ponta",Mercado_Receita!$L$2:$L$644)+SUMIF(Mercado_Receita!$S$2:$S$644,"44440B2Convencional pré-pagamentoRuralCooperativa de eletrificação ruralNão se aplicaNão se aplicaIntermediário",Mercado_Receita!$L$2:$L$644)+SUMIF(Mercado_Receita!$S$2:$S$644,"44440B2Convencional pré-pagamentoRuralCooperativa de eletrificação ruralNão se aplicaNão se aplicaNão se aplica",Mercado_Receita!$L$2:$L$644)</f>
        <v>0</v>
      </c>
      <c r="J43" s="13">
        <f>SUMIF(Mercado_Receita!$S$2:$S$644,"44470B2Convencional pré-pagamentoRuralCooperativa de eletrificação ruralNão se aplicaNão se aplicaPonta",Mercado_Receita!$L$2:$L$644)+SUMIF(Mercado_Receita!$S$2:$S$644,"44470B2Convencional pré-pagamentoRuralCooperativa de eletrificação ruralNão se aplicaNão se aplicaFora ponta",Mercado_Receita!$L$2:$L$644)+SUMIF(Mercado_Receita!$S$2:$S$644,"44470B2Convencional pré-pagamentoRuralCooperativa de eletrificação ruralNão se aplicaNão se aplicaIntermediário",Mercado_Receita!$L$2:$L$644)+SUMIF(Mercado_Receita!$S$2:$S$644,"44470B2Convencional pré-pagamentoRuralCooperativa de eletrificação ruralNão se aplicaNão se aplicaNão se aplica",Mercado_Receita!$L$2:$L$644)</f>
        <v>0</v>
      </c>
      <c r="K43" s="13">
        <f>SUMIF(Mercado_Receita!$S$2:$S$644,"44501B2Convencional pré-pagamentoRuralCooperativa de eletrificação ruralNão se aplicaNão se aplicaPonta",Mercado_Receita!$L$2:$L$644)+SUMIF(Mercado_Receita!$S$2:$S$644,"44501B2Convencional pré-pagamentoRuralCooperativa de eletrificação ruralNão se aplicaNão se aplicaFora ponta",Mercado_Receita!$L$2:$L$644)+SUMIF(Mercado_Receita!$S$2:$S$644,"44501B2Convencional pré-pagamentoRuralCooperativa de eletrificação ruralNão se aplicaNão se aplicaIntermediário",Mercado_Receita!$L$2:$L$644)+SUMIF(Mercado_Receita!$S$2:$S$644,"44501B2Convencional pré-pagamentoRuralCooperativa de eletrificação ruralNão se aplicaNão se aplicaNão se aplica",Mercado_Receita!$L$2:$L$644)</f>
        <v>0</v>
      </c>
      <c r="L43" s="13">
        <f>SUMIF(Mercado_Receita!$S$2:$S$644,"44531B2Convencional pré-pagamentoRuralCooperativa de eletrificação ruralNão se aplicaNão se aplicaPonta",Mercado_Receita!$L$2:$L$644)+SUMIF(Mercado_Receita!$S$2:$S$644,"44531B2Convencional pré-pagamentoRuralCooperativa de eletrificação ruralNão se aplicaNão se aplicaFora ponta",Mercado_Receita!$L$2:$L$644)+SUMIF(Mercado_Receita!$S$2:$S$644,"44531B2Convencional pré-pagamentoRuralCooperativa de eletrificação ruralNão se aplicaNão se aplicaIntermediário",Mercado_Receita!$L$2:$L$644)+SUMIF(Mercado_Receita!$S$2:$S$644,"44531B2Convencional pré-pagamentoRuralCooperativa de eletrificação ruralNão se aplicaNão se aplicaNão se aplica",Mercado_Receita!$L$2:$L$644)</f>
        <v>0</v>
      </c>
      <c r="M43" s="13">
        <f>SUMIF(Mercado_Receita!$S$2:$S$644,"44562B2Convencional pré-pagamentoRuralCooperativa de eletrificação ruralNão se aplicaNão se aplicaPonta",Mercado_Receita!$L$2:$L$644)+SUMIF(Mercado_Receita!$S$2:$S$644,"44562B2Convencional pré-pagamentoRuralCooperativa de eletrificação ruralNão se aplicaNão se aplicaFora ponta",Mercado_Receita!$L$2:$L$644)+SUMIF(Mercado_Receita!$S$2:$S$644,"44562B2Convencional pré-pagamentoRuralCooperativa de eletrificação ruralNão se aplicaNão se aplicaIntermediário",Mercado_Receita!$L$2:$L$644)+SUMIF(Mercado_Receita!$S$2:$S$644,"44562B2Convencional pré-pagamentoRuralCooperativa de eletrificação ruralNão se aplicaNão se aplicaNão se aplica",Mercado_Receita!$L$2:$L$644)</f>
        <v>0</v>
      </c>
      <c r="N43" s="13">
        <f>SUMIF(Mercado_Receita!$S$2:$S$644,"44593B2Convencional pré-pagamentoRuralCooperativa de eletrificação ruralNão se aplicaNão se aplicaPonta",Mercado_Receita!$L$2:$L$644)+SUMIF(Mercado_Receita!$S$2:$S$644,"44593B2Convencional pré-pagamentoRuralCooperativa de eletrificação ruralNão se aplicaNão se aplicaFora ponta",Mercado_Receita!$L$2:$L$644)+SUMIF(Mercado_Receita!$S$2:$S$644,"44593B2Convencional pré-pagamentoRuralCooperativa de eletrificação ruralNão se aplicaNão se aplicaIntermediário",Mercado_Receita!$L$2:$L$644)+SUMIF(Mercado_Receita!$S$2:$S$644,"44593B2Convencional pré-pagamentoRuralCooperativa de eletrificação ruralNão se aplicaNão se aplicaNão se aplica",Mercado_Receita!$L$2:$L$644)</f>
        <v>0</v>
      </c>
      <c r="O43" s="13">
        <f>SUMIF(Mercado_Receita!$S$2:$S$644,"44621B2Convencional pré-pagamentoRuralCooperativa de eletrificação ruralNão se aplicaNão se aplicaPonta",Mercado_Receita!$L$2:$L$644)+SUMIF(Mercado_Receita!$S$2:$S$644,"44621B2Convencional pré-pagamentoRuralCooperativa de eletrificação ruralNão se aplicaNão se aplicaFora ponta",Mercado_Receita!$L$2:$L$644)+SUMIF(Mercado_Receita!$S$2:$S$644,"44621B2Convencional pré-pagamentoRuralCooperativa de eletrificação ruralNão se aplicaNão se aplicaIntermediário",Mercado_Receita!$L$2:$L$644)+SUMIF(Mercado_Receita!$S$2:$S$644,"44621B2Convencional pré-pagamentoRuralCooperativa de eletrificação ruralNão se aplicaNão se aplicaNão se aplica",Mercado_Receita!$L$2:$L$644)</f>
        <v>0</v>
      </c>
      <c r="P43" s="13">
        <f>SUMIF(Mercado_Receita!$S$2:$S$644,"44652B2Convencional pré-pagamentoRuralCooperativa de eletrificação ruralNão se aplicaNão se aplicaPonta",Mercado_Receita!$L$2:$L$644)+SUMIF(Mercado_Receita!$S$2:$S$644,"44652B2Convencional pré-pagamentoRuralCooperativa de eletrificação ruralNão se aplicaNão se aplicaFora ponta",Mercado_Receita!$L$2:$L$644)+SUMIF(Mercado_Receita!$S$2:$S$644,"44652B2Convencional pré-pagamentoRuralCooperativa de eletrificação ruralNão se aplicaNão se aplicaIntermediário",Mercado_Receita!$L$2:$L$644)+SUMIF(Mercado_Receita!$S$2:$S$644,"44652B2Convencional pré-pagamentoRuralCooperativa de eletrificação ruralNão se aplicaNão se aplicaNão se aplica",Mercado_Receita!$L$2:$L$644)</f>
        <v>0</v>
      </c>
      <c r="Q43" s="13">
        <f>SUMIF(Mercado_Receita!$S$2:$S$644,"44682B2Convencional pré-pagamentoRuralCooperativa de eletrificação ruralNão se aplicaNão se aplicaPonta",Mercado_Receita!$L$2:$L$644)+SUMIF(Mercado_Receita!$S$2:$S$644,"44682B2Convencional pré-pagamentoRuralCooperativa de eletrificação ruralNão se aplicaNão se aplicaFora ponta",Mercado_Receita!$L$2:$L$644)+SUMIF(Mercado_Receita!$S$2:$S$644,"44682B2Convencional pré-pagamentoRuralCooperativa de eletrificação ruralNão se aplicaNão se aplicaIntermediário",Mercado_Receita!$L$2:$L$644)+SUMIF(Mercado_Receita!$S$2:$S$644,"44682B2Convencional pré-pagamentoRuralCooperativa de eletrificação ruralNão se aplicaNão se aplicaNão se aplica",Mercado_Receita!$L$2:$L$644)</f>
        <v>0</v>
      </c>
      <c r="R43" s="13">
        <f>SUMIF(Mercado_Receita!$S$2:$S$644,"44713B2Convencional pré-pagamentoRuralCooperativa de eletrificação ruralNão se aplicaNão se aplicaPonta",Mercado_Receita!$L$2:$L$644)+SUMIF(Mercado_Receita!$S$2:$S$644,"44713B2Convencional pré-pagamentoRuralCooperativa de eletrificação ruralNão se aplicaNão se aplicaFora ponta",Mercado_Receita!$L$2:$L$644)+SUMIF(Mercado_Receita!$S$2:$S$644,"44713B2Convencional pré-pagamentoRuralCooperativa de eletrificação ruralNão se aplicaNão se aplicaIntermediário",Mercado_Receita!$L$2:$L$644)+SUMIF(Mercado_Receita!$S$2:$S$644,"44713B2Convencional pré-pagamentoRuralCooperativa de eletrificação ruralNão se aplicaNão se aplicaNão se aplica",Mercado_Receita!$L$2:$L$644)</f>
        <v>0</v>
      </c>
      <c r="S43" s="13">
        <f>SUMIF(Mercado_Receita!$S$2:$S$644,"44743B2Convencional pré-pagamentoRuralCooperativa de eletrificação ruralNão se aplicaNão se aplicaPonta",Mercado_Receita!$L$2:$L$644)+SUMIF(Mercado_Receita!$S$2:$S$644,"44743B2Convencional pré-pagamentoRuralCooperativa de eletrificação ruralNão se aplicaNão se aplicaFora ponta",Mercado_Receita!$L$2:$L$644)+SUMIF(Mercado_Receita!$S$2:$S$644,"44743B2Convencional pré-pagamentoRuralCooperativa de eletrificação ruralNão se aplicaNão se aplicaIntermediário",Mercado_Receita!$L$2:$L$644)+SUMIF(Mercado_Receita!$S$2:$S$644,"44743B2Convencional pré-pagamentoRuralCooperativa de eletrificação ruralNão se aplicaNão se aplicaNão se aplica",Mercado_Receita!$L$2:$L$644)</f>
        <v>0</v>
      </c>
      <c r="T43" s="13">
        <f>SUMIF(Mercado_Receita!$S$2:$S$644,"44774B2Convencional pré-pagamentoRuralCooperativa de eletrificação ruralNão se aplicaNão se aplicaPonta",Mercado_Receita!$L$2:$L$644)+SUMIF(Mercado_Receita!$S$2:$S$644,"44774B2Convencional pré-pagamentoRuralCooperativa de eletrificação ruralNão se aplicaNão se aplicaFora ponta",Mercado_Receita!$L$2:$L$644)+SUMIF(Mercado_Receita!$S$2:$S$644,"44774B2Convencional pré-pagamentoRuralCooperativa de eletrificação ruralNão se aplicaNão se aplicaIntermediário",Mercado_Receita!$L$2:$L$644)+SUMIF(Mercado_Receita!$S$2:$S$644,"44774B2Convencional pré-pagamentoRuralCooperativa de eletrificação ruralNão se aplicaNão se aplicaNão se aplica",Mercado_Receita!$L$2:$L$644)</f>
        <v>0</v>
      </c>
      <c r="U43" s="13">
        <f t="shared" si="1"/>
        <v>0</v>
      </c>
      <c r="V43" s="13"/>
      <c r="W43" s="13"/>
    </row>
    <row r="44" spans="1:23" ht="11.25" customHeight="1" x14ac:dyDescent="0.25">
      <c r="A44" s="84"/>
      <c r="B44" s="84"/>
      <c r="C44" s="84"/>
      <c r="D44" s="12" t="s">
        <v>101</v>
      </c>
      <c r="E44" s="12" t="s">
        <v>25</v>
      </c>
      <c r="F44" s="12" t="s">
        <v>25</v>
      </c>
      <c r="G44" s="13" t="s">
        <v>87</v>
      </c>
      <c r="H44" s="13" t="s">
        <v>82</v>
      </c>
      <c r="I44" s="13">
        <f>SUMIF(Mercado_Receita!$S$2:$S$644,"44440B2Convencional pré-pagamentoRuralServiço público de irrigação ruralNão se aplicaNão se aplicaPonta",Mercado_Receita!$L$2:$L$644)+SUMIF(Mercado_Receita!$S$2:$S$644,"44440B2Convencional pré-pagamentoRuralServiço público de irrigação ruralNão se aplicaNão se aplicaFora ponta",Mercado_Receita!$L$2:$L$644)+SUMIF(Mercado_Receita!$S$2:$S$644,"44440B2Convencional pré-pagamentoRuralServiço público de irrigação ruralNão se aplicaNão se aplicaIntermediário",Mercado_Receita!$L$2:$L$644)+SUMIF(Mercado_Receita!$S$2:$S$644,"44440B2Convencional pré-pagamentoRuralServiço público de irrigação ruralNão se aplicaNão se aplicaNão se aplica",Mercado_Receita!$L$2:$L$644)</f>
        <v>0</v>
      </c>
      <c r="J44" s="13">
        <f>SUMIF(Mercado_Receita!$S$2:$S$644,"44470B2Convencional pré-pagamentoRuralServiço público de irrigação ruralNão se aplicaNão se aplicaPonta",Mercado_Receita!$L$2:$L$644)+SUMIF(Mercado_Receita!$S$2:$S$644,"44470B2Convencional pré-pagamentoRuralServiço público de irrigação ruralNão se aplicaNão se aplicaFora ponta",Mercado_Receita!$L$2:$L$644)+SUMIF(Mercado_Receita!$S$2:$S$644,"44470B2Convencional pré-pagamentoRuralServiço público de irrigação ruralNão se aplicaNão se aplicaIntermediário",Mercado_Receita!$L$2:$L$644)+SUMIF(Mercado_Receita!$S$2:$S$644,"44470B2Convencional pré-pagamentoRuralServiço público de irrigação ruralNão se aplicaNão se aplicaNão se aplica",Mercado_Receita!$L$2:$L$644)</f>
        <v>0</v>
      </c>
      <c r="K44" s="13">
        <f>SUMIF(Mercado_Receita!$S$2:$S$644,"44501B2Convencional pré-pagamentoRuralServiço público de irrigação ruralNão se aplicaNão se aplicaPonta",Mercado_Receita!$L$2:$L$644)+SUMIF(Mercado_Receita!$S$2:$S$644,"44501B2Convencional pré-pagamentoRuralServiço público de irrigação ruralNão se aplicaNão se aplicaFora ponta",Mercado_Receita!$L$2:$L$644)+SUMIF(Mercado_Receita!$S$2:$S$644,"44501B2Convencional pré-pagamentoRuralServiço público de irrigação ruralNão se aplicaNão se aplicaIntermediário",Mercado_Receita!$L$2:$L$644)+SUMIF(Mercado_Receita!$S$2:$S$644,"44501B2Convencional pré-pagamentoRuralServiço público de irrigação ruralNão se aplicaNão se aplicaNão se aplica",Mercado_Receita!$L$2:$L$644)</f>
        <v>0</v>
      </c>
      <c r="L44" s="13">
        <f>SUMIF(Mercado_Receita!$S$2:$S$644,"44531B2Convencional pré-pagamentoRuralServiço público de irrigação ruralNão se aplicaNão se aplicaPonta",Mercado_Receita!$L$2:$L$644)+SUMIF(Mercado_Receita!$S$2:$S$644,"44531B2Convencional pré-pagamentoRuralServiço público de irrigação ruralNão se aplicaNão se aplicaFora ponta",Mercado_Receita!$L$2:$L$644)+SUMIF(Mercado_Receita!$S$2:$S$644,"44531B2Convencional pré-pagamentoRuralServiço público de irrigação ruralNão se aplicaNão se aplicaIntermediário",Mercado_Receita!$L$2:$L$644)+SUMIF(Mercado_Receita!$S$2:$S$644,"44531B2Convencional pré-pagamentoRuralServiço público de irrigação ruralNão se aplicaNão se aplicaNão se aplica",Mercado_Receita!$L$2:$L$644)</f>
        <v>0</v>
      </c>
      <c r="M44" s="13">
        <f>SUMIF(Mercado_Receita!$S$2:$S$644,"44562B2Convencional pré-pagamentoRuralServiço público de irrigação ruralNão se aplicaNão se aplicaPonta",Mercado_Receita!$L$2:$L$644)+SUMIF(Mercado_Receita!$S$2:$S$644,"44562B2Convencional pré-pagamentoRuralServiço público de irrigação ruralNão se aplicaNão se aplicaFora ponta",Mercado_Receita!$L$2:$L$644)+SUMIF(Mercado_Receita!$S$2:$S$644,"44562B2Convencional pré-pagamentoRuralServiço público de irrigação ruralNão se aplicaNão se aplicaIntermediário",Mercado_Receita!$L$2:$L$644)+SUMIF(Mercado_Receita!$S$2:$S$644,"44562B2Convencional pré-pagamentoRuralServiço público de irrigação ruralNão se aplicaNão se aplicaNão se aplica",Mercado_Receita!$L$2:$L$644)</f>
        <v>0</v>
      </c>
      <c r="N44" s="13">
        <f>SUMIF(Mercado_Receita!$S$2:$S$644,"44593B2Convencional pré-pagamentoRuralServiço público de irrigação ruralNão se aplicaNão se aplicaPonta",Mercado_Receita!$L$2:$L$644)+SUMIF(Mercado_Receita!$S$2:$S$644,"44593B2Convencional pré-pagamentoRuralServiço público de irrigação ruralNão se aplicaNão se aplicaFora ponta",Mercado_Receita!$L$2:$L$644)+SUMIF(Mercado_Receita!$S$2:$S$644,"44593B2Convencional pré-pagamentoRuralServiço público de irrigação ruralNão se aplicaNão se aplicaIntermediário",Mercado_Receita!$L$2:$L$644)+SUMIF(Mercado_Receita!$S$2:$S$644,"44593B2Convencional pré-pagamentoRuralServiço público de irrigação ruralNão se aplicaNão se aplicaNão se aplica",Mercado_Receita!$L$2:$L$644)</f>
        <v>0</v>
      </c>
      <c r="O44" s="13">
        <f>SUMIF(Mercado_Receita!$S$2:$S$644,"44621B2Convencional pré-pagamentoRuralServiço público de irrigação ruralNão se aplicaNão se aplicaPonta",Mercado_Receita!$L$2:$L$644)+SUMIF(Mercado_Receita!$S$2:$S$644,"44621B2Convencional pré-pagamentoRuralServiço público de irrigação ruralNão se aplicaNão se aplicaFora ponta",Mercado_Receita!$L$2:$L$644)+SUMIF(Mercado_Receita!$S$2:$S$644,"44621B2Convencional pré-pagamentoRuralServiço público de irrigação ruralNão se aplicaNão se aplicaIntermediário",Mercado_Receita!$L$2:$L$644)+SUMIF(Mercado_Receita!$S$2:$S$644,"44621B2Convencional pré-pagamentoRuralServiço público de irrigação ruralNão se aplicaNão se aplicaNão se aplica",Mercado_Receita!$L$2:$L$644)</f>
        <v>0</v>
      </c>
      <c r="P44" s="13">
        <f>SUMIF(Mercado_Receita!$S$2:$S$644,"44652B2Convencional pré-pagamentoRuralServiço público de irrigação ruralNão se aplicaNão se aplicaPonta",Mercado_Receita!$L$2:$L$644)+SUMIF(Mercado_Receita!$S$2:$S$644,"44652B2Convencional pré-pagamentoRuralServiço público de irrigação ruralNão se aplicaNão se aplicaFora ponta",Mercado_Receita!$L$2:$L$644)+SUMIF(Mercado_Receita!$S$2:$S$644,"44652B2Convencional pré-pagamentoRuralServiço público de irrigação ruralNão se aplicaNão se aplicaIntermediário",Mercado_Receita!$L$2:$L$644)+SUMIF(Mercado_Receita!$S$2:$S$644,"44652B2Convencional pré-pagamentoRuralServiço público de irrigação ruralNão se aplicaNão se aplicaNão se aplica",Mercado_Receita!$L$2:$L$644)</f>
        <v>0</v>
      </c>
      <c r="Q44" s="13">
        <f>SUMIF(Mercado_Receita!$S$2:$S$644,"44682B2Convencional pré-pagamentoRuralServiço público de irrigação ruralNão se aplicaNão se aplicaPonta",Mercado_Receita!$L$2:$L$644)+SUMIF(Mercado_Receita!$S$2:$S$644,"44682B2Convencional pré-pagamentoRuralServiço público de irrigação ruralNão se aplicaNão se aplicaFora ponta",Mercado_Receita!$L$2:$L$644)+SUMIF(Mercado_Receita!$S$2:$S$644,"44682B2Convencional pré-pagamentoRuralServiço público de irrigação ruralNão se aplicaNão se aplicaIntermediário",Mercado_Receita!$L$2:$L$644)+SUMIF(Mercado_Receita!$S$2:$S$644,"44682B2Convencional pré-pagamentoRuralServiço público de irrigação ruralNão se aplicaNão se aplicaNão se aplica",Mercado_Receita!$L$2:$L$644)</f>
        <v>0</v>
      </c>
      <c r="R44" s="13">
        <f>SUMIF(Mercado_Receita!$S$2:$S$644,"44713B2Convencional pré-pagamentoRuralServiço público de irrigação ruralNão se aplicaNão se aplicaPonta",Mercado_Receita!$L$2:$L$644)+SUMIF(Mercado_Receita!$S$2:$S$644,"44713B2Convencional pré-pagamentoRuralServiço público de irrigação ruralNão se aplicaNão se aplicaFora ponta",Mercado_Receita!$L$2:$L$644)+SUMIF(Mercado_Receita!$S$2:$S$644,"44713B2Convencional pré-pagamentoRuralServiço público de irrigação ruralNão se aplicaNão se aplicaIntermediário",Mercado_Receita!$L$2:$L$644)+SUMIF(Mercado_Receita!$S$2:$S$644,"44713B2Convencional pré-pagamentoRuralServiço público de irrigação ruralNão se aplicaNão se aplicaNão se aplica",Mercado_Receita!$L$2:$L$644)</f>
        <v>0</v>
      </c>
      <c r="S44" s="13">
        <f>SUMIF(Mercado_Receita!$S$2:$S$644,"44743B2Convencional pré-pagamentoRuralServiço público de irrigação ruralNão se aplicaNão se aplicaPonta",Mercado_Receita!$L$2:$L$644)+SUMIF(Mercado_Receita!$S$2:$S$644,"44743B2Convencional pré-pagamentoRuralServiço público de irrigação ruralNão se aplicaNão se aplicaFora ponta",Mercado_Receita!$L$2:$L$644)+SUMIF(Mercado_Receita!$S$2:$S$644,"44743B2Convencional pré-pagamentoRuralServiço público de irrigação ruralNão se aplicaNão se aplicaIntermediário",Mercado_Receita!$L$2:$L$644)+SUMIF(Mercado_Receita!$S$2:$S$644,"44743B2Convencional pré-pagamentoRuralServiço público de irrigação ruralNão se aplicaNão se aplicaNão se aplica",Mercado_Receita!$L$2:$L$644)</f>
        <v>0</v>
      </c>
      <c r="T44" s="13">
        <f>SUMIF(Mercado_Receita!$S$2:$S$644,"44774B2Convencional pré-pagamentoRuralServiço público de irrigação ruralNão se aplicaNão se aplicaPonta",Mercado_Receita!$L$2:$L$644)+SUMIF(Mercado_Receita!$S$2:$S$644,"44774B2Convencional pré-pagamentoRuralServiço público de irrigação ruralNão se aplicaNão se aplicaFora ponta",Mercado_Receita!$L$2:$L$644)+SUMIF(Mercado_Receita!$S$2:$S$644,"44774B2Convencional pré-pagamentoRuralServiço público de irrigação ruralNão se aplicaNão se aplicaIntermediário",Mercado_Receita!$L$2:$L$644)+SUMIF(Mercado_Receita!$S$2:$S$644,"44774B2Convencional pré-pagamentoRuralServiço público de irrigação ruralNão se aplicaNão se aplicaNão se aplica",Mercado_Receita!$L$2:$L$644)</f>
        <v>0</v>
      </c>
      <c r="U44" s="13">
        <f t="shared" si="1"/>
        <v>0</v>
      </c>
      <c r="V44" s="13"/>
      <c r="W44" s="13"/>
    </row>
    <row r="45" spans="1:23" ht="11.25" customHeight="1" x14ac:dyDescent="0.25">
      <c r="A45" s="83" t="s">
        <v>33</v>
      </c>
      <c r="B45" s="83" t="s">
        <v>97</v>
      </c>
      <c r="C45" s="83" t="s">
        <v>25</v>
      </c>
      <c r="D45" s="83" t="s">
        <v>25</v>
      </c>
      <c r="E45" s="83" t="s">
        <v>25</v>
      </c>
      <c r="F45" s="83" t="s">
        <v>25</v>
      </c>
      <c r="G45" s="13" t="s">
        <v>83</v>
      </c>
      <c r="H45" s="13" t="s">
        <v>82</v>
      </c>
      <c r="I45" s="13">
        <f>SUMIF(Mercado_Receita!$S$2:$S$644,"44440B3BrancaNão se aplicaNão se aplicaNão se aplicaNão se aplicaPonta",Mercado_Receita!$L$2:$L$644)</f>
        <v>0</v>
      </c>
      <c r="J45" s="13">
        <f>SUMIF(Mercado_Receita!$S$2:$S$644,"44470B3BrancaNão se aplicaNão se aplicaNão se aplicaNão se aplicaPonta",Mercado_Receita!$L$2:$L$644)</f>
        <v>0</v>
      </c>
      <c r="K45" s="13">
        <f>SUMIF(Mercado_Receita!$S$2:$S$644,"44501B3BrancaNão se aplicaNão se aplicaNão se aplicaNão se aplicaPonta",Mercado_Receita!$L$2:$L$644)</f>
        <v>0</v>
      </c>
      <c r="L45" s="13">
        <f>SUMIF(Mercado_Receita!$S$2:$S$644,"44531B3BrancaNão se aplicaNão se aplicaNão se aplicaNão se aplicaPonta",Mercado_Receita!$L$2:$L$644)</f>
        <v>0</v>
      </c>
      <c r="M45" s="13">
        <f>SUMIF(Mercado_Receita!$S$2:$S$644,"44562B3BrancaNão se aplicaNão se aplicaNão se aplicaNão se aplicaPonta",Mercado_Receita!$L$2:$L$644)</f>
        <v>0</v>
      </c>
      <c r="N45" s="13">
        <f>SUMIF(Mercado_Receita!$S$2:$S$644,"44593B3BrancaNão se aplicaNão se aplicaNão se aplicaNão se aplicaPonta",Mercado_Receita!$L$2:$L$644)</f>
        <v>0</v>
      </c>
      <c r="O45" s="13">
        <f>SUMIF(Mercado_Receita!$S$2:$S$644,"44621B3BrancaNão se aplicaNão se aplicaNão se aplicaNão se aplicaPonta",Mercado_Receita!$L$2:$L$644)</f>
        <v>0</v>
      </c>
      <c r="P45" s="13">
        <f>SUMIF(Mercado_Receita!$S$2:$S$644,"44652B3BrancaNão se aplicaNão se aplicaNão se aplicaNão se aplicaPonta",Mercado_Receita!$L$2:$L$644)</f>
        <v>0</v>
      </c>
      <c r="Q45" s="13">
        <f>SUMIF(Mercado_Receita!$S$2:$S$644,"44682B3BrancaNão se aplicaNão se aplicaNão se aplicaNão se aplicaPonta",Mercado_Receita!$L$2:$L$644)</f>
        <v>0</v>
      </c>
      <c r="R45" s="13">
        <f>SUMIF(Mercado_Receita!$S$2:$S$644,"44713B3BrancaNão se aplicaNão se aplicaNão se aplicaNão se aplicaPonta",Mercado_Receita!$L$2:$L$644)</f>
        <v>0</v>
      </c>
      <c r="S45" s="13">
        <f>SUMIF(Mercado_Receita!$S$2:$S$644,"44743B3BrancaNão se aplicaNão se aplicaNão se aplicaNão se aplicaPonta",Mercado_Receita!$L$2:$L$644)</f>
        <v>0</v>
      </c>
      <c r="T45" s="13">
        <f>SUMIF(Mercado_Receita!$S$2:$S$644,"44774B3BrancaNão se aplicaNão se aplicaNão se aplicaNão se aplicaPonta",Mercado_Receita!$L$2:$L$644)</f>
        <v>0</v>
      </c>
      <c r="U45" s="13">
        <f t="shared" si="1"/>
        <v>0</v>
      </c>
      <c r="V45" s="13"/>
      <c r="W45" s="13"/>
    </row>
    <row r="46" spans="1:23" ht="11.25" customHeight="1" x14ac:dyDescent="0.25">
      <c r="A46" s="84"/>
      <c r="B46" s="84"/>
      <c r="C46" s="84"/>
      <c r="D46" s="84"/>
      <c r="E46" s="84"/>
      <c r="F46" s="84"/>
      <c r="G46" s="13" t="s">
        <v>95</v>
      </c>
      <c r="H46" s="13" t="s">
        <v>82</v>
      </c>
      <c r="I46" s="13">
        <f>SUMIF(Mercado_Receita!$S$2:$S$644,"44440B3BrancaNão se aplicaNão se aplicaNão se aplicaNão se aplicaIntermediário",Mercado_Receita!$L$2:$L$644)</f>
        <v>0</v>
      </c>
      <c r="J46" s="13">
        <f>SUMIF(Mercado_Receita!$S$2:$S$644,"44470B3BrancaNão se aplicaNão se aplicaNão se aplicaNão se aplicaIntermediário",Mercado_Receita!$L$2:$L$644)</f>
        <v>0</v>
      </c>
      <c r="K46" s="13">
        <f>SUMIF(Mercado_Receita!$S$2:$S$644,"44501B3BrancaNão se aplicaNão se aplicaNão se aplicaNão se aplicaIntermediário",Mercado_Receita!$L$2:$L$644)</f>
        <v>0</v>
      </c>
      <c r="L46" s="13">
        <f>SUMIF(Mercado_Receita!$S$2:$S$644,"44531B3BrancaNão se aplicaNão se aplicaNão se aplicaNão se aplicaIntermediário",Mercado_Receita!$L$2:$L$644)</f>
        <v>0</v>
      </c>
      <c r="M46" s="13">
        <f>SUMIF(Mercado_Receita!$S$2:$S$644,"44562B3BrancaNão se aplicaNão se aplicaNão se aplicaNão se aplicaIntermediário",Mercado_Receita!$L$2:$L$644)</f>
        <v>0</v>
      </c>
      <c r="N46" s="13">
        <f>SUMIF(Mercado_Receita!$S$2:$S$644,"44593B3BrancaNão se aplicaNão se aplicaNão se aplicaNão se aplicaIntermediário",Mercado_Receita!$L$2:$L$644)</f>
        <v>0</v>
      </c>
      <c r="O46" s="13">
        <f>SUMIF(Mercado_Receita!$S$2:$S$644,"44621B3BrancaNão se aplicaNão se aplicaNão se aplicaNão se aplicaIntermediário",Mercado_Receita!$L$2:$L$644)</f>
        <v>0</v>
      </c>
      <c r="P46" s="13">
        <f>SUMIF(Mercado_Receita!$S$2:$S$644,"44652B3BrancaNão se aplicaNão se aplicaNão se aplicaNão se aplicaIntermediário",Mercado_Receita!$L$2:$L$644)</f>
        <v>0</v>
      </c>
      <c r="Q46" s="13">
        <f>SUMIF(Mercado_Receita!$S$2:$S$644,"44682B3BrancaNão se aplicaNão se aplicaNão se aplicaNão se aplicaIntermediário",Mercado_Receita!$L$2:$L$644)</f>
        <v>0</v>
      </c>
      <c r="R46" s="13">
        <f>SUMIF(Mercado_Receita!$S$2:$S$644,"44713B3BrancaNão se aplicaNão se aplicaNão se aplicaNão se aplicaIntermediário",Mercado_Receita!$L$2:$L$644)</f>
        <v>0</v>
      </c>
      <c r="S46" s="13">
        <f>SUMIF(Mercado_Receita!$S$2:$S$644,"44743B3BrancaNão se aplicaNão se aplicaNão se aplicaNão se aplicaIntermediário",Mercado_Receita!$L$2:$L$644)</f>
        <v>0</v>
      </c>
      <c r="T46" s="13">
        <f>SUMIF(Mercado_Receita!$S$2:$S$644,"44774B3BrancaNão se aplicaNão se aplicaNão se aplicaNão se aplicaIntermediário",Mercado_Receita!$L$2:$L$644)</f>
        <v>0</v>
      </c>
      <c r="U46" s="13">
        <f t="shared" si="1"/>
        <v>0</v>
      </c>
      <c r="V46" s="13"/>
      <c r="W46" s="13"/>
    </row>
    <row r="47" spans="1:23" ht="11.25" customHeight="1" x14ac:dyDescent="0.25">
      <c r="A47" s="84"/>
      <c r="B47" s="84"/>
      <c r="C47" s="84"/>
      <c r="D47" s="84"/>
      <c r="E47" s="84"/>
      <c r="F47" s="84"/>
      <c r="G47" s="13" t="s">
        <v>84</v>
      </c>
      <c r="H47" s="13" t="s">
        <v>82</v>
      </c>
      <c r="I47" s="13">
        <f>SUMIF(Mercado_Receita!$S$2:$S$644,"44440B3BrancaNão se aplicaNão se aplicaNão se aplicaNão se aplicaFora ponta",Mercado_Receita!$L$2:$L$644)</f>
        <v>0</v>
      </c>
      <c r="J47" s="13">
        <f>SUMIF(Mercado_Receita!$S$2:$S$644,"44470B3BrancaNão se aplicaNão se aplicaNão se aplicaNão se aplicaFora ponta",Mercado_Receita!$L$2:$L$644)</f>
        <v>0</v>
      </c>
      <c r="K47" s="13">
        <f>SUMIF(Mercado_Receita!$S$2:$S$644,"44501B3BrancaNão se aplicaNão se aplicaNão se aplicaNão se aplicaFora ponta",Mercado_Receita!$L$2:$L$644)</f>
        <v>0</v>
      </c>
      <c r="L47" s="13">
        <f>SUMIF(Mercado_Receita!$S$2:$S$644,"44531B3BrancaNão se aplicaNão se aplicaNão se aplicaNão se aplicaFora ponta",Mercado_Receita!$L$2:$L$644)</f>
        <v>0</v>
      </c>
      <c r="M47" s="13">
        <f>SUMIF(Mercado_Receita!$S$2:$S$644,"44562B3BrancaNão se aplicaNão se aplicaNão se aplicaNão se aplicaFora ponta",Mercado_Receita!$L$2:$L$644)</f>
        <v>0</v>
      </c>
      <c r="N47" s="13">
        <f>SUMIF(Mercado_Receita!$S$2:$S$644,"44593B3BrancaNão se aplicaNão se aplicaNão se aplicaNão se aplicaFora ponta",Mercado_Receita!$L$2:$L$644)</f>
        <v>0</v>
      </c>
      <c r="O47" s="13">
        <f>SUMIF(Mercado_Receita!$S$2:$S$644,"44621B3BrancaNão se aplicaNão se aplicaNão se aplicaNão se aplicaFora ponta",Mercado_Receita!$L$2:$L$644)</f>
        <v>0</v>
      </c>
      <c r="P47" s="13">
        <f>SUMIF(Mercado_Receita!$S$2:$S$644,"44652B3BrancaNão se aplicaNão se aplicaNão se aplicaNão se aplicaFora ponta",Mercado_Receita!$L$2:$L$644)</f>
        <v>0</v>
      </c>
      <c r="Q47" s="13">
        <f>SUMIF(Mercado_Receita!$S$2:$S$644,"44682B3BrancaNão se aplicaNão se aplicaNão se aplicaNão se aplicaFora ponta",Mercado_Receita!$L$2:$L$644)</f>
        <v>0</v>
      </c>
      <c r="R47" s="13">
        <f>SUMIF(Mercado_Receita!$S$2:$S$644,"44713B3BrancaNão se aplicaNão se aplicaNão se aplicaNão se aplicaFora ponta",Mercado_Receita!$L$2:$L$644)</f>
        <v>0</v>
      </c>
      <c r="S47" s="13">
        <f>SUMIF(Mercado_Receita!$S$2:$S$644,"44743B3BrancaNão se aplicaNão se aplicaNão se aplicaNão se aplicaFora ponta",Mercado_Receita!$L$2:$L$644)</f>
        <v>0</v>
      </c>
      <c r="T47" s="13">
        <f>SUMIF(Mercado_Receita!$S$2:$S$644,"44774B3BrancaNão se aplicaNão se aplicaNão se aplicaNão se aplicaFora ponta",Mercado_Receita!$L$2:$L$644)</f>
        <v>0</v>
      </c>
      <c r="U47" s="13">
        <f t="shared" si="1"/>
        <v>0</v>
      </c>
      <c r="V47" s="13"/>
      <c r="W47" s="13"/>
    </row>
    <row r="48" spans="1:23" ht="11.25" customHeight="1" x14ac:dyDescent="0.25">
      <c r="A48" s="84"/>
      <c r="B48" s="12" t="s">
        <v>23</v>
      </c>
      <c r="C48" s="12" t="s">
        <v>25</v>
      </c>
      <c r="D48" s="12" t="s">
        <v>25</v>
      </c>
      <c r="E48" s="12" t="s">
        <v>25</v>
      </c>
      <c r="F48" s="12" t="s">
        <v>25</v>
      </c>
      <c r="G48" s="13" t="s">
        <v>87</v>
      </c>
      <c r="H48" s="13" t="s">
        <v>82</v>
      </c>
      <c r="I48" s="13">
        <f>SUMIF(Mercado_Receita!$S$2:$S$644,"44440B3ConvencionalNão se aplicaNão se aplicaNão se aplicaNão se aplicaPonta",Mercado_Receita!$L$2:$L$644)+SUMIF(Mercado_Receita!$S$2:$S$644,"44440B3ConvencionalNão se aplicaNão se aplicaNão se aplicaNão se aplicaFora ponta",Mercado_Receita!$L$2:$L$644)+SUMIF(Mercado_Receita!$S$2:$S$644,"44440B3ConvencionalNão se aplicaNão se aplicaNão se aplicaNão se aplicaIntermediário",Mercado_Receita!$L$2:$L$644)+SUMIF(Mercado_Receita!$S$2:$S$644,"44440B3ConvencionalNão se aplicaNão se aplicaNão se aplicaNão se aplicaNão se aplica",Mercado_Receita!$L$2:$L$644)</f>
        <v>1572.3119999999999</v>
      </c>
      <c r="J48" s="13">
        <f>SUMIF(Mercado_Receita!$S$2:$S$644,"44470B3ConvencionalNão se aplicaNão se aplicaNão se aplicaNão se aplicaPonta",Mercado_Receita!$L$2:$L$644)+SUMIF(Mercado_Receita!$S$2:$S$644,"44470B3ConvencionalNão se aplicaNão se aplicaNão se aplicaNão se aplicaFora ponta",Mercado_Receita!$L$2:$L$644)+SUMIF(Mercado_Receita!$S$2:$S$644,"44470B3ConvencionalNão se aplicaNão se aplicaNão se aplicaNão se aplicaIntermediário",Mercado_Receita!$L$2:$L$644)+SUMIF(Mercado_Receita!$S$2:$S$644,"44470B3ConvencionalNão se aplicaNão se aplicaNão se aplicaNão se aplicaNão se aplica",Mercado_Receita!$L$2:$L$644)</f>
        <v>1315.769</v>
      </c>
      <c r="K48" s="13">
        <f>SUMIF(Mercado_Receita!$S$2:$S$644,"44501B3ConvencionalNão se aplicaNão se aplicaNão se aplicaNão se aplicaPonta",Mercado_Receita!$L$2:$L$644)+SUMIF(Mercado_Receita!$S$2:$S$644,"44501B3ConvencionalNão se aplicaNão se aplicaNão se aplicaNão se aplicaFora ponta",Mercado_Receita!$L$2:$L$644)+SUMIF(Mercado_Receita!$S$2:$S$644,"44501B3ConvencionalNão se aplicaNão se aplicaNão se aplicaNão se aplicaIntermediário",Mercado_Receita!$L$2:$L$644)+SUMIF(Mercado_Receita!$S$2:$S$644,"44501B3ConvencionalNão se aplicaNão se aplicaNão se aplicaNão se aplicaNão se aplica",Mercado_Receita!$L$2:$L$644)</f>
        <v>1442.5950000000005</v>
      </c>
      <c r="L48" s="13">
        <f>SUMIF(Mercado_Receita!$S$2:$S$644,"44531B3ConvencionalNão se aplicaNão se aplicaNão se aplicaNão se aplicaPonta",Mercado_Receita!$L$2:$L$644)+SUMIF(Mercado_Receita!$S$2:$S$644,"44531B3ConvencionalNão se aplicaNão se aplicaNão se aplicaNão se aplicaFora ponta",Mercado_Receita!$L$2:$L$644)+SUMIF(Mercado_Receita!$S$2:$S$644,"44531B3ConvencionalNão se aplicaNão se aplicaNão se aplicaNão se aplicaIntermediário",Mercado_Receita!$L$2:$L$644)+SUMIF(Mercado_Receita!$S$2:$S$644,"44531B3ConvencionalNão se aplicaNão se aplicaNão se aplicaNão se aplicaNão se aplica",Mercado_Receita!$L$2:$L$644)</f>
        <v>1812.8980000000001</v>
      </c>
      <c r="M48" s="13">
        <f>SUMIF(Mercado_Receita!$S$2:$S$644,"44562B3ConvencionalNão se aplicaNão se aplicaNão se aplicaNão se aplicaPonta",Mercado_Receita!$L$2:$L$644)+SUMIF(Mercado_Receita!$S$2:$S$644,"44562B3ConvencionalNão se aplicaNão se aplicaNão se aplicaNão se aplicaFora ponta",Mercado_Receita!$L$2:$L$644)+SUMIF(Mercado_Receita!$S$2:$S$644,"44562B3ConvencionalNão se aplicaNão se aplicaNão se aplicaNão se aplicaIntermediário",Mercado_Receita!$L$2:$L$644)+SUMIF(Mercado_Receita!$S$2:$S$644,"44562B3ConvencionalNão se aplicaNão se aplicaNão se aplicaNão se aplicaNão se aplica",Mercado_Receita!$L$2:$L$644)</f>
        <v>1697.6369999999999</v>
      </c>
      <c r="N48" s="13">
        <f>SUMIF(Mercado_Receita!$S$2:$S$644,"44593B3ConvencionalNão se aplicaNão se aplicaNão se aplicaNão se aplicaPonta",Mercado_Receita!$L$2:$L$644)+SUMIF(Mercado_Receita!$S$2:$S$644,"44593B3ConvencionalNão se aplicaNão se aplicaNão se aplicaNão se aplicaFora ponta",Mercado_Receita!$L$2:$L$644)+SUMIF(Mercado_Receita!$S$2:$S$644,"44593B3ConvencionalNão se aplicaNão se aplicaNão se aplicaNão se aplicaIntermediário",Mercado_Receita!$L$2:$L$644)+SUMIF(Mercado_Receita!$S$2:$S$644,"44593B3ConvencionalNão se aplicaNão se aplicaNão se aplicaNão se aplicaNão se aplica",Mercado_Receita!$L$2:$L$644)</f>
        <v>2139.3559999999998</v>
      </c>
      <c r="O48" s="13">
        <f>SUMIF(Mercado_Receita!$S$2:$S$644,"44621B3ConvencionalNão se aplicaNão se aplicaNão se aplicaNão se aplicaPonta",Mercado_Receita!$L$2:$L$644)+SUMIF(Mercado_Receita!$S$2:$S$644,"44621B3ConvencionalNão se aplicaNão se aplicaNão se aplicaNão se aplicaFora ponta",Mercado_Receita!$L$2:$L$644)+SUMIF(Mercado_Receita!$S$2:$S$644,"44621B3ConvencionalNão se aplicaNão se aplicaNão se aplicaNão se aplicaIntermediário",Mercado_Receita!$L$2:$L$644)+SUMIF(Mercado_Receita!$S$2:$S$644,"44621B3ConvencionalNão se aplicaNão se aplicaNão se aplicaNão se aplicaNão se aplica",Mercado_Receita!$L$2:$L$644)</f>
        <v>1945.8989999999999</v>
      </c>
      <c r="P48" s="13">
        <f>SUMIF(Mercado_Receita!$S$2:$S$644,"44652B3ConvencionalNão se aplicaNão se aplicaNão se aplicaNão se aplicaPonta",Mercado_Receita!$L$2:$L$644)+SUMIF(Mercado_Receita!$S$2:$S$644,"44652B3ConvencionalNão se aplicaNão se aplicaNão se aplicaNão se aplicaFora ponta",Mercado_Receita!$L$2:$L$644)+SUMIF(Mercado_Receita!$S$2:$S$644,"44652B3ConvencionalNão se aplicaNão se aplicaNão se aplicaNão se aplicaIntermediário",Mercado_Receita!$L$2:$L$644)+SUMIF(Mercado_Receita!$S$2:$S$644,"44652B3ConvencionalNão se aplicaNão se aplicaNão se aplicaNão se aplicaNão se aplica",Mercado_Receita!$L$2:$L$644)</f>
        <v>1647.6650000000002</v>
      </c>
      <c r="Q48" s="13">
        <f>SUMIF(Mercado_Receita!$S$2:$S$644,"44682B3ConvencionalNão se aplicaNão se aplicaNão se aplicaNão se aplicaPonta",Mercado_Receita!$L$2:$L$644)+SUMIF(Mercado_Receita!$S$2:$S$644,"44682B3ConvencionalNão se aplicaNão se aplicaNão se aplicaNão se aplicaFora ponta",Mercado_Receita!$L$2:$L$644)+SUMIF(Mercado_Receita!$S$2:$S$644,"44682B3ConvencionalNão se aplicaNão se aplicaNão se aplicaNão se aplicaIntermediário",Mercado_Receita!$L$2:$L$644)+SUMIF(Mercado_Receita!$S$2:$S$644,"44682B3ConvencionalNão se aplicaNão se aplicaNão se aplicaNão se aplicaNão se aplica",Mercado_Receita!$L$2:$L$644)</f>
        <v>1481.479</v>
      </c>
      <c r="R48" s="13">
        <f>SUMIF(Mercado_Receita!$S$2:$S$644,"44713B3ConvencionalNão se aplicaNão se aplicaNão se aplicaNão se aplicaPonta",Mercado_Receita!$L$2:$L$644)+SUMIF(Mercado_Receita!$S$2:$S$644,"44713B3ConvencionalNão se aplicaNão se aplicaNão se aplicaNão se aplicaFora ponta",Mercado_Receita!$L$2:$L$644)+SUMIF(Mercado_Receita!$S$2:$S$644,"44713B3ConvencionalNão se aplicaNão se aplicaNão se aplicaNão se aplicaIntermediário",Mercado_Receita!$L$2:$L$644)+SUMIF(Mercado_Receita!$S$2:$S$644,"44713B3ConvencionalNão se aplicaNão se aplicaNão se aplicaNão se aplicaNão se aplica",Mercado_Receita!$L$2:$L$644)</f>
        <v>1539.644</v>
      </c>
      <c r="S48" s="13">
        <f>SUMIF(Mercado_Receita!$S$2:$S$644,"44743B3ConvencionalNão se aplicaNão se aplicaNão se aplicaNão se aplicaPonta",Mercado_Receita!$L$2:$L$644)+SUMIF(Mercado_Receita!$S$2:$S$644,"44743B3ConvencionalNão se aplicaNão se aplicaNão se aplicaNão se aplicaFora ponta",Mercado_Receita!$L$2:$L$644)+SUMIF(Mercado_Receita!$S$2:$S$644,"44743B3ConvencionalNão se aplicaNão se aplicaNão se aplicaNão se aplicaIntermediário",Mercado_Receita!$L$2:$L$644)+SUMIF(Mercado_Receita!$S$2:$S$644,"44743B3ConvencionalNão se aplicaNão se aplicaNão se aplicaNão se aplicaNão se aplica",Mercado_Receita!$L$2:$L$644)</f>
        <v>1402.5739999999996</v>
      </c>
      <c r="T48" s="13">
        <f>SUMIF(Mercado_Receita!$S$2:$S$644,"44774B3ConvencionalNão se aplicaNão se aplicaNão se aplicaNão se aplicaPonta",Mercado_Receita!$L$2:$L$644)+SUMIF(Mercado_Receita!$S$2:$S$644,"44774B3ConvencionalNão se aplicaNão se aplicaNão se aplicaNão se aplicaFora ponta",Mercado_Receita!$L$2:$L$644)+SUMIF(Mercado_Receita!$S$2:$S$644,"44774B3ConvencionalNão se aplicaNão se aplicaNão se aplicaNão se aplicaIntermediário",Mercado_Receita!$L$2:$L$644)+SUMIF(Mercado_Receita!$S$2:$S$644,"44774B3ConvencionalNão se aplicaNão se aplicaNão se aplicaNão se aplicaNão se aplica",Mercado_Receita!$L$2:$L$644)</f>
        <v>1571.4609999999998</v>
      </c>
      <c r="U48" s="13">
        <f t="shared" si="1"/>
        <v>19569.288999999997</v>
      </c>
      <c r="V48" s="13"/>
      <c r="W48" s="13"/>
    </row>
    <row r="49" spans="1:23" ht="11.25" customHeight="1" x14ac:dyDescent="0.25">
      <c r="A49" s="84"/>
      <c r="B49" s="12" t="s">
        <v>99</v>
      </c>
      <c r="C49" s="12" t="s">
        <v>25</v>
      </c>
      <c r="D49" s="12" t="s">
        <v>25</v>
      </c>
      <c r="E49" s="12" t="s">
        <v>25</v>
      </c>
      <c r="F49" s="12" t="s">
        <v>25</v>
      </c>
      <c r="G49" s="13" t="s">
        <v>87</v>
      </c>
      <c r="H49" s="13" t="s">
        <v>82</v>
      </c>
      <c r="I49" s="13">
        <f>SUMIF(Mercado_Receita!$S$2:$S$644,"44440B3Convencional pré-pagamentoNão se aplicaNão se aplicaNão se aplicaNão se aplicaPonta",Mercado_Receita!$L$2:$L$644)+SUMIF(Mercado_Receita!$S$2:$S$644,"44440B3Convencional pré-pagamentoNão se aplicaNão se aplicaNão se aplicaNão se aplicaFora ponta",Mercado_Receita!$L$2:$L$644)+SUMIF(Mercado_Receita!$S$2:$S$644,"44440B3Convencional pré-pagamentoNão se aplicaNão se aplicaNão se aplicaNão se aplicaIntermediário",Mercado_Receita!$L$2:$L$644)+SUMIF(Mercado_Receita!$S$2:$S$644,"44440B3Convencional pré-pagamentoNão se aplicaNão se aplicaNão se aplicaNão se aplicaNão se aplica",Mercado_Receita!$L$2:$L$644)</f>
        <v>0</v>
      </c>
      <c r="J49" s="13">
        <f>SUMIF(Mercado_Receita!$S$2:$S$644,"44470B3Convencional pré-pagamentoNão se aplicaNão se aplicaNão se aplicaNão se aplicaPonta",Mercado_Receita!$L$2:$L$644)+SUMIF(Mercado_Receita!$S$2:$S$644,"44470B3Convencional pré-pagamentoNão se aplicaNão se aplicaNão se aplicaNão se aplicaFora ponta",Mercado_Receita!$L$2:$L$644)+SUMIF(Mercado_Receita!$S$2:$S$644,"44470B3Convencional pré-pagamentoNão se aplicaNão se aplicaNão se aplicaNão se aplicaIntermediário",Mercado_Receita!$L$2:$L$644)+SUMIF(Mercado_Receita!$S$2:$S$644,"44470B3Convencional pré-pagamentoNão se aplicaNão se aplicaNão se aplicaNão se aplicaNão se aplica",Mercado_Receita!$L$2:$L$644)</f>
        <v>0</v>
      </c>
      <c r="K49" s="13">
        <f>SUMIF(Mercado_Receita!$S$2:$S$644,"44501B3Convencional pré-pagamentoNão se aplicaNão se aplicaNão se aplicaNão se aplicaPonta",Mercado_Receita!$L$2:$L$644)+SUMIF(Mercado_Receita!$S$2:$S$644,"44501B3Convencional pré-pagamentoNão se aplicaNão se aplicaNão se aplicaNão se aplicaFora ponta",Mercado_Receita!$L$2:$L$644)+SUMIF(Mercado_Receita!$S$2:$S$644,"44501B3Convencional pré-pagamentoNão se aplicaNão se aplicaNão se aplicaNão se aplicaIntermediário",Mercado_Receita!$L$2:$L$644)+SUMIF(Mercado_Receita!$S$2:$S$644,"44501B3Convencional pré-pagamentoNão se aplicaNão se aplicaNão se aplicaNão se aplicaNão se aplica",Mercado_Receita!$L$2:$L$644)</f>
        <v>0</v>
      </c>
      <c r="L49" s="13">
        <f>SUMIF(Mercado_Receita!$S$2:$S$644,"44531B3Convencional pré-pagamentoNão se aplicaNão se aplicaNão se aplicaNão se aplicaPonta",Mercado_Receita!$L$2:$L$644)+SUMIF(Mercado_Receita!$S$2:$S$644,"44531B3Convencional pré-pagamentoNão se aplicaNão se aplicaNão se aplicaNão se aplicaFora ponta",Mercado_Receita!$L$2:$L$644)+SUMIF(Mercado_Receita!$S$2:$S$644,"44531B3Convencional pré-pagamentoNão se aplicaNão se aplicaNão se aplicaNão se aplicaIntermediário",Mercado_Receita!$L$2:$L$644)+SUMIF(Mercado_Receita!$S$2:$S$644,"44531B3Convencional pré-pagamentoNão se aplicaNão se aplicaNão se aplicaNão se aplicaNão se aplica",Mercado_Receita!$L$2:$L$644)</f>
        <v>0</v>
      </c>
      <c r="M49" s="13">
        <f>SUMIF(Mercado_Receita!$S$2:$S$644,"44562B3Convencional pré-pagamentoNão se aplicaNão se aplicaNão se aplicaNão se aplicaPonta",Mercado_Receita!$L$2:$L$644)+SUMIF(Mercado_Receita!$S$2:$S$644,"44562B3Convencional pré-pagamentoNão se aplicaNão se aplicaNão se aplicaNão se aplicaFora ponta",Mercado_Receita!$L$2:$L$644)+SUMIF(Mercado_Receita!$S$2:$S$644,"44562B3Convencional pré-pagamentoNão se aplicaNão se aplicaNão se aplicaNão se aplicaIntermediário",Mercado_Receita!$L$2:$L$644)+SUMIF(Mercado_Receita!$S$2:$S$644,"44562B3Convencional pré-pagamentoNão se aplicaNão se aplicaNão se aplicaNão se aplicaNão se aplica",Mercado_Receita!$L$2:$L$644)</f>
        <v>0</v>
      </c>
      <c r="N49" s="13">
        <f>SUMIF(Mercado_Receita!$S$2:$S$644,"44593B3Convencional pré-pagamentoNão se aplicaNão se aplicaNão se aplicaNão se aplicaPonta",Mercado_Receita!$L$2:$L$644)+SUMIF(Mercado_Receita!$S$2:$S$644,"44593B3Convencional pré-pagamentoNão se aplicaNão se aplicaNão se aplicaNão se aplicaFora ponta",Mercado_Receita!$L$2:$L$644)+SUMIF(Mercado_Receita!$S$2:$S$644,"44593B3Convencional pré-pagamentoNão se aplicaNão se aplicaNão se aplicaNão se aplicaIntermediário",Mercado_Receita!$L$2:$L$644)+SUMIF(Mercado_Receita!$S$2:$S$644,"44593B3Convencional pré-pagamentoNão se aplicaNão se aplicaNão se aplicaNão se aplicaNão se aplica",Mercado_Receita!$L$2:$L$644)</f>
        <v>0</v>
      </c>
      <c r="O49" s="13">
        <f>SUMIF(Mercado_Receita!$S$2:$S$644,"44621B3Convencional pré-pagamentoNão se aplicaNão se aplicaNão se aplicaNão se aplicaPonta",Mercado_Receita!$L$2:$L$644)+SUMIF(Mercado_Receita!$S$2:$S$644,"44621B3Convencional pré-pagamentoNão se aplicaNão se aplicaNão se aplicaNão se aplicaFora ponta",Mercado_Receita!$L$2:$L$644)+SUMIF(Mercado_Receita!$S$2:$S$644,"44621B3Convencional pré-pagamentoNão se aplicaNão se aplicaNão se aplicaNão se aplicaIntermediário",Mercado_Receita!$L$2:$L$644)+SUMIF(Mercado_Receita!$S$2:$S$644,"44621B3Convencional pré-pagamentoNão se aplicaNão se aplicaNão se aplicaNão se aplicaNão se aplica",Mercado_Receita!$L$2:$L$644)</f>
        <v>0</v>
      </c>
      <c r="P49" s="13">
        <f>SUMIF(Mercado_Receita!$S$2:$S$644,"44652B3Convencional pré-pagamentoNão se aplicaNão se aplicaNão se aplicaNão se aplicaPonta",Mercado_Receita!$L$2:$L$644)+SUMIF(Mercado_Receita!$S$2:$S$644,"44652B3Convencional pré-pagamentoNão se aplicaNão se aplicaNão se aplicaNão se aplicaFora ponta",Mercado_Receita!$L$2:$L$644)+SUMIF(Mercado_Receita!$S$2:$S$644,"44652B3Convencional pré-pagamentoNão se aplicaNão se aplicaNão se aplicaNão se aplicaIntermediário",Mercado_Receita!$L$2:$L$644)+SUMIF(Mercado_Receita!$S$2:$S$644,"44652B3Convencional pré-pagamentoNão se aplicaNão se aplicaNão se aplicaNão se aplicaNão se aplica",Mercado_Receita!$L$2:$L$644)</f>
        <v>0</v>
      </c>
      <c r="Q49" s="13">
        <f>SUMIF(Mercado_Receita!$S$2:$S$644,"44682B3Convencional pré-pagamentoNão se aplicaNão se aplicaNão se aplicaNão se aplicaPonta",Mercado_Receita!$L$2:$L$644)+SUMIF(Mercado_Receita!$S$2:$S$644,"44682B3Convencional pré-pagamentoNão se aplicaNão se aplicaNão se aplicaNão se aplicaFora ponta",Mercado_Receita!$L$2:$L$644)+SUMIF(Mercado_Receita!$S$2:$S$644,"44682B3Convencional pré-pagamentoNão se aplicaNão se aplicaNão se aplicaNão se aplicaIntermediário",Mercado_Receita!$L$2:$L$644)+SUMIF(Mercado_Receita!$S$2:$S$644,"44682B3Convencional pré-pagamentoNão se aplicaNão se aplicaNão se aplicaNão se aplicaNão se aplica",Mercado_Receita!$L$2:$L$644)</f>
        <v>0</v>
      </c>
      <c r="R49" s="13">
        <f>SUMIF(Mercado_Receita!$S$2:$S$644,"44713B3Convencional pré-pagamentoNão se aplicaNão se aplicaNão se aplicaNão se aplicaPonta",Mercado_Receita!$L$2:$L$644)+SUMIF(Mercado_Receita!$S$2:$S$644,"44713B3Convencional pré-pagamentoNão se aplicaNão se aplicaNão se aplicaNão se aplicaFora ponta",Mercado_Receita!$L$2:$L$644)+SUMIF(Mercado_Receita!$S$2:$S$644,"44713B3Convencional pré-pagamentoNão se aplicaNão se aplicaNão se aplicaNão se aplicaIntermediário",Mercado_Receita!$L$2:$L$644)+SUMIF(Mercado_Receita!$S$2:$S$644,"44713B3Convencional pré-pagamentoNão se aplicaNão se aplicaNão se aplicaNão se aplicaNão se aplica",Mercado_Receita!$L$2:$L$644)</f>
        <v>0</v>
      </c>
      <c r="S49" s="13">
        <f>SUMIF(Mercado_Receita!$S$2:$S$644,"44743B3Convencional pré-pagamentoNão se aplicaNão se aplicaNão se aplicaNão se aplicaPonta",Mercado_Receita!$L$2:$L$644)+SUMIF(Mercado_Receita!$S$2:$S$644,"44743B3Convencional pré-pagamentoNão se aplicaNão se aplicaNão se aplicaNão se aplicaFora ponta",Mercado_Receita!$L$2:$L$644)+SUMIF(Mercado_Receita!$S$2:$S$644,"44743B3Convencional pré-pagamentoNão se aplicaNão se aplicaNão se aplicaNão se aplicaIntermediário",Mercado_Receita!$L$2:$L$644)+SUMIF(Mercado_Receita!$S$2:$S$644,"44743B3Convencional pré-pagamentoNão se aplicaNão se aplicaNão se aplicaNão se aplicaNão se aplica",Mercado_Receita!$L$2:$L$644)</f>
        <v>0</v>
      </c>
      <c r="T49" s="13">
        <f>SUMIF(Mercado_Receita!$S$2:$S$644,"44774B3Convencional pré-pagamentoNão se aplicaNão se aplicaNão se aplicaNão se aplicaPonta",Mercado_Receita!$L$2:$L$644)+SUMIF(Mercado_Receita!$S$2:$S$644,"44774B3Convencional pré-pagamentoNão se aplicaNão se aplicaNão se aplicaNão se aplicaFora ponta",Mercado_Receita!$L$2:$L$644)+SUMIF(Mercado_Receita!$S$2:$S$644,"44774B3Convencional pré-pagamentoNão se aplicaNão se aplicaNão se aplicaNão se aplicaIntermediário",Mercado_Receita!$L$2:$L$644)+SUMIF(Mercado_Receita!$S$2:$S$644,"44774B3Convencional pré-pagamentoNão se aplicaNão se aplicaNão se aplicaNão se aplicaNão se aplica",Mercado_Receita!$L$2:$L$644)</f>
        <v>0</v>
      </c>
      <c r="U49" s="13">
        <f t="shared" si="1"/>
        <v>0</v>
      </c>
      <c r="V49" s="13"/>
      <c r="W49" s="13"/>
    </row>
    <row r="50" spans="1:23" ht="11.25" customHeight="1" x14ac:dyDescent="0.25">
      <c r="A50" s="83" t="s">
        <v>43</v>
      </c>
      <c r="B50" s="83" t="s">
        <v>23</v>
      </c>
      <c r="C50" s="83" t="s">
        <v>44</v>
      </c>
      <c r="D50" s="12" t="s">
        <v>45</v>
      </c>
      <c r="E50" s="12" t="s">
        <v>25</v>
      </c>
      <c r="F50" s="12" t="s">
        <v>25</v>
      </c>
      <c r="G50" s="13" t="s">
        <v>87</v>
      </c>
      <c r="H50" s="13" t="s">
        <v>82</v>
      </c>
      <c r="I50" s="13">
        <f>SUMIF(Mercado_Receita!$S$2:$S$644,"44440B4ConvencionalIluminação públicaIluminação pública – B4aNão se aplicaNão se aplicaPonta",Mercado_Receita!$L$2:$L$644)+SUMIF(Mercado_Receita!$S$2:$S$644,"44440B4ConvencionalIluminação públicaIluminação pública – B4aNão se aplicaNão se aplicaFora ponta",Mercado_Receita!$L$2:$L$644)+SUMIF(Mercado_Receita!$S$2:$S$644,"44440B4ConvencionalIluminação públicaIluminação pública – B4aNão se aplicaNão se aplicaIntermediário",Mercado_Receita!$L$2:$L$644)+SUMIF(Mercado_Receita!$S$2:$S$644,"44440B4ConvencionalIluminação públicaIluminação pública – B4aNão se aplicaNão se aplicaNão se aplica",Mercado_Receita!$L$2:$L$644)</f>
        <v>476.20100000000002</v>
      </c>
      <c r="J50" s="13">
        <f>SUMIF(Mercado_Receita!$S$2:$S$644,"44470B4ConvencionalIluminação públicaIluminação pública – B4aNão se aplicaNão se aplicaPonta",Mercado_Receita!$L$2:$L$644)+SUMIF(Mercado_Receita!$S$2:$S$644,"44470B4ConvencionalIluminação públicaIluminação pública – B4aNão se aplicaNão se aplicaFora ponta",Mercado_Receita!$L$2:$L$644)+SUMIF(Mercado_Receita!$S$2:$S$644,"44470B4ConvencionalIluminação públicaIluminação pública – B4aNão se aplicaNão se aplicaIntermediário",Mercado_Receita!$L$2:$L$644)+SUMIF(Mercado_Receita!$S$2:$S$644,"44470B4ConvencionalIluminação públicaIluminação pública – B4aNão se aplicaNão se aplicaNão se aplica",Mercado_Receita!$L$2:$L$644)</f>
        <v>476.90100000000001</v>
      </c>
      <c r="K50" s="13">
        <f>SUMIF(Mercado_Receita!$S$2:$S$644,"44501B4ConvencionalIluminação públicaIluminação pública – B4aNão se aplicaNão se aplicaPonta",Mercado_Receita!$L$2:$L$644)+SUMIF(Mercado_Receita!$S$2:$S$644,"44501B4ConvencionalIluminação públicaIluminação pública – B4aNão se aplicaNão se aplicaFora ponta",Mercado_Receita!$L$2:$L$644)+SUMIF(Mercado_Receita!$S$2:$S$644,"44501B4ConvencionalIluminação públicaIluminação pública – B4aNão se aplicaNão se aplicaIntermediário",Mercado_Receita!$L$2:$L$644)+SUMIF(Mercado_Receita!$S$2:$S$644,"44501B4ConvencionalIluminação públicaIluminação pública – B4aNão se aplicaNão se aplicaNão se aplica",Mercado_Receita!$L$2:$L$644)</f>
        <v>457.16300000000001</v>
      </c>
      <c r="L50" s="13">
        <f>SUMIF(Mercado_Receita!$S$2:$S$644,"44531B4ConvencionalIluminação públicaIluminação pública – B4aNão se aplicaNão se aplicaPonta",Mercado_Receita!$L$2:$L$644)+SUMIF(Mercado_Receita!$S$2:$S$644,"44531B4ConvencionalIluminação públicaIluminação pública – B4aNão se aplicaNão se aplicaFora ponta",Mercado_Receita!$L$2:$L$644)+SUMIF(Mercado_Receita!$S$2:$S$644,"44531B4ConvencionalIluminação públicaIluminação pública – B4aNão se aplicaNão se aplicaIntermediário",Mercado_Receita!$L$2:$L$644)+SUMIF(Mercado_Receita!$S$2:$S$644,"44531B4ConvencionalIluminação públicaIluminação pública – B4aNão se aplicaNão se aplicaNão se aplica",Mercado_Receita!$L$2:$L$644)</f>
        <v>437.16899999999998</v>
      </c>
      <c r="M50" s="13">
        <f>SUMIF(Mercado_Receita!$S$2:$S$644,"44562B4ConvencionalIluminação públicaIluminação pública – B4aNão se aplicaNão se aplicaPonta",Mercado_Receita!$L$2:$L$644)+SUMIF(Mercado_Receita!$S$2:$S$644,"44562B4ConvencionalIluminação públicaIluminação pública – B4aNão se aplicaNão se aplicaFora ponta",Mercado_Receita!$L$2:$L$644)+SUMIF(Mercado_Receita!$S$2:$S$644,"44562B4ConvencionalIluminação públicaIluminação pública – B4aNão se aplicaNão se aplicaIntermediário",Mercado_Receita!$L$2:$L$644)+SUMIF(Mercado_Receita!$S$2:$S$644,"44562B4ConvencionalIluminação públicaIluminação pública – B4aNão se aplicaNão se aplicaNão se aplica",Mercado_Receita!$L$2:$L$644)</f>
        <v>409.19</v>
      </c>
      <c r="N50" s="13">
        <f>SUMIF(Mercado_Receita!$S$2:$S$644,"44593B4ConvencionalIluminação públicaIluminação pública – B4aNão se aplicaNão se aplicaPonta",Mercado_Receita!$L$2:$L$644)+SUMIF(Mercado_Receita!$S$2:$S$644,"44593B4ConvencionalIluminação públicaIluminação pública – B4aNão se aplicaNão se aplicaFora ponta",Mercado_Receita!$L$2:$L$644)+SUMIF(Mercado_Receita!$S$2:$S$644,"44593B4ConvencionalIluminação públicaIluminação pública – B4aNão se aplicaNão se aplicaIntermediário",Mercado_Receita!$L$2:$L$644)+SUMIF(Mercado_Receita!$S$2:$S$644,"44593B4ConvencionalIluminação públicaIluminação pública – B4aNão se aplicaNão se aplicaNão se aplica",Mercado_Receita!$L$2:$L$644)</f>
        <v>372.28399999999999</v>
      </c>
      <c r="O50" s="13">
        <f>SUMIF(Mercado_Receita!$S$2:$S$644,"44621B4ConvencionalIluminação públicaIluminação pública – B4aNão se aplicaNão se aplicaPonta",Mercado_Receita!$L$2:$L$644)+SUMIF(Mercado_Receita!$S$2:$S$644,"44621B4ConvencionalIluminação públicaIluminação pública – B4aNão se aplicaNão se aplicaFora ponta",Mercado_Receita!$L$2:$L$644)+SUMIF(Mercado_Receita!$S$2:$S$644,"44621B4ConvencionalIluminação públicaIluminação pública – B4aNão se aplicaNão se aplicaIntermediário",Mercado_Receita!$L$2:$L$644)+SUMIF(Mercado_Receita!$S$2:$S$644,"44621B4ConvencionalIluminação públicaIluminação pública – B4aNão se aplicaNão se aplicaNão se aplica",Mercado_Receita!$L$2:$L$644)</f>
        <v>349.851</v>
      </c>
      <c r="P50" s="13">
        <f>SUMIF(Mercado_Receita!$S$2:$S$644,"44652B4ConvencionalIluminação públicaIluminação pública – B4aNão se aplicaNão se aplicaPonta",Mercado_Receita!$L$2:$L$644)+SUMIF(Mercado_Receita!$S$2:$S$644,"44652B4ConvencionalIluminação públicaIluminação pública – B4aNão se aplicaNão se aplicaFora ponta",Mercado_Receita!$L$2:$L$644)+SUMIF(Mercado_Receita!$S$2:$S$644,"44652B4ConvencionalIluminação públicaIluminação pública – B4aNão se aplicaNão se aplicaIntermediário",Mercado_Receita!$L$2:$L$644)+SUMIF(Mercado_Receita!$S$2:$S$644,"44652B4ConvencionalIluminação públicaIluminação pública – B4aNão se aplicaNão se aplicaNão se aplica",Mercado_Receita!$L$2:$L$644)</f>
        <v>308.34399999999999</v>
      </c>
      <c r="Q50" s="13">
        <f>SUMIF(Mercado_Receita!$S$2:$S$644,"44682B4ConvencionalIluminação públicaIluminação pública – B4aNão se aplicaNão se aplicaPonta",Mercado_Receita!$L$2:$L$644)+SUMIF(Mercado_Receita!$S$2:$S$644,"44682B4ConvencionalIluminação públicaIluminação pública – B4aNão se aplicaNão se aplicaFora ponta",Mercado_Receita!$L$2:$L$644)+SUMIF(Mercado_Receita!$S$2:$S$644,"44682B4ConvencionalIluminação públicaIluminação pública – B4aNão se aplicaNão se aplicaIntermediário",Mercado_Receita!$L$2:$L$644)+SUMIF(Mercado_Receita!$S$2:$S$644,"44682B4ConvencionalIluminação públicaIluminação pública – B4aNão se aplicaNão se aplicaNão se aplica",Mercado_Receita!$L$2:$L$644)</f>
        <v>313.791</v>
      </c>
      <c r="R50" s="13">
        <f>SUMIF(Mercado_Receita!$S$2:$S$644,"44713B4ConvencionalIluminação públicaIluminação pública – B4aNão se aplicaNão se aplicaPonta",Mercado_Receita!$L$2:$L$644)+SUMIF(Mercado_Receita!$S$2:$S$644,"44713B4ConvencionalIluminação públicaIluminação pública – B4aNão se aplicaNão se aplicaFora ponta",Mercado_Receita!$L$2:$L$644)+SUMIF(Mercado_Receita!$S$2:$S$644,"44713B4ConvencionalIluminação públicaIluminação pública – B4aNão se aplicaNão se aplicaIntermediário",Mercado_Receita!$L$2:$L$644)+SUMIF(Mercado_Receita!$S$2:$S$644,"44713B4ConvencionalIluminação públicaIluminação pública – B4aNão se aplicaNão se aplicaNão se aplica",Mercado_Receita!$L$2:$L$644)</f>
        <v>308.44099999999997</v>
      </c>
      <c r="S50" s="13">
        <f>SUMIF(Mercado_Receita!$S$2:$S$644,"44743B4ConvencionalIluminação públicaIluminação pública – B4aNão se aplicaNão se aplicaPonta",Mercado_Receita!$L$2:$L$644)+SUMIF(Mercado_Receita!$S$2:$S$644,"44743B4ConvencionalIluminação públicaIluminação pública – B4aNão se aplicaNão se aplicaFora ponta",Mercado_Receita!$L$2:$L$644)+SUMIF(Mercado_Receita!$S$2:$S$644,"44743B4ConvencionalIluminação públicaIluminação pública – B4aNão se aplicaNão se aplicaIntermediário",Mercado_Receita!$L$2:$L$644)+SUMIF(Mercado_Receita!$S$2:$S$644,"44743B4ConvencionalIluminação públicaIluminação pública – B4aNão se aplicaNão se aplicaNão se aplica",Mercado_Receita!$L$2:$L$644)</f>
        <v>318.589</v>
      </c>
      <c r="T50" s="13">
        <f>SUMIF(Mercado_Receita!$S$2:$S$644,"44774B4ConvencionalIluminação públicaIluminação pública – B4aNão se aplicaNão se aplicaPonta",Mercado_Receita!$L$2:$L$644)+SUMIF(Mercado_Receita!$S$2:$S$644,"44774B4ConvencionalIluminação públicaIluminação pública – B4aNão se aplicaNão se aplicaFora ponta",Mercado_Receita!$L$2:$L$644)+SUMIF(Mercado_Receita!$S$2:$S$644,"44774B4ConvencionalIluminação públicaIluminação pública – B4aNão se aplicaNão se aplicaIntermediário",Mercado_Receita!$L$2:$L$644)+SUMIF(Mercado_Receita!$S$2:$S$644,"44774B4ConvencionalIluminação públicaIluminação pública – B4aNão se aplicaNão se aplicaNão se aplica",Mercado_Receita!$L$2:$L$644)</f>
        <v>319.55200000000002</v>
      </c>
      <c r="U50" s="13">
        <f t="shared" si="1"/>
        <v>4547.4760000000006</v>
      </c>
      <c r="V50" s="13"/>
      <c r="W50" s="13"/>
    </row>
    <row r="51" spans="1:23" ht="11.25" customHeight="1" x14ac:dyDescent="0.25">
      <c r="A51" s="84"/>
      <c r="B51" s="84"/>
      <c r="C51" s="84"/>
      <c r="D51" s="13" t="s">
        <v>102</v>
      </c>
      <c r="E51" s="13" t="s">
        <v>25</v>
      </c>
      <c r="F51" s="13" t="s">
        <v>25</v>
      </c>
      <c r="G51" s="13" t="s">
        <v>87</v>
      </c>
      <c r="H51" s="13" t="s">
        <v>82</v>
      </c>
      <c r="I51" s="13">
        <f>SUMIF(Mercado_Receita!$S$2:$S$644,"44440B4ConvencionalIluminação públicaIluminação pública – B4bNão se aplicaNão se aplicaPonta",Mercado_Receita!$L$2:$L$644)+SUMIF(Mercado_Receita!$S$2:$S$644,"44440B4ConvencionalIluminação públicaIluminação pública – B4bNão se aplicaNão se aplicaFora ponta",Mercado_Receita!$L$2:$L$644)+SUMIF(Mercado_Receita!$S$2:$S$644,"44440B4ConvencionalIluminação públicaIluminação pública – B4bNão se aplicaNão se aplicaIntermediário",Mercado_Receita!$L$2:$L$644)+SUMIF(Mercado_Receita!$S$2:$S$644,"44440B4ConvencionalIluminação públicaIluminação pública – B4bNão se aplicaNão se aplicaNão se aplica",Mercado_Receita!$L$2:$L$644)</f>
        <v>0</v>
      </c>
      <c r="J51" s="13">
        <f>SUMIF(Mercado_Receita!$S$2:$S$644,"44470B4ConvencionalIluminação públicaIluminação pública – B4bNão se aplicaNão se aplicaPonta",Mercado_Receita!$L$2:$L$644)+SUMIF(Mercado_Receita!$S$2:$S$644,"44470B4ConvencionalIluminação públicaIluminação pública – B4bNão se aplicaNão se aplicaFora ponta",Mercado_Receita!$L$2:$L$644)+SUMIF(Mercado_Receita!$S$2:$S$644,"44470B4ConvencionalIluminação públicaIluminação pública – B4bNão se aplicaNão se aplicaIntermediário",Mercado_Receita!$L$2:$L$644)+SUMIF(Mercado_Receita!$S$2:$S$644,"44470B4ConvencionalIluminação públicaIluminação pública – B4bNão se aplicaNão se aplicaNão se aplica",Mercado_Receita!$L$2:$L$644)</f>
        <v>0</v>
      </c>
      <c r="K51" s="13">
        <f>SUMIF(Mercado_Receita!$S$2:$S$644,"44501B4ConvencionalIluminação públicaIluminação pública – B4bNão se aplicaNão se aplicaPonta",Mercado_Receita!$L$2:$L$644)+SUMIF(Mercado_Receita!$S$2:$S$644,"44501B4ConvencionalIluminação públicaIluminação pública – B4bNão se aplicaNão se aplicaFora ponta",Mercado_Receita!$L$2:$L$644)+SUMIF(Mercado_Receita!$S$2:$S$644,"44501B4ConvencionalIluminação públicaIluminação pública – B4bNão se aplicaNão se aplicaIntermediário",Mercado_Receita!$L$2:$L$644)+SUMIF(Mercado_Receita!$S$2:$S$644,"44501B4ConvencionalIluminação públicaIluminação pública – B4bNão se aplicaNão se aplicaNão se aplica",Mercado_Receita!$L$2:$L$644)</f>
        <v>0</v>
      </c>
      <c r="L51" s="13">
        <f>SUMIF(Mercado_Receita!$S$2:$S$644,"44531B4ConvencionalIluminação públicaIluminação pública – B4bNão se aplicaNão se aplicaPonta",Mercado_Receita!$L$2:$L$644)+SUMIF(Mercado_Receita!$S$2:$S$644,"44531B4ConvencionalIluminação públicaIluminação pública – B4bNão se aplicaNão se aplicaFora ponta",Mercado_Receita!$L$2:$L$644)+SUMIF(Mercado_Receita!$S$2:$S$644,"44531B4ConvencionalIluminação públicaIluminação pública – B4bNão se aplicaNão se aplicaIntermediário",Mercado_Receita!$L$2:$L$644)+SUMIF(Mercado_Receita!$S$2:$S$644,"44531B4ConvencionalIluminação públicaIluminação pública – B4bNão se aplicaNão se aplicaNão se aplica",Mercado_Receita!$L$2:$L$644)</f>
        <v>0</v>
      </c>
      <c r="M51" s="13">
        <f>SUMIF(Mercado_Receita!$S$2:$S$644,"44562B4ConvencionalIluminação públicaIluminação pública – B4bNão se aplicaNão se aplicaPonta",Mercado_Receita!$L$2:$L$644)+SUMIF(Mercado_Receita!$S$2:$S$644,"44562B4ConvencionalIluminação públicaIluminação pública – B4bNão se aplicaNão se aplicaFora ponta",Mercado_Receita!$L$2:$L$644)+SUMIF(Mercado_Receita!$S$2:$S$644,"44562B4ConvencionalIluminação públicaIluminação pública – B4bNão se aplicaNão se aplicaIntermediário",Mercado_Receita!$L$2:$L$644)+SUMIF(Mercado_Receita!$S$2:$S$644,"44562B4ConvencionalIluminação públicaIluminação pública – B4bNão se aplicaNão se aplicaNão se aplica",Mercado_Receita!$L$2:$L$644)</f>
        <v>0</v>
      </c>
      <c r="N51" s="13">
        <f>SUMIF(Mercado_Receita!$S$2:$S$644,"44593B4ConvencionalIluminação públicaIluminação pública – B4bNão se aplicaNão se aplicaPonta",Mercado_Receita!$L$2:$L$644)+SUMIF(Mercado_Receita!$S$2:$S$644,"44593B4ConvencionalIluminação públicaIluminação pública – B4bNão se aplicaNão se aplicaFora ponta",Mercado_Receita!$L$2:$L$644)+SUMIF(Mercado_Receita!$S$2:$S$644,"44593B4ConvencionalIluminação públicaIluminação pública – B4bNão se aplicaNão se aplicaIntermediário",Mercado_Receita!$L$2:$L$644)+SUMIF(Mercado_Receita!$S$2:$S$644,"44593B4ConvencionalIluminação públicaIluminação pública – B4bNão se aplicaNão se aplicaNão se aplica",Mercado_Receita!$L$2:$L$644)</f>
        <v>0</v>
      </c>
      <c r="O51" s="13">
        <f>SUMIF(Mercado_Receita!$S$2:$S$644,"44621B4ConvencionalIluminação públicaIluminação pública – B4bNão se aplicaNão se aplicaPonta",Mercado_Receita!$L$2:$L$644)+SUMIF(Mercado_Receita!$S$2:$S$644,"44621B4ConvencionalIluminação públicaIluminação pública – B4bNão se aplicaNão se aplicaFora ponta",Mercado_Receita!$L$2:$L$644)+SUMIF(Mercado_Receita!$S$2:$S$644,"44621B4ConvencionalIluminação públicaIluminação pública – B4bNão se aplicaNão se aplicaIntermediário",Mercado_Receita!$L$2:$L$644)+SUMIF(Mercado_Receita!$S$2:$S$644,"44621B4ConvencionalIluminação públicaIluminação pública – B4bNão se aplicaNão se aplicaNão se aplica",Mercado_Receita!$L$2:$L$644)</f>
        <v>0</v>
      </c>
      <c r="P51" s="13">
        <f>SUMIF(Mercado_Receita!$S$2:$S$644,"44652B4ConvencionalIluminação públicaIluminação pública – B4bNão se aplicaNão se aplicaPonta",Mercado_Receita!$L$2:$L$644)+SUMIF(Mercado_Receita!$S$2:$S$644,"44652B4ConvencionalIluminação públicaIluminação pública – B4bNão se aplicaNão se aplicaFora ponta",Mercado_Receita!$L$2:$L$644)+SUMIF(Mercado_Receita!$S$2:$S$644,"44652B4ConvencionalIluminação públicaIluminação pública – B4bNão se aplicaNão se aplicaIntermediário",Mercado_Receita!$L$2:$L$644)+SUMIF(Mercado_Receita!$S$2:$S$644,"44652B4ConvencionalIluminação públicaIluminação pública – B4bNão se aplicaNão se aplicaNão se aplica",Mercado_Receita!$L$2:$L$644)</f>
        <v>0</v>
      </c>
      <c r="Q51" s="13">
        <f>SUMIF(Mercado_Receita!$S$2:$S$644,"44682B4ConvencionalIluminação públicaIluminação pública – B4bNão se aplicaNão se aplicaPonta",Mercado_Receita!$L$2:$L$644)+SUMIF(Mercado_Receita!$S$2:$S$644,"44682B4ConvencionalIluminação públicaIluminação pública – B4bNão se aplicaNão se aplicaFora ponta",Mercado_Receita!$L$2:$L$644)+SUMIF(Mercado_Receita!$S$2:$S$644,"44682B4ConvencionalIluminação públicaIluminação pública – B4bNão se aplicaNão se aplicaIntermediário",Mercado_Receita!$L$2:$L$644)+SUMIF(Mercado_Receita!$S$2:$S$644,"44682B4ConvencionalIluminação públicaIluminação pública – B4bNão se aplicaNão se aplicaNão se aplica",Mercado_Receita!$L$2:$L$644)</f>
        <v>0</v>
      </c>
      <c r="R51" s="13">
        <f>SUMIF(Mercado_Receita!$S$2:$S$644,"44713B4ConvencionalIluminação públicaIluminação pública – B4bNão se aplicaNão se aplicaPonta",Mercado_Receita!$L$2:$L$644)+SUMIF(Mercado_Receita!$S$2:$S$644,"44713B4ConvencionalIluminação públicaIluminação pública – B4bNão se aplicaNão se aplicaFora ponta",Mercado_Receita!$L$2:$L$644)+SUMIF(Mercado_Receita!$S$2:$S$644,"44713B4ConvencionalIluminação públicaIluminação pública – B4bNão se aplicaNão se aplicaIntermediário",Mercado_Receita!$L$2:$L$644)+SUMIF(Mercado_Receita!$S$2:$S$644,"44713B4ConvencionalIluminação públicaIluminação pública – B4bNão se aplicaNão se aplicaNão se aplica",Mercado_Receita!$L$2:$L$644)</f>
        <v>0</v>
      </c>
      <c r="S51" s="13">
        <f>SUMIF(Mercado_Receita!$S$2:$S$644,"44743B4ConvencionalIluminação públicaIluminação pública – B4bNão se aplicaNão se aplicaPonta",Mercado_Receita!$L$2:$L$644)+SUMIF(Mercado_Receita!$S$2:$S$644,"44743B4ConvencionalIluminação públicaIluminação pública – B4bNão se aplicaNão se aplicaFora ponta",Mercado_Receita!$L$2:$L$644)+SUMIF(Mercado_Receita!$S$2:$S$644,"44743B4ConvencionalIluminação públicaIluminação pública – B4bNão se aplicaNão se aplicaIntermediário",Mercado_Receita!$L$2:$L$644)+SUMIF(Mercado_Receita!$S$2:$S$644,"44743B4ConvencionalIluminação públicaIluminação pública – B4bNão se aplicaNão se aplicaNão se aplica",Mercado_Receita!$L$2:$L$644)</f>
        <v>0</v>
      </c>
      <c r="T51" s="13">
        <f>SUMIF(Mercado_Receita!$S$2:$S$644,"44774B4ConvencionalIluminação públicaIluminação pública – B4bNão se aplicaNão se aplicaPonta",Mercado_Receita!$L$2:$L$644)+SUMIF(Mercado_Receita!$S$2:$S$644,"44774B4ConvencionalIluminação públicaIluminação pública – B4bNão se aplicaNão se aplicaFora ponta",Mercado_Receita!$L$2:$L$644)+SUMIF(Mercado_Receita!$S$2:$S$644,"44774B4ConvencionalIluminação públicaIluminação pública – B4bNão se aplicaNão se aplicaIntermediário",Mercado_Receita!$L$2:$L$644)+SUMIF(Mercado_Receita!$S$2:$S$644,"44774B4ConvencionalIluminação públicaIluminação pública – B4bNão se aplicaNão se aplicaNão se aplica",Mercado_Receita!$L$2:$L$644)</f>
        <v>0</v>
      </c>
      <c r="U51" s="13">
        <f t="shared" si="1"/>
        <v>0</v>
      </c>
      <c r="V51" s="13"/>
      <c r="W51" s="13"/>
    </row>
    <row r="52" spans="1:23" ht="11.25" customHeight="1" x14ac:dyDescent="0.25">
      <c r="A52" s="85" t="s">
        <v>463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13"/>
      <c r="W52" s="13"/>
    </row>
  </sheetData>
  <mergeCells count="60">
    <mergeCell ref="A50:A51"/>
    <mergeCell ref="B50:B51"/>
    <mergeCell ref="C50:C51"/>
    <mergeCell ref="A52:U52"/>
    <mergeCell ref="C42:C44"/>
    <mergeCell ref="B42:B44"/>
    <mergeCell ref="A30:A44"/>
    <mergeCell ref="F45:F47"/>
    <mergeCell ref="E45:E47"/>
    <mergeCell ref="D45:D47"/>
    <mergeCell ref="C45:C47"/>
    <mergeCell ref="B45:B47"/>
    <mergeCell ref="A45:A49"/>
    <mergeCell ref="F34:F36"/>
    <mergeCell ref="E34:E36"/>
    <mergeCell ref="D34:D36"/>
    <mergeCell ref="C34:C36"/>
    <mergeCell ref="B34:B36"/>
    <mergeCell ref="F38:F40"/>
    <mergeCell ref="E38:E40"/>
    <mergeCell ref="D38:D40"/>
    <mergeCell ref="C38:C40"/>
    <mergeCell ref="B38:B40"/>
    <mergeCell ref="C25:C29"/>
    <mergeCell ref="B25:B29"/>
    <mergeCell ref="A17:A29"/>
    <mergeCell ref="F30:F32"/>
    <mergeCell ref="E30:E32"/>
    <mergeCell ref="D30:D32"/>
    <mergeCell ref="C30:C32"/>
    <mergeCell ref="B30:B32"/>
    <mergeCell ref="F17:F19"/>
    <mergeCell ref="E17:E19"/>
    <mergeCell ref="D17:D19"/>
    <mergeCell ref="C17:C19"/>
    <mergeCell ref="B17:B19"/>
    <mergeCell ref="C20:C24"/>
    <mergeCell ref="B20:B24"/>
    <mergeCell ref="B10:B14"/>
    <mergeCell ref="A2:A14"/>
    <mergeCell ref="D15:D16"/>
    <mergeCell ref="C15:C16"/>
    <mergeCell ref="B15:B16"/>
    <mergeCell ref="A15:A16"/>
    <mergeCell ref="C10:C14"/>
    <mergeCell ref="F10:F12"/>
    <mergeCell ref="E10:E12"/>
    <mergeCell ref="F13:F14"/>
    <mergeCell ref="E13:E14"/>
    <mergeCell ref="D10:D14"/>
    <mergeCell ref="F2:F4"/>
    <mergeCell ref="E2:E4"/>
    <mergeCell ref="D2:D5"/>
    <mergeCell ref="C2:C5"/>
    <mergeCell ref="B2:B5"/>
    <mergeCell ref="F6:F8"/>
    <mergeCell ref="E6:E8"/>
    <mergeCell ref="D6:D8"/>
    <mergeCell ref="C6:C8"/>
    <mergeCell ref="B6:B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960B-39AE-4F91-A7E9-88EE85CEC6E6}">
  <sheetPr codeName="Planilha5"/>
  <dimension ref="A1:AD42"/>
  <sheetViews>
    <sheetView showGridLines="0" workbookViewId="0">
      <selection sqref="A1:W42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80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3" t="s">
        <v>35</v>
      </c>
      <c r="B2" s="83" t="s">
        <v>81</v>
      </c>
      <c r="C2" s="83" t="s">
        <v>25</v>
      </c>
      <c r="D2" s="83" t="s">
        <v>25</v>
      </c>
      <c r="E2" s="83" t="s">
        <v>25</v>
      </c>
      <c r="F2" s="83" t="s">
        <v>25</v>
      </c>
      <c r="G2" s="13" t="s">
        <v>83</v>
      </c>
      <c r="H2" s="13" t="s">
        <v>82</v>
      </c>
      <c r="I2" s="13">
        <f>SUMIF(Mercado_Receita!$T$2:$T$644,"44440A4Energia horáriaNão se aplicaNão se aplicaNão se aplicaNão se aplicaPonta",Mercado_Receita!$N$2:$N$644)</f>
        <v>275.16199999999998</v>
      </c>
      <c r="J2" s="13">
        <f>SUMIF(Mercado_Receita!$T$2:$T$644,"44470A4Energia horáriaNão se aplicaNão se aplicaNão se aplicaNão se aplicaPonta",Mercado_Receita!$N$2:$N$644)</f>
        <v>275.649</v>
      </c>
      <c r="K2" s="13">
        <f>SUMIF(Mercado_Receita!$T$2:$T$644,"44501A4Energia horáriaNão se aplicaNão se aplicaNão se aplicaNão se aplicaPonta",Mercado_Receita!$N$2:$N$644)</f>
        <v>282.46799999999996</v>
      </c>
      <c r="L2" s="13">
        <f>SUMIF(Mercado_Receita!$T$2:$T$644,"44531A4Energia horáriaNão se aplicaNão se aplicaNão se aplicaNão se aplicaPonta",Mercado_Receita!$N$2:$N$644)</f>
        <v>241.37900000000002</v>
      </c>
      <c r="M2" s="13">
        <f>SUMIF(Mercado_Receita!$T$2:$T$644,"44562A4Energia horáriaNão se aplicaNão se aplicaNão se aplicaNão se aplicaPonta",Mercado_Receita!$N$2:$N$644)</f>
        <v>266.52200000000005</v>
      </c>
      <c r="N2" s="13">
        <f>SUMIF(Mercado_Receita!$T$2:$T$644,"44593A4Energia horáriaNão se aplicaNão se aplicaNão se aplicaNão se aplicaPonta",Mercado_Receita!$N$2:$N$644)</f>
        <v>277.14699999999999</v>
      </c>
      <c r="O2" s="13">
        <f>SUMIF(Mercado_Receita!$T$2:$T$644,"44621A4Energia horáriaNão se aplicaNão se aplicaNão se aplicaNão se aplicaPonta",Mercado_Receita!$N$2:$N$644)</f>
        <v>305.08199999999994</v>
      </c>
      <c r="P2" s="13">
        <f>SUMIF(Mercado_Receita!$T$2:$T$644,"44652A4Energia horáriaNão se aplicaNão se aplicaNão se aplicaNão se aplicaPonta",Mercado_Receita!$N$2:$N$644)</f>
        <v>256.44499999999999</v>
      </c>
      <c r="Q2" s="13">
        <f>SUMIF(Mercado_Receita!$T$2:$T$644,"44682A4Energia horáriaNão se aplicaNão se aplicaNão se aplicaNão se aplicaPonta",Mercado_Receita!$N$2:$N$644)</f>
        <v>266.78899999999999</v>
      </c>
      <c r="R2" s="13">
        <f>SUMIF(Mercado_Receita!$T$2:$T$644,"44713A4Energia horáriaNão se aplicaNão se aplicaNão se aplicaNão se aplicaPonta",Mercado_Receita!$N$2:$N$644)</f>
        <v>273.24</v>
      </c>
      <c r="S2" s="13">
        <f>SUMIF(Mercado_Receita!$T$2:$T$644,"44743A4Energia horáriaNão se aplicaNão se aplicaNão se aplicaNão se aplicaPonta",Mercado_Receita!$N$2:$N$644)</f>
        <v>265.58699999999999</v>
      </c>
      <c r="T2" s="13">
        <f>SUMIF(Mercado_Receita!$T$2:$T$644,"44774A4Energia horáriaNão se aplicaNão se aplicaNão se aplicaNão se aplicaPonta",Mercado_Receita!$N$2:$N$644)</f>
        <v>307.98500000000001</v>
      </c>
      <c r="U2" s="13">
        <f t="shared" ref="U2:U41" si="0">SUM(I2:T2)</f>
        <v>3293.4549999999999</v>
      </c>
      <c r="V2" s="13"/>
      <c r="W2" s="13"/>
    </row>
    <row r="3" spans="1:30" ht="11.25" customHeight="1" x14ac:dyDescent="0.25">
      <c r="A3" s="84"/>
      <c r="B3" s="84"/>
      <c r="C3" s="84"/>
      <c r="D3" s="84"/>
      <c r="E3" s="84"/>
      <c r="F3" s="84"/>
      <c r="G3" s="13" t="s">
        <v>84</v>
      </c>
      <c r="H3" s="13" t="s">
        <v>82</v>
      </c>
      <c r="I3" s="13">
        <f>SUMIF(Mercado_Receita!$T$2:$T$644,"44440A4Energia horáriaNão se aplicaNão se aplicaNão se aplicaNão se aplicaFora ponta",Mercado_Receita!$N$2:$N$644)</f>
        <v>3707.6759999999999</v>
      </c>
      <c r="J3" s="13">
        <f>SUMIF(Mercado_Receita!$T$2:$T$644,"44470A4Energia horáriaNão se aplicaNão se aplicaNão se aplicaNão se aplicaFora ponta",Mercado_Receita!$N$2:$N$644)</f>
        <v>3658.29</v>
      </c>
      <c r="K3" s="13">
        <f>SUMIF(Mercado_Receita!$T$2:$T$644,"44501A4Energia horáriaNão se aplicaNão se aplicaNão se aplicaNão se aplicaFora ponta",Mercado_Receita!$N$2:$N$644)</f>
        <v>3667.096</v>
      </c>
      <c r="L3" s="13">
        <f>SUMIF(Mercado_Receita!$T$2:$T$644,"44531A4Energia horáriaNão se aplicaNão se aplicaNão se aplicaNão se aplicaFora ponta",Mercado_Receita!$N$2:$N$644)</f>
        <v>3302.7270000000003</v>
      </c>
      <c r="M3" s="13">
        <f>SUMIF(Mercado_Receita!$T$2:$T$644,"44562A4Energia horáriaNão se aplicaNão se aplicaNão se aplicaNão se aplicaFora ponta",Mercado_Receita!$N$2:$N$644)</f>
        <v>3570.6709999999998</v>
      </c>
      <c r="N3" s="13">
        <f>SUMIF(Mercado_Receita!$T$2:$T$644,"44593A4Energia horáriaNão se aplicaNão se aplicaNão se aplicaNão se aplicaFora ponta",Mercado_Receita!$N$2:$N$644)</f>
        <v>3662.6490000000003</v>
      </c>
      <c r="O3" s="13">
        <f>SUMIF(Mercado_Receita!$T$2:$T$644,"44621A4Energia horáriaNão se aplicaNão se aplicaNão se aplicaNão se aplicaFora ponta",Mercado_Receita!$N$2:$N$644)</f>
        <v>3889.1099999999997</v>
      </c>
      <c r="P3" s="13">
        <f>SUMIF(Mercado_Receita!$T$2:$T$644,"44652A4Energia horáriaNão se aplicaNão se aplicaNão se aplicaNão se aplicaFora ponta",Mercado_Receita!$N$2:$N$644)</f>
        <v>3399.7489999999998</v>
      </c>
      <c r="Q3" s="13">
        <f>SUMIF(Mercado_Receita!$T$2:$T$644,"44682A4Energia horáriaNão se aplicaNão se aplicaNão se aplicaNão se aplicaFora ponta",Mercado_Receita!$N$2:$N$644)</f>
        <v>3494.5089999999996</v>
      </c>
      <c r="R3" s="13">
        <f>SUMIF(Mercado_Receita!$T$2:$T$644,"44713A4Energia horáriaNão se aplicaNão se aplicaNão se aplicaNão se aplicaFora ponta",Mercado_Receita!$N$2:$N$644)</f>
        <v>3546.2440000000001</v>
      </c>
      <c r="S3" s="13">
        <f>SUMIF(Mercado_Receita!$T$2:$T$644,"44743A4Energia horáriaNão se aplicaNão se aplicaNão se aplicaNão se aplicaFora ponta",Mercado_Receita!$N$2:$N$644)</f>
        <v>3515.2160000000003</v>
      </c>
      <c r="T3" s="13">
        <f>SUMIF(Mercado_Receita!$T$2:$T$644,"44774A4Energia horáriaNão se aplicaNão se aplicaNão se aplicaNão se aplicaFora ponta",Mercado_Receita!$N$2:$N$644)</f>
        <v>3744.5050000000001</v>
      </c>
      <c r="U3" s="13">
        <f t="shared" si="0"/>
        <v>43158.441999999995</v>
      </c>
      <c r="V3" s="13"/>
      <c r="W3" s="13"/>
    </row>
    <row r="4" spans="1:30" ht="11.25" customHeight="1" x14ac:dyDescent="0.25">
      <c r="A4" s="84"/>
      <c r="B4" s="12" t="s">
        <v>85</v>
      </c>
      <c r="C4" s="12" t="s">
        <v>25</v>
      </c>
      <c r="D4" s="12" t="s">
        <v>25</v>
      </c>
      <c r="E4" s="12" t="s">
        <v>86</v>
      </c>
      <c r="F4" s="12" t="s">
        <v>25</v>
      </c>
      <c r="G4" s="13" t="s">
        <v>87</v>
      </c>
      <c r="H4" s="13" t="s">
        <v>82</v>
      </c>
      <c r="I4" s="13">
        <f>SUMIF(Mercado_Receita!$T$2:$T$644,"44440A4Energia suprimento concessionáriaNão se aplicaNão se aplica&lt;500GWhNão se aplicaNão se aplica",Mercado_Receita!$N$2:$N$644)</f>
        <v>0</v>
      </c>
      <c r="J4" s="13">
        <f>SUMIF(Mercado_Receita!$T$2:$T$644,"44470A4Energia suprimento concessionáriaNão se aplicaNão se aplica&lt;500GWhNão se aplicaNão se aplica",Mercado_Receita!$N$2:$N$644)</f>
        <v>0</v>
      </c>
      <c r="K4" s="13">
        <f>SUMIF(Mercado_Receita!$T$2:$T$644,"44501A4Energia suprimento concessionáriaNão se aplicaNão se aplica&lt;500GWhNão se aplicaNão se aplica",Mercado_Receita!$N$2:$N$644)</f>
        <v>0</v>
      </c>
      <c r="L4" s="13">
        <f>SUMIF(Mercado_Receita!$T$2:$T$644,"44531A4Energia suprimento concessionáriaNão se aplicaNão se aplica&lt;500GWhNão se aplicaNão se aplica",Mercado_Receita!$N$2:$N$644)</f>
        <v>0</v>
      </c>
      <c r="M4" s="13">
        <f>SUMIF(Mercado_Receita!$T$2:$T$644,"44562A4Energia suprimento concessionáriaNão se aplicaNão se aplica&lt;500GWhNão se aplicaNão se aplica",Mercado_Receita!$N$2:$N$644)</f>
        <v>0</v>
      </c>
      <c r="N4" s="13">
        <f>SUMIF(Mercado_Receita!$T$2:$T$644,"44593A4Energia suprimento concessionáriaNão se aplicaNão se aplica&lt;500GWhNão se aplicaNão se aplica",Mercado_Receita!$N$2:$N$644)</f>
        <v>0</v>
      </c>
      <c r="O4" s="13">
        <f>SUMIF(Mercado_Receita!$T$2:$T$644,"44621A4Energia suprimento concessionáriaNão se aplicaNão se aplica&lt;500GWhNão se aplicaNão se aplica",Mercado_Receita!$N$2:$N$644)</f>
        <v>0</v>
      </c>
      <c r="P4" s="13">
        <f>SUMIF(Mercado_Receita!$T$2:$T$644,"44652A4Energia suprimento concessionáriaNão se aplicaNão se aplica&lt;500GWhNão se aplicaNão se aplica",Mercado_Receita!$N$2:$N$644)</f>
        <v>0</v>
      </c>
      <c r="Q4" s="13">
        <f>SUMIF(Mercado_Receita!$T$2:$T$644,"44682A4Energia suprimento concessionáriaNão se aplicaNão se aplica&lt;500GWhNão se aplicaNão se aplica",Mercado_Receita!$N$2:$N$644)</f>
        <v>0</v>
      </c>
      <c r="R4" s="13">
        <f>SUMIF(Mercado_Receita!$T$2:$T$644,"44713A4Energia suprimento concessionáriaNão se aplicaNão se aplica&lt;500GWhNão se aplicaNão se aplica",Mercado_Receita!$N$2:$N$644)</f>
        <v>0</v>
      </c>
      <c r="S4" s="13">
        <f>SUMIF(Mercado_Receita!$T$2:$T$644,"44743A4Energia suprimento concessionáriaNão se aplicaNão se aplica&lt;500GWhNão se aplicaNão se aplica",Mercado_Receita!$N$2:$N$644)</f>
        <v>0</v>
      </c>
      <c r="T4" s="13">
        <f>SUMIF(Mercado_Receita!$T$2:$T$644,"44774A4Energia suprimento concessionáriaNão se aplicaNão se aplica&lt;500GWhNão se aplicaNão se aplica",Mercado_Receita!$N$2:$N$644)</f>
        <v>0</v>
      </c>
      <c r="U4" s="13">
        <f t="shared" si="0"/>
        <v>0</v>
      </c>
      <c r="V4" s="13"/>
      <c r="W4" s="13"/>
    </row>
    <row r="5" spans="1:30" ht="11.25" customHeight="1" x14ac:dyDescent="0.25">
      <c r="A5" s="84"/>
      <c r="B5" s="12" t="s">
        <v>91</v>
      </c>
      <c r="C5" s="12" t="s">
        <v>25</v>
      </c>
      <c r="D5" s="12" t="s">
        <v>25</v>
      </c>
      <c r="E5" s="12" t="s">
        <v>86</v>
      </c>
      <c r="F5" s="12" t="s">
        <v>25</v>
      </c>
      <c r="G5" s="13" t="s">
        <v>87</v>
      </c>
      <c r="H5" s="13" t="s">
        <v>82</v>
      </c>
      <c r="I5" s="13">
        <f>SUMIF(Mercado_Receita!$T$2:$T$644,"44440A4Energia suprimento permissionáriaNão se aplicaNão se aplica&lt;500GWhNão se aplicaNão se aplica",Mercado_Receita!$N$2:$N$644)</f>
        <v>1076.577</v>
      </c>
      <c r="J5" s="13">
        <f>SUMIF(Mercado_Receita!$T$2:$T$644,"44470A4Energia suprimento permissionáriaNão se aplicaNão se aplica&lt;500GWhNão se aplicaNão se aplica",Mercado_Receita!$N$2:$N$644)</f>
        <v>1112.021</v>
      </c>
      <c r="K5" s="13">
        <f>SUMIF(Mercado_Receita!$T$2:$T$644,"44501A4Energia suprimento permissionáriaNão se aplicaNão se aplica&lt;500GWhNão se aplicaNão se aplica",Mercado_Receita!$N$2:$N$644)</f>
        <v>1103.4000000000001</v>
      </c>
      <c r="L5" s="13">
        <f>SUMIF(Mercado_Receita!$T$2:$T$644,"44531A4Energia suprimento permissionáriaNão se aplicaNão se aplica&lt;500GWhNão se aplicaNão se aplica",Mercado_Receita!$N$2:$N$644)</f>
        <v>1146.7660000000001</v>
      </c>
      <c r="M5" s="13">
        <f>SUMIF(Mercado_Receita!$T$2:$T$644,"44562A4Energia suprimento permissionáriaNão se aplicaNão se aplica&lt;500GWhNão se aplicaNão se aplica",Mercado_Receita!$N$2:$N$644)</f>
        <v>1261.893</v>
      </c>
      <c r="N5" s="13">
        <f>SUMIF(Mercado_Receita!$T$2:$T$644,"44593A4Energia suprimento permissionáriaNão se aplicaNão se aplica&lt;500GWhNão se aplicaNão se aplica",Mercado_Receita!$N$2:$N$644)</f>
        <v>1131.1489999999999</v>
      </c>
      <c r="O5" s="13">
        <f>SUMIF(Mercado_Receita!$T$2:$T$644,"44621A4Energia suprimento permissionáriaNão se aplicaNão se aplica&lt;500GWhNão se aplicaNão se aplica",Mercado_Receita!$N$2:$N$644)</f>
        <v>1232.3889999999999</v>
      </c>
      <c r="P5" s="13">
        <f>SUMIF(Mercado_Receita!$T$2:$T$644,"44652A4Energia suprimento permissionáriaNão se aplicaNão se aplica&lt;500GWhNão se aplicaNão se aplica",Mercado_Receita!$N$2:$N$644)</f>
        <v>1130.751</v>
      </c>
      <c r="Q5" s="13">
        <f>SUMIF(Mercado_Receita!$T$2:$T$644,"44682A4Energia suprimento permissionáriaNão se aplicaNão se aplica&lt;500GWhNão se aplicaNão se aplica",Mercado_Receita!$N$2:$N$644)</f>
        <v>1104.546</v>
      </c>
      <c r="R5" s="13">
        <f>SUMIF(Mercado_Receita!$T$2:$T$644,"44713A4Energia suprimento permissionáriaNão se aplicaNão se aplica&lt;500GWhNão se aplicaNão se aplica",Mercado_Receita!$N$2:$N$644)</f>
        <v>1194.6420000000001</v>
      </c>
      <c r="S5" s="13">
        <f>SUMIF(Mercado_Receita!$T$2:$T$644,"44743A4Energia suprimento permissionáriaNão se aplicaNão se aplica&lt;500GWhNão se aplicaNão se aplica",Mercado_Receita!$N$2:$N$644)</f>
        <v>1172.8879999999999</v>
      </c>
      <c r="T5" s="13">
        <f>SUMIF(Mercado_Receita!$T$2:$T$644,"44774A4Energia suprimento permissionáriaNão se aplicaNão se aplica&lt;500GWhNão se aplicaNão se aplica",Mercado_Receita!$N$2:$N$644)</f>
        <v>1179.9749999999999</v>
      </c>
      <c r="U5" s="13">
        <f t="shared" si="0"/>
        <v>13846.997000000001</v>
      </c>
      <c r="V5" s="13"/>
      <c r="W5" s="13"/>
    </row>
    <row r="6" spans="1:30" ht="11.25" customHeight="1" x14ac:dyDescent="0.25">
      <c r="A6" s="84"/>
      <c r="B6" s="12" t="s">
        <v>85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87</v>
      </c>
      <c r="H6" s="13" t="s">
        <v>82</v>
      </c>
      <c r="I6" s="13">
        <f>SUMIF(Mercado_Receita!$T$2:$T$644,"44440A4Energia suprimento concessionáriaNão se aplicaNão se aplicaNão se aplicaNão se aplicaNão se aplica",Mercado_Receita!$N$2:$N$644)</f>
        <v>0</v>
      </c>
      <c r="J6" s="13">
        <f>SUMIF(Mercado_Receita!$T$2:$T$644,"44470A4Energia suprimento concessionáriaNão se aplicaNão se aplicaNão se aplicaNão se aplicaNão se aplica",Mercado_Receita!$N$2:$N$644)</f>
        <v>0</v>
      </c>
      <c r="K6" s="13">
        <f>SUMIF(Mercado_Receita!$T$2:$T$644,"44501A4Energia suprimento concessionáriaNão se aplicaNão se aplicaNão se aplicaNão se aplicaNão se aplica",Mercado_Receita!$N$2:$N$644)</f>
        <v>0</v>
      </c>
      <c r="L6" s="13">
        <f>SUMIF(Mercado_Receita!$T$2:$T$644,"44531A4Energia suprimento concessionáriaNão se aplicaNão se aplicaNão se aplicaNão se aplicaNão se aplica",Mercado_Receita!$N$2:$N$644)</f>
        <v>0</v>
      </c>
      <c r="M6" s="13">
        <f>SUMIF(Mercado_Receita!$T$2:$T$644,"44562A4Energia suprimento concessionáriaNão se aplicaNão se aplicaNão se aplicaNão se aplicaNão se aplica",Mercado_Receita!$N$2:$N$644)</f>
        <v>0</v>
      </c>
      <c r="N6" s="13">
        <f>SUMIF(Mercado_Receita!$T$2:$T$644,"44593A4Energia suprimento concessionáriaNão se aplicaNão se aplicaNão se aplicaNão se aplicaNão se aplica",Mercado_Receita!$N$2:$N$644)</f>
        <v>0</v>
      </c>
      <c r="O6" s="13">
        <f>SUMIF(Mercado_Receita!$T$2:$T$644,"44621A4Energia suprimento concessionáriaNão se aplicaNão se aplicaNão se aplicaNão se aplicaNão se aplica",Mercado_Receita!$N$2:$N$644)</f>
        <v>0</v>
      </c>
      <c r="P6" s="13">
        <f>SUMIF(Mercado_Receita!$T$2:$T$644,"44652A4Energia suprimento concessionáriaNão se aplicaNão se aplicaNão se aplicaNão se aplicaNão se aplica",Mercado_Receita!$N$2:$N$644)</f>
        <v>0</v>
      </c>
      <c r="Q6" s="13">
        <f>SUMIF(Mercado_Receita!$T$2:$T$644,"44682A4Energia suprimento concessionáriaNão se aplicaNão se aplicaNão se aplicaNão se aplicaNão se aplica",Mercado_Receita!$N$2:$N$644)</f>
        <v>0</v>
      </c>
      <c r="R6" s="13">
        <f>SUMIF(Mercado_Receita!$T$2:$T$644,"44713A4Energia suprimento concessionáriaNão se aplicaNão se aplicaNão se aplicaNão se aplicaNão se aplica",Mercado_Receita!$N$2:$N$644)</f>
        <v>0</v>
      </c>
      <c r="S6" s="13">
        <f>SUMIF(Mercado_Receita!$T$2:$T$644,"44743A4Energia suprimento concessionáriaNão se aplicaNão se aplicaNão se aplicaNão se aplicaNão se aplica",Mercado_Receita!$N$2:$N$644)</f>
        <v>0</v>
      </c>
      <c r="T6" s="13">
        <f>SUMIF(Mercado_Receita!$T$2:$T$644,"44774A4Energia suprimento concessionáriaNão se aplicaNão se aplicaNão se aplicaNão se aplicaNão se aplica",Mercado_Receita!$N$2:$N$644)</f>
        <v>0</v>
      </c>
      <c r="U6" s="13">
        <f t="shared" si="0"/>
        <v>0</v>
      </c>
      <c r="V6" s="13"/>
      <c r="W6" s="13"/>
    </row>
    <row r="7" spans="1:30" ht="11.25" customHeight="1" x14ac:dyDescent="0.25">
      <c r="A7" s="83" t="s">
        <v>22</v>
      </c>
      <c r="B7" s="83" t="s">
        <v>81</v>
      </c>
      <c r="C7" s="83" t="s">
        <v>24</v>
      </c>
      <c r="D7" s="83" t="s">
        <v>24</v>
      </c>
      <c r="E7" s="83" t="s">
        <v>25</v>
      </c>
      <c r="F7" s="83" t="s">
        <v>25</v>
      </c>
      <c r="G7" s="13" t="s">
        <v>83</v>
      </c>
      <c r="H7" s="13" t="s">
        <v>82</v>
      </c>
      <c r="I7" s="13">
        <f>SUMIF(Mercado_Receita!$T$2:$T$644,"44440B1Energia horáriaResidencialResidencialNão se aplicaNão se aplicaPonta",Mercado_Receita!$N$2:$N$644)</f>
        <v>0</v>
      </c>
      <c r="J7" s="13">
        <f>SUMIF(Mercado_Receita!$T$2:$T$644,"44470B1Energia horáriaResidencialResidencialNão se aplicaNão se aplicaPonta",Mercado_Receita!$N$2:$N$644)</f>
        <v>0</v>
      </c>
      <c r="K7" s="13">
        <f>SUMIF(Mercado_Receita!$T$2:$T$644,"44501B1Energia horáriaResidencialResidencialNão se aplicaNão se aplicaPonta",Mercado_Receita!$N$2:$N$644)</f>
        <v>0</v>
      </c>
      <c r="L7" s="13">
        <f>SUMIF(Mercado_Receita!$T$2:$T$644,"44531B1Energia horáriaResidencialResidencialNão se aplicaNão se aplicaPonta",Mercado_Receita!$N$2:$N$644)</f>
        <v>0</v>
      </c>
      <c r="M7" s="13">
        <f>SUMIF(Mercado_Receita!$T$2:$T$644,"44562B1Energia horáriaResidencialResidencialNão se aplicaNão se aplicaPonta",Mercado_Receita!$N$2:$N$644)</f>
        <v>0</v>
      </c>
      <c r="N7" s="13">
        <f>SUMIF(Mercado_Receita!$T$2:$T$644,"44593B1Energia horáriaResidencialResidencialNão se aplicaNão se aplicaPonta",Mercado_Receita!$N$2:$N$644)</f>
        <v>0</v>
      </c>
      <c r="O7" s="13">
        <f>SUMIF(Mercado_Receita!$T$2:$T$644,"44621B1Energia horáriaResidencialResidencialNão se aplicaNão se aplicaPonta",Mercado_Receita!$N$2:$N$644)</f>
        <v>0</v>
      </c>
      <c r="P7" s="13">
        <f>SUMIF(Mercado_Receita!$T$2:$T$644,"44652B1Energia horáriaResidencialResidencialNão se aplicaNão se aplicaPonta",Mercado_Receita!$N$2:$N$644)</f>
        <v>0</v>
      </c>
      <c r="Q7" s="13">
        <f>SUMIF(Mercado_Receita!$T$2:$T$644,"44682B1Energia horáriaResidencialResidencialNão se aplicaNão se aplicaPonta",Mercado_Receita!$N$2:$N$644)</f>
        <v>0</v>
      </c>
      <c r="R7" s="13">
        <f>SUMIF(Mercado_Receita!$T$2:$T$644,"44713B1Energia horáriaResidencialResidencialNão se aplicaNão se aplicaPonta",Mercado_Receita!$N$2:$N$644)</f>
        <v>0</v>
      </c>
      <c r="S7" s="13">
        <f>SUMIF(Mercado_Receita!$T$2:$T$644,"44743B1Energia horáriaResidencialResidencialNão se aplicaNão se aplicaPonta",Mercado_Receita!$N$2:$N$644)</f>
        <v>0</v>
      </c>
      <c r="T7" s="13">
        <f>SUMIF(Mercado_Receita!$T$2:$T$644,"44774B1Energia horáriaResidencialResidencialNão se aplicaNão se aplicaPonta",Mercado_Receita!$N$2:$N$644)</f>
        <v>0</v>
      </c>
      <c r="U7" s="13">
        <f t="shared" si="0"/>
        <v>0</v>
      </c>
      <c r="V7" s="13"/>
      <c r="W7" s="13"/>
    </row>
    <row r="8" spans="1:30" ht="11.25" customHeight="1" x14ac:dyDescent="0.25">
      <c r="A8" s="84"/>
      <c r="B8" s="84"/>
      <c r="C8" s="84"/>
      <c r="D8" s="84"/>
      <c r="E8" s="84"/>
      <c r="F8" s="84"/>
      <c r="G8" s="13" t="s">
        <v>95</v>
      </c>
      <c r="H8" s="13" t="s">
        <v>82</v>
      </c>
      <c r="I8" s="13">
        <f>SUMIF(Mercado_Receita!$T$2:$T$644,"44440B1Energia horáriaResidencialResidencialNão se aplicaNão se aplicaIntermediário",Mercado_Receita!$N$2:$N$644)</f>
        <v>0</v>
      </c>
      <c r="J8" s="13">
        <f>SUMIF(Mercado_Receita!$T$2:$T$644,"44470B1Energia horáriaResidencialResidencialNão se aplicaNão se aplicaIntermediário",Mercado_Receita!$N$2:$N$644)</f>
        <v>0</v>
      </c>
      <c r="K8" s="13">
        <f>SUMIF(Mercado_Receita!$T$2:$T$644,"44501B1Energia horáriaResidencialResidencialNão se aplicaNão se aplicaIntermediário",Mercado_Receita!$N$2:$N$644)</f>
        <v>0</v>
      </c>
      <c r="L8" s="13">
        <f>SUMIF(Mercado_Receita!$T$2:$T$644,"44531B1Energia horáriaResidencialResidencialNão se aplicaNão se aplicaIntermediário",Mercado_Receita!$N$2:$N$644)</f>
        <v>0</v>
      </c>
      <c r="M8" s="13">
        <f>SUMIF(Mercado_Receita!$T$2:$T$644,"44562B1Energia horáriaResidencialResidencialNão se aplicaNão se aplicaIntermediário",Mercado_Receita!$N$2:$N$644)</f>
        <v>0</v>
      </c>
      <c r="N8" s="13">
        <f>SUMIF(Mercado_Receita!$T$2:$T$644,"44593B1Energia horáriaResidencialResidencialNão se aplicaNão se aplicaIntermediário",Mercado_Receita!$N$2:$N$644)</f>
        <v>0</v>
      </c>
      <c r="O8" s="13">
        <f>SUMIF(Mercado_Receita!$T$2:$T$644,"44621B1Energia horáriaResidencialResidencialNão se aplicaNão se aplicaIntermediário",Mercado_Receita!$N$2:$N$644)</f>
        <v>0</v>
      </c>
      <c r="P8" s="13">
        <f>SUMIF(Mercado_Receita!$T$2:$T$644,"44652B1Energia horáriaResidencialResidencialNão se aplicaNão se aplicaIntermediário",Mercado_Receita!$N$2:$N$644)</f>
        <v>0</v>
      </c>
      <c r="Q8" s="13">
        <f>SUMIF(Mercado_Receita!$T$2:$T$644,"44682B1Energia horáriaResidencialResidencialNão se aplicaNão se aplicaIntermediário",Mercado_Receita!$N$2:$N$644)</f>
        <v>0</v>
      </c>
      <c r="R8" s="13">
        <f>SUMIF(Mercado_Receita!$T$2:$T$644,"44713B1Energia horáriaResidencialResidencialNão se aplicaNão se aplicaIntermediário",Mercado_Receita!$N$2:$N$644)</f>
        <v>0</v>
      </c>
      <c r="S8" s="13">
        <f>SUMIF(Mercado_Receita!$T$2:$T$644,"44743B1Energia horáriaResidencialResidencialNão se aplicaNão se aplicaIntermediário",Mercado_Receita!$N$2:$N$644)</f>
        <v>0</v>
      </c>
      <c r="T8" s="13">
        <f>SUMIF(Mercado_Receita!$T$2:$T$644,"44774B1Energia horáriaResidencialResidencialNão se aplicaNão se aplicaIntermediário",Mercado_Receita!$N$2:$N$644)</f>
        <v>0</v>
      </c>
      <c r="U8" s="13">
        <f t="shared" si="0"/>
        <v>0</v>
      </c>
      <c r="V8" s="13"/>
      <c r="W8" s="13"/>
    </row>
    <row r="9" spans="1:30" ht="11.25" customHeight="1" x14ac:dyDescent="0.25">
      <c r="A9" s="84"/>
      <c r="B9" s="84"/>
      <c r="C9" s="84"/>
      <c r="D9" s="84"/>
      <c r="E9" s="84"/>
      <c r="F9" s="84"/>
      <c r="G9" s="13" t="s">
        <v>84</v>
      </c>
      <c r="H9" s="13" t="s">
        <v>82</v>
      </c>
      <c r="I9" s="13">
        <f>SUMIF(Mercado_Receita!$T$2:$T$644,"44440B1Energia horáriaResidencialResidencialNão se aplicaNão se aplicaFora ponta",Mercado_Receita!$N$2:$N$644)</f>
        <v>0</v>
      </c>
      <c r="J9" s="13">
        <f>SUMIF(Mercado_Receita!$T$2:$T$644,"44470B1Energia horáriaResidencialResidencialNão se aplicaNão se aplicaFora ponta",Mercado_Receita!$N$2:$N$644)</f>
        <v>0</v>
      </c>
      <c r="K9" s="13">
        <f>SUMIF(Mercado_Receita!$T$2:$T$644,"44501B1Energia horáriaResidencialResidencialNão se aplicaNão se aplicaFora ponta",Mercado_Receita!$N$2:$N$644)</f>
        <v>0</v>
      </c>
      <c r="L9" s="13">
        <f>SUMIF(Mercado_Receita!$T$2:$T$644,"44531B1Energia horáriaResidencialResidencialNão se aplicaNão se aplicaFora ponta",Mercado_Receita!$N$2:$N$644)</f>
        <v>0</v>
      </c>
      <c r="M9" s="13">
        <f>SUMIF(Mercado_Receita!$T$2:$T$644,"44562B1Energia horáriaResidencialResidencialNão se aplicaNão se aplicaFora ponta",Mercado_Receita!$N$2:$N$644)</f>
        <v>0</v>
      </c>
      <c r="N9" s="13">
        <f>SUMIF(Mercado_Receita!$T$2:$T$644,"44593B1Energia horáriaResidencialResidencialNão se aplicaNão se aplicaFora ponta",Mercado_Receita!$N$2:$N$644)</f>
        <v>0</v>
      </c>
      <c r="O9" s="13">
        <f>SUMIF(Mercado_Receita!$T$2:$T$644,"44621B1Energia horáriaResidencialResidencialNão se aplicaNão se aplicaFora ponta",Mercado_Receita!$N$2:$N$644)</f>
        <v>0</v>
      </c>
      <c r="P9" s="13">
        <f>SUMIF(Mercado_Receita!$T$2:$T$644,"44652B1Energia horáriaResidencialResidencialNão se aplicaNão se aplicaFora ponta",Mercado_Receita!$N$2:$N$644)</f>
        <v>0</v>
      </c>
      <c r="Q9" s="13">
        <f>SUMIF(Mercado_Receita!$T$2:$T$644,"44682B1Energia horáriaResidencialResidencialNão se aplicaNão se aplicaFora ponta",Mercado_Receita!$N$2:$N$644)</f>
        <v>0</v>
      </c>
      <c r="R9" s="13">
        <f>SUMIF(Mercado_Receita!$T$2:$T$644,"44713B1Energia horáriaResidencialResidencialNão se aplicaNão se aplicaFora ponta",Mercado_Receita!$N$2:$N$644)</f>
        <v>0</v>
      </c>
      <c r="S9" s="13">
        <f>SUMIF(Mercado_Receita!$T$2:$T$644,"44743B1Energia horáriaResidencialResidencialNão se aplicaNão se aplicaFora ponta",Mercado_Receita!$N$2:$N$644)</f>
        <v>0</v>
      </c>
      <c r="T9" s="13">
        <f>SUMIF(Mercado_Receita!$T$2:$T$644,"44774B1Energia horáriaResidencialResidencialNão se aplicaNão se aplicaFora ponta",Mercado_Receita!$N$2:$N$644)</f>
        <v>0</v>
      </c>
      <c r="U9" s="13">
        <f t="shared" si="0"/>
        <v>0</v>
      </c>
      <c r="V9" s="13"/>
      <c r="W9" s="13"/>
    </row>
    <row r="10" spans="1:30" ht="11.25" customHeight="1" x14ac:dyDescent="0.25">
      <c r="A10" s="84"/>
      <c r="B10" s="83" t="s">
        <v>96</v>
      </c>
      <c r="C10" s="83" t="s">
        <v>24</v>
      </c>
      <c r="D10" s="12" t="s">
        <v>24</v>
      </c>
      <c r="E10" s="12" t="s">
        <v>25</v>
      </c>
      <c r="F10" s="12" t="s">
        <v>25</v>
      </c>
      <c r="G10" s="13" t="s">
        <v>87</v>
      </c>
      <c r="H10" s="13" t="s">
        <v>82</v>
      </c>
      <c r="I10" s="13">
        <f>SUMIF(Mercado_Receita!$T$2:$T$644,"44440B1Energia convencionalResidencialResidencialNão se aplicaNão se aplicaNão se aplica",Mercado_Receita!$N$2:$N$644)</f>
        <v>2586.9580000000001</v>
      </c>
      <c r="J10" s="13">
        <f>SUMIF(Mercado_Receita!$T$2:$T$644,"44470B1Energia convencionalResidencialResidencialNão se aplicaNão se aplicaNão se aplica",Mercado_Receita!$N$2:$N$644)</f>
        <v>2570.9549999999999</v>
      </c>
      <c r="K10" s="13">
        <f>SUMIF(Mercado_Receita!$T$2:$T$644,"44501B1Energia convencionalResidencialResidencialNão se aplicaNão se aplicaNão se aplica",Mercado_Receita!$N$2:$N$644)</f>
        <v>2646.09</v>
      </c>
      <c r="L10" s="13">
        <f>SUMIF(Mercado_Receita!$T$2:$T$644,"44531B1Energia convencionalResidencialResidencialNão se aplicaNão se aplicaNão se aplica",Mercado_Receita!$N$2:$N$644)</f>
        <v>2815.4809999999998</v>
      </c>
      <c r="M10" s="13">
        <f>SUMIF(Mercado_Receita!$T$2:$T$644,"44562B1Energia convencionalResidencialResidencialNão se aplicaNão se aplicaNão se aplica",Mercado_Receita!$N$2:$N$644)</f>
        <v>3240.9470000000001</v>
      </c>
      <c r="N10" s="13">
        <f>SUMIF(Mercado_Receita!$T$2:$T$644,"44593B1Energia convencionalResidencialResidencialNão se aplicaNão se aplicaNão se aplica",Mercado_Receita!$N$2:$N$644)</f>
        <v>3602.884</v>
      </c>
      <c r="O10" s="13">
        <f>SUMIF(Mercado_Receita!$T$2:$T$644,"44621B1Energia convencionalResidencialResidencialNão se aplicaNão se aplicaNão se aplica",Mercado_Receita!$N$2:$N$644)</f>
        <v>3185.5990000000002</v>
      </c>
      <c r="P10" s="13">
        <f>SUMIF(Mercado_Receita!$T$2:$T$644,"44652B1Energia convencionalResidencialResidencialNão se aplicaNão se aplicaNão se aplica",Mercado_Receita!$N$2:$N$644)</f>
        <v>2604.9589999999998</v>
      </c>
      <c r="Q10" s="13">
        <f>SUMIF(Mercado_Receita!$T$2:$T$644,"44682B1Energia convencionalResidencialResidencialNão se aplicaNão se aplicaNão se aplica",Mercado_Receita!$N$2:$N$644)</f>
        <v>2380.2650000000003</v>
      </c>
      <c r="R10" s="13">
        <f>SUMIF(Mercado_Receita!$T$2:$T$644,"44713B1Energia convencionalResidencialResidencialNão se aplicaNão se aplicaNão se aplica",Mercado_Receita!$N$2:$N$644)</f>
        <v>2744.5150000000003</v>
      </c>
      <c r="S10" s="13">
        <f>SUMIF(Mercado_Receita!$T$2:$T$644,"44743B1Energia convencionalResidencialResidencialNão se aplicaNão se aplicaNão se aplica",Mercado_Receita!$N$2:$N$644)</f>
        <v>2568.924</v>
      </c>
      <c r="T10" s="13">
        <f>SUMIF(Mercado_Receita!$T$2:$T$644,"44774B1Energia convencionalResidencialResidencialNão se aplicaNão se aplicaNão se aplica",Mercado_Receita!$N$2:$N$644)</f>
        <v>2663.7799999999997</v>
      </c>
      <c r="U10" s="13">
        <f t="shared" si="0"/>
        <v>33611.357000000004</v>
      </c>
      <c r="V10" s="13"/>
      <c r="W10" s="13"/>
    </row>
    <row r="11" spans="1:30" ht="11.25" customHeight="1" x14ac:dyDescent="0.25">
      <c r="A11" s="84"/>
      <c r="B11" s="84"/>
      <c r="C11" s="84"/>
      <c r="D11" s="12" t="s">
        <v>29</v>
      </c>
      <c r="E11" s="12" t="s">
        <v>25</v>
      </c>
      <c r="F11" s="12" t="s">
        <v>25</v>
      </c>
      <c r="G11" s="13" t="s">
        <v>87</v>
      </c>
      <c r="H11" s="13" t="s">
        <v>82</v>
      </c>
      <c r="I11" s="13">
        <f>SUMIF(Mercado_Receita!$T$2:$T$644,"44440B1Energia convencionalResidencialResidencial baixa renda – faixa 01Não se aplicaNão se aplicaNão se aplica",Mercado_Receita!$N$2:$N$644)</f>
        <v>11.91</v>
      </c>
      <c r="J11" s="13">
        <f>SUMIF(Mercado_Receita!$T$2:$T$644,"44470B1Energia convencionalResidencialResidencial baixa renda – faixa 01Não se aplicaNão se aplicaNão se aplica",Mercado_Receita!$N$2:$N$644)</f>
        <v>12.12</v>
      </c>
      <c r="K11" s="13">
        <f>SUMIF(Mercado_Receita!$T$2:$T$644,"44501B1Energia convencionalResidencialResidencial baixa renda – faixa 01Não se aplicaNão se aplicaNão se aplica",Mercado_Receita!$N$2:$N$644)</f>
        <v>12.3</v>
      </c>
      <c r="L11" s="13">
        <f>SUMIF(Mercado_Receita!$T$2:$T$644,"44531B1Energia convencionalResidencialResidencial baixa renda – faixa 01Não se aplicaNão se aplicaNão se aplica",Mercado_Receita!$N$2:$N$644)</f>
        <v>12.24</v>
      </c>
      <c r="M11" s="13">
        <f>SUMIF(Mercado_Receita!$T$2:$T$644,"44562B1Energia convencionalResidencialResidencial baixa renda – faixa 01Não se aplicaNão se aplicaNão se aplica",Mercado_Receita!$N$2:$N$644)</f>
        <v>13.32</v>
      </c>
      <c r="N11" s="13">
        <f>SUMIF(Mercado_Receita!$T$2:$T$644,"44593B1Energia convencionalResidencialResidencial baixa renda – faixa 01Não se aplicaNão se aplicaNão se aplica",Mercado_Receita!$N$2:$N$644)</f>
        <v>16.02</v>
      </c>
      <c r="O11" s="13">
        <f>SUMIF(Mercado_Receita!$T$2:$T$644,"44621B1Energia convencionalResidencialResidencial baixa renda – faixa 01Não se aplicaNão se aplicaNão se aplica",Mercado_Receita!$N$2:$N$644)</f>
        <v>16.68</v>
      </c>
      <c r="P11" s="13">
        <f>SUMIF(Mercado_Receita!$T$2:$T$644,"44652B1Energia convencionalResidencialResidencial baixa renda – faixa 01Não se aplicaNão se aplicaNão se aplica",Mercado_Receita!$N$2:$N$644)</f>
        <v>16.829999999999998</v>
      </c>
      <c r="Q11" s="13">
        <f>SUMIF(Mercado_Receita!$T$2:$T$644,"44682B1Energia convencionalResidencialResidencial baixa renda – faixa 01Não se aplicaNão se aplicaNão se aplica",Mercado_Receita!$N$2:$N$644)</f>
        <v>16.830000000000002</v>
      </c>
      <c r="R11" s="13">
        <f>SUMIF(Mercado_Receita!$T$2:$T$644,"44713B1Energia convencionalResidencialResidencial baixa renda – faixa 01Não se aplicaNão se aplicaNão se aplica",Mercado_Receita!$N$2:$N$644)</f>
        <v>15.21</v>
      </c>
      <c r="S11" s="13">
        <f>SUMIF(Mercado_Receita!$T$2:$T$644,"44743B1Energia convencionalResidencialResidencial baixa renda – faixa 01Não se aplicaNão se aplicaNão se aplica",Mercado_Receita!$N$2:$N$644)</f>
        <v>14.97</v>
      </c>
      <c r="T11" s="13">
        <f>SUMIF(Mercado_Receita!$T$2:$T$644,"44774B1Energia convencionalResidencialResidencial baixa renda – faixa 01Não se aplicaNão se aplicaNão se aplica",Mercado_Receita!$N$2:$N$644)</f>
        <v>16.2</v>
      </c>
      <c r="U11" s="13">
        <f t="shared" si="0"/>
        <v>174.63</v>
      </c>
      <c r="V11" s="13"/>
      <c r="W11" s="13"/>
    </row>
    <row r="12" spans="1:30" ht="11.25" customHeight="1" x14ac:dyDescent="0.25">
      <c r="A12" s="84"/>
      <c r="B12" s="84"/>
      <c r="C12" s="84"/>
      <c r="D12" s="12" t="s">
        <v>30</v>
      </c>
      <c r="E12" s="12" t="s">
        <v>25</v>
      </c>
      <c r="F12" s="12" t="s">
        <v>25</v>
      </c>
      <c r="G12" s="13" t="s">
        <v>87</v>
      </c>
      <c r="H12" s="13" t="s">
        <v>82</v>
      </c>
      <c r="I12" s="13">
        <f>SUMIF(Mercado_Receita!$T$2:$T$644,"44440B1Energia convencionalResidencialResidencial baixa renda – faixa 02Não se aplicaNão se aplicaNão se aplica",Mercado_Receita!$N$2:$N$644)</f>
        <v>25.515000000000001</v>
      </c>
      <c r="J12" s="13">
        <f>SUMIF(Mercado_Receita!$T$2:$T$644,"44470B1Energia convencionalResidencialResidencial baixa renda – faixa 02Não se aplicaNão se aplicaNão se aplica",Mercado_Receita!$N$2:$N$644)</f>
        <v>25.896000000000001</v>
      </c>
      <c r="K12" s="13">
        <f>SUMIF(Mercado_Receita!$T$2:$T$644,"44501B1Energia convencionalResidencialResidencial baixa renda – faixa 02Não se aplicaNão se aplicaNão se aplica",Mercado_Receita!$N$2:$N$644)</f>
        <v>26.738</v>
      </c>
      <c r="L12" s="13">
        <f>SUMIF(Mercado_Receita!$T$2:$T$644,"44531B1Energia convencionalResidencialResidencial baixa renda – faixa 02Não se aplicaNão se aplicaNão se aplica",Mercado_Receita!$N$2:$N$644)</f>
        <v>26.849</v>
      </c>
      <c r="M12" s="13">
        <f>SUMIF(Mercado_Receita!$T$2:$T$644,"44562B1Energia convencionalResidencialResidencial baixa renda – faixa 02Não se aplicaNão se aplicaNão se aplica",Mercado_Receita!$N$2:$N$644)</f>
        <v>29.689</v>
      </c>
      <c r="N12" s="13">
        <f>SUMIF(Mercado_Receita!$T$2:$T$644,"44593B1Energia convencionalResidencialResidencial baixa renda – faixa 02Não se aplicaNão se aplicaNão se aplica",Mercado_Receita!$N$2:$N$644)</f>
        <v>35.854999999999997</v>
      </c>
      <c r="O12" s="13">
        <f>SUMIF(Mercado_Receita!$T$2:$T$644,"44621B1Energia convencionalResidencialResidencial baixa renda – faixa 02Não se aplicaNão se aplicaNão se aplica",Mercado_Receita!$N$2:$N$644)</f>
        <v>37.210999999999999</v>
      </c>
      <c r="P12" s="13">
        <f>SUMIF(Mercado_Receita!$T$2:$T$644,"44652B1Energia convencionalResidencialResidencial baixa renda – faixa 02Não se aplicaNão se aplicaNão se aplica",Mercado_Receita!$N$2:$N$644)</f>
        <v>36.758000000000003</v>
      </c>
      <c r="Q12" s="13">
        <f>SUMIF(Mercado_Receita!$T$2:$T$644,"44682B1Energia convencionalResidencialResidencial baixa renda – faixa 02Não se aplicaNão se aplicaNão se aplica",Mercado_Receita!$N$2:$N$644)</f>
        <v>36.148000000000003</v>
      </c>
      <c r="R12" s="13">
        <f>SUMIF(Mercado_Receita!$T$2:$T$644,"44713B1Energia convencionalResidencialResidencial baixa renda – faixa 02Não se aplicaNão se aplicaNão se aplica",Mercado_Receita!$N$2:$N$644)</f>
        <v>32.643999999999998</v>
      </c>
      <c r="S12" s="13">
        <f>SUMIF(Mercado_Receita!$T$2:$T$644,"44743B1Energia convencionalResidencialResidencial baixa renda – faixa 02Não se aplicaNão se aplicaNão se aplica",Mercado_Receita!$N$2:$N$644)</f>
        <v>32.027999999999999</v>
      </c>
      <c r="T12" s="13">
        <f>SUMIF(Mercado_Receita!$T$2:$T$644,"44774B1Energia convencionalResidencialResidencial baixa renda – faixa 02Não se aplicaNão se aplicaNão se aplica",Mercado_Receita!$N$2:$N$644)</f>
        <v>36.630000000000003</v>
      </c>
      <c r="U12" s="13">
        <f t="shared" si="0"/>
        <v>381.96100000000001</v>
      </c>
      <c r="V12" s="13"/>
      <c r="W12" s="13"/>
    </row>
    <row r="13" spans="1:30" ht="11.25" customHeight="1" x14ac:dyDescent="0.25">
      <c r="A13" s="84"/>
      <c r="B13" s="84"/>
      <c r="C13" s="84"/>
      <c r="D13" s="12" t="s">
        <v>31</v>
      </c>
      <c r="E13" s="12" t="s">
        <v>25</v>
      </c>
      <c r="F13" s="12" t="s">
        <v>25</v>
      </c>
      <c r="G13" s="13" t="s">
        <v>87</v>
      </c>
      <c r="H13" s="13" t="s">
        <v>82</v>
      </c>
      <c r="I13" s="13">
        <f>SUMIF(Mercado_Receita!$T$2:$T$644,"44440B1Energia convencionalResidencialResidencial baixa renda – faixa 03Não se aplicaNão se aplicaNão se aplica",Mercado_Receita!$N$2:$N$644)</f>
        <v>30.728999999999999</v>
      </c>
      <c r="J13" s="13">
        <f>SUMIF(Mercado_Receita!$T$2:$T$644,"44470B1Energia convencionalResidencialResidencial baixa renda – faixa 03Não se aplicaNão se aplicaNão se aplica",Mercado_Receita!$N$2:$N$644)</f>
        <v>31.2</v>
      </c>
      <c r="K13" s="13">
        <f>SUMIF(Mercado_Receita!$T$2:$T$644,"44501B1Energia convencionalResidencialResidencial baixa renda – faixa 03Não se aplicaNão se aplicaNão se aplica",Mercado_Receita!$N$2:$N$644)</f>
        <v>32.558</v>
      </c>
      <c r="L13" s="13">
        <f>SUMIF(Mercado_Receita!$T$2:$T$644,"44531B1Energia convencionalResidencialResidencial baixa renda – faixa 03Não se aplicaNão se aplicaNão se aplica",Mercado_Receita!$N$2:$N$644)</f>
        <v>33.174999999999997</v>
      </c>
      <c r="M13" s="13">
        <f>SUMIF(Mercado_Receita!$T$2:$T$644,"44562B1Energia convencionalResidencialResidencial baixa renda – faixa 03Não se aplicaNão se aplicaNão se aplica",Mercado_Receita!$N$2:$N$644)</f>
        <v>40.127000000000002</v>
      </c>
      <c r="N13" s="13">
        <f>SUMIF(Mercado_Receita!$T$2:$T$644,"44593B1Energia convencionalResidencialResidencial baixa renda – faixa 03Não se aplicaNão se aplicaNão se aplica",Mercado_Receita!$N$2:$N$644)</f>
        <v>48.387</v>
      </c>
      <c r="O13" s="13">
        <f>SUMIF(Mercado_Receita!$T$2:$T$644,"44621B1Energia convencionalResidencialResidencial baixa renda – faixa 03Não se aplicaNão se aplicaNão se aplica",Mercado_Receita!$N$2:$N$644)</f>
        <v>48.087000000000003</v>
      </c>
      <c r="P13" s="13">
        <f>SUMIF(Mercado_Receita!$T$2:$T$644,"44652B1Energia convencionalResidencialResidencial baixa renda – faixa 03Não se aplicaNão se aplicaNão se aplica",Mercado_Receita!$N$2:$N$644)</f>
        <v>44.235999999999997</v>
      </c>
      <c r="Q13" s="13">
        <f>SUMIF(Mercado_Receita!$T$2:$T$644,"44682B1Energia convencionalResidencialResidencial baixa renda – faixa 03Não se aplicaNão se aplicaNão se aplica",Mercado_Receita!$N$2:$N$644)</f>
        <v>39.167999999999999</v>
      </c>
      <c r="R13" s="13">
        <f>SUMIF(Mercado_Receita!$T$2:$T$644,"44713B1Energia convencionalResidencialResidencial baixa renda – faixa 03Não se aplicaNão se aplicaNão se aplica",Mercado_Receita!$N$2:$N$644)</f>
        <v>39.506</v>
      </c>
      <c r="S13" s="13">
        <f>SUMIF(Mercado_Receita!$T$2:$T$644,"44743B1Energia convencionalResidencialResidencial baixa renda – faixa 03Não se aplicaNão se aplicaNão se aplica",Mercado_Receita!$N$2:$N$644)</f>
        <v>37.194000000000003</v>
      </c>
      <c r="T13" s="13">
        <f>SUMIF(Mercado_Receita!$T$2:$T$644,"44774B1Energia convencionalResidencialResidencial baixa renda – faixa 03Não se aplicaNão se aplicaNão se aplica",Mercado_Receita!$N$2:$N$644)</f>
        <v>41.235999999999997</v>
      </c>
      <c r="U13" s="13">
        <f t="shared" si="0"/>
        <v>465.60300000000001</v>
      </c>
      <c r="V13" s="13"/>
      <c r="W13" s="13"/>
    </row>
    <row r="14" spans="1:30" ht="11.25" customHeight="1" x14ac:dyDescent="0.25">
      <c r="A14" s="84"/>
      <c r="B14" s="84"/>
      <c r="C14" s="84"/>
      <c r="D14" s="12" t="s">
        <v>32</v>
      </c>
      <c r="E14" s="12" t="s">
        <v>25</v>
      </c>
      <c r="F14" s="12" t="s">
        <v>25</v>
      </c>
      <c r="G14" s="13" t="s">
        <v>87</v>
      </c>
      <c r="H14" s="13" t="s">
        <v>82</v>
      </c>
      <c r="I14" s="13">
        <f>SUMIF(Mercado_Receita!$T$2:$T$644,"44440B1Energia convencionalResidencialResidencial baixa renda – faixa 04Não se aplicaNão se aplicaNão se aplica",Mercado_Receita!$N$2:$N$644)</f>
        <v>16.521999999999998</v>
      </c>
      <c r="J14" s="13">
        <f>SUMIF(Mercado_Receita!$T$2:$T$644,"44470B1Energia convencionalResidencialResidencial baixa renda – faixa 04Não se aplicaNão se aplicaNão se aplica",Mercado_Receita!$N$2:$N$644)</f>
        <v>17.109000000000002</v>
      </c>
      <c r="K14" s="13">
        <f>SUMIF(Mercado_Receita!$T$2:$T$644,"44501B1Energia convencionalResidencialResidencial baixa renda – faixa 04Não se aplicaNão se aplicaNão se aplica",Mercado_Receita!$N$2:$N$644)</f>
        <v>18.899000000000001</v>
      </c>
      <c r="L14" s="13">
        <f>SUMIF(Mercado_Receita!$T$2:$T$644,"44531B1Energia convencionalResidencialResidencial baixa renda – faixa 04Não se aplicaNão se aplicaNão se aplica",Mercado_Receita!$N$2:$N$644)</f>
        <v>21.431000000000001</v>
      </c>
      <c r="M14" s="13">
        <f>SUMIF(Mercado_Receita!$T$2:$T$644,"44562B1Energia convencionalResidencialResidencial baixa renda – faixa 04Não se aplicaNão se aplicaNão se aplica",Mercado_Receita!$N$2:$N$644)</f>
        <v>33.978999999999999</v>
      </c>
      <c r="N14" s="13">
        <f>SUMIF(Mercado_Receita!$T$2:$T$644,"44593B1Energia convencionalResidencialResidencial baixa renda – faixa 04Não se aplicaNão se aplicaNão se aplica",Mercado_Receita!$N$2:$N$644)</f>
        <v>50.307000000000002</v>
      </c>
      <c r="O14" s="13">
        <f>SUMIF(Mercado_Receita!$T$2:$T$644,"44621B1Energia convencionalResidencialResidencial baixa renda – faixa 04Não se aplicaNão se aplicaNão se aplica",Mercado_Receita!$N$2:$N$644)</f>
        <v>38.713999999999999</v>
      </c>
      <c r="P14" s="13">
        <f>SUMIF(Mercado_Receita!$T$2:$T$644,"44652B1Energia convencionalResidencialResidencial baixa renda – faixa 04Não se aplicaNão se aplicaNão se aplica",Mercado_Receita!$N$2:$N$644)</f>
        <v>23.859000000000002</v>
      </c>
      <c r="Q14" s="13">
        <f>SUMIF(Mercado_Receita!$T$2:$T$644,"44682B1Energia convencionalResidencialResidencial baixa renda – faixa 04Não se aplicaNão se aplicaNão se aplica",Mercado_Receita!$N$2:$N$644)</f>
        <v>18.257999999999999</v>
      </c>
      <c r="R14" s="13">
        <f>SUMIF(Mercado_Receita!$T$2:$T$644,"44713B1Energia convencionalResidencialResidencial baixa renda – faixa 04Não se aplicaNão se aplicaNão se aplica",Mercado_Receita!$N$2:$N$644)</f>
        <v>26.19</v>
      </c>
      <c r="S14" s="13">
        <f>SUMIF(Mercado_Receita!$T$2:$T$644,"44743B1Energia convencionalResidencialResidencial baixa renda – faixa 04Não se aplicaNão se aplicaNão se aplica",Mercado_Receita!$N$2:$N$644)</f>
        <v>23.417000000000002</v>
      </c>
      <c r="T14" s="13">
        <f>SUMIF(Mercado_Receita!$T$2:$T$644,"44774B1Energia convencionalResidencialResidencial baixa renda – faixa 04Não se aplicaNão se aplicaNão se aplica",Mercado_Receita!$N$2:$N$644)</f>
        <v>28.462</v>
      </c>
      <c r="U14" s="13">
        <f t="shared" si="0"/>
        <v>317.14700000000005</v>
      </c>
      <c r="V14" s="13"/>
      <c r="W14" s="13"/>
    </row>
    <row r="15" spans="1:30" ht="11.25" customHeight="1" x14ac:dyDescent="0.25">
      <c r="A15" s="84"/>
      <c r="B15" s="83" t="s">
        <v>98</v>
      </c>
      <c r="C15" s="83" t="s">
        <v>24</v>
      </c>
      <c r="D15" s="12" t="s">
        <v>24</v>
      </c>
      <c r="E15" s="12" t="s">
        <v>25</v>
      </c>
      <c r="F15" s="12" t="s">
        <v>25</v>
      </c>
      <c r="G15" s="13" t="s">
        <v>87</v>
      </c>
      <c r="H15" s="13" t="s">
        <v>82</v>
      </c>
      <c r="I15" s="13">
        <f>SUMIF(Mercado_Receita!$T$2:$T$644,"44440B1Energia convencional pré-pagamentoResidencialResidencialNão se aplicaNão se aplicaNão se aplica",Mercado_Receita!$N$2:$N$644)</f>
        <v>0</v>
      </c>
      <c r="J15" s="13">
        <f>SUMIF(Mercado_Receita!$T$2:$T$644,"44470B1Energia convencional pré-pagamentoResidencialResidencialNão se aplicaNão se aplicaNão se aplica",Mercado_Receita!$N$2:$N$644)</f>
        <v>0</v>
      </c>
      <c r="K15" s="13">
        <f>SUMIF(Mercado_Receita!$T$2:$T$644,"44501B1Energia convencional pré-pagamentoResidencialResidencialNão se aplicaNão se aplicaNão se aplica",Mercado_Receita!$N$2:$N$644)</f>
        <v>0</v>
      </c>
      <c r="L15" s="13">
        <f>SUMIF(Mercado_Receita!$T$2:$T$644,"44531B1Energia convencional pré-pagamentoResidencialResidencialNão se aplicaNão se aplicaNão se aplica",Mercado_Receita!$N$2:$N$644)</f>
        <v>0</v>
      </c>
      <c r="M15" s="13">
        <f>SUMIF(Mercado_Receita!$T$2:$T$644,"44562B1Energia convencional pré-pagamentoResidencialResidencialNão se aplicaNão se aplicaNão se aplica",Mercado_Receita!$N$2:$N$644)</f>
        <v>0</v>
      </c>
      <c r="N15" s="13">
        <f>SUMIF(Mercado_Receita!$T$2:$T$644,"44593B1Energia convencional pré-pagamentoResidencialResidencialNão se aplicaNão se aplicaNão se aplica",Mercado_Receita!$N$2:$N$644)</f>
        <v>0</v>
      </c>
      <c r="O15" s="13">
        <f>SUMIF(Mercado_Receita!$T$2:$T$644,"44621B1Energia convencional pré-pagamentoResidencialResidencialNão se aplicaNão se aplicaNão se aplica",Mercado_Receita!$N$2:$N$644)</f>
        <v>0</v>
      </c>
      <c r="P15" s="13">
        <f>SUMIF(Mercado_Receita!$T$2:$T$644,"44652B1Energia convencional pré-pagamentoResidencialResidencialNão se aplicaNão se aplicaNão se aplica",Mercado_Receita!$N$2:$N$644)</f>
        <v>0</v>
      </c>
      <c r="Q15" s="13">
        <f>SUMIF(Mercado_Receita!$T$2:$T$644,"44682B1Energia convencional pré-pagamentoResidencialResidencialNão se aplicaNão se aplicaNão se aplica",Mercado_Receita!$N$2:$N$644)</f>
        <v>0</v>
      </c>
      <c r="R15" s="13">
        <f>SUMIF(Mercado_Receita!$T$2:$T$644,"44713B1Energia convencional pré-pagamentoResidencialResidencialNão se aplicaNão se aplicaNão se aplica",Mercado_Receita!$N$2:$N$644)</f>
        <v>0</v>
      </c>
      <c r="S15" s="13">
        <f>SUMIF(Mercado_Receita!$T$2:$T$644,"44743B1Energia convencional pré-pagamentoResidencialResidencialNão se aplicaNão se aplicaNão se aplica",Mercado_Receita!$N$2:$N$644)</f>
        <v>0</v>
      </c>
      <c r="T15" s="13">
        <f>SUMIF(Mercado_Receita!$T$2:$T$644,"44774B1Energia convencional pré-pagamentoResidencialResidencialNão se aplicaNão se aplicaNão se aplica",Mercado_Receita!$N$2:$N$644)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4"/>
      <c r="B16" s="84"/>
      <c r="C16" s="84"/>
      <c r="D16" s="12" t="s">
        <v>29</v>
      </c>
      <c r="E16" s="12" t="s">
        <v>25</v>
      </c>
      <c r="F16" s="12" t="s">
        <v>25</v>
      </c>
      <c r="G16" s="13" t="s">
        <v>87</v>
      </c>
      <c r="H16" s="13" t="s">
        <v>82</v>
      </c>
      <c r="I16" s="13">
        <f>SUMIF(Mercado_Receita!$T$2:$T$644,"44440B1Energia convencional pré-pagamentoResidencialResidencial baixa renda – faixa 01Não se aplicaNão se aplicaNão se aplica",Mercado_Receita!$N$2:$N$644)</f>
        <v>0</v>
      </c>
      <c r="J16" s="13">
        <f>SUMIF(Mercado_Receita!$T$2:$T$644,"44470B1Energia convencional pré-pagamentoResidencialResidencial baixa renda – faixa 01Não se aplicaNão se aplicaNão se aplica",Mercado_Receita!$N$2:$N$644)</f>
        <v>0</v>
      </c>
      <c r="K16" s="13">
        <f>SUMIF(Mercado_Receita!$T$2:$T$644,"44501B1Energia convencional pré-pagamentoResidencialResidencial baixa renda – faixa 01Não se aplicaNão se aplicaNão se aplica",Mercado_Receita!$N$2:$N$644)</f>
        <v>0</v>
      </c>
      <c r="L16" s="13">
        <f>SUMIF(Mercado_Receita!$T$2:$T$644,"44531B1Energia convencional pré-pagamentoResidencialResidencial baixa renda – faixa 01Não se aplicaNão se aplicaNão se aplica",Mercado_Receita!$N$2:$N$644)</f>
        <v>0</v>
      </c>
      <c r="M16" s="13">
        <f>SUMIF(Mercado_Receita!$T$2:$T$644,"44562B1Energia convencional pré-pagamentoResidencialResidencial baixa renda – faixa 01Não se aplicaNão se aplicaNão se aplica",Mercado_Receita!$N$2:$N$644)</f>
        <v>0</v>
      </c>
      <c r="N16" s="13">
        <f>SUMIF(Mercado_Receita!$T$2:$T$644,"44593B1Energia convencional pré-pagamentoResidencialResidencial baixa renda – faixa 01Não se aplicaNão se aplicaNão se aplica",Mercado_Receita!$N$2:$N$644)</f>
        <v>0</v>
      </c>
      <c r="O16" s="13">
        <f>SUMIF(Mercado_Receita!$T$2:$T$644,"44621B1Energia convencional pré-pagamentoResidencialResidencial baixa renda – faixa 01Não se aplicaNão se aplicaNão se aplica",Mercado_Receita!$N$2:$N$644)</f>
        <v>0</v>
      </c>
      <c r="P16" s="13">
        <f>SUMIF(Mercado_Receita!$T$2:$T$644,"44652B1Energia convencional pré-pagamentoResidencialResidencial baixa renda – faixa 01Não se aplicaNão se aplicaNão se aplica",Mercado_Receita!$N$2:$N$644)</f>
        <v>0</v>
      </c>
      <c r="Q16" s="13">
        <f>SUMIF(Mercado_Receita!$T$2:$T$644,"44682B1Energia convencional pré-pagamentoResidencialResidencial baixa renda – faixa 01Não se aplicaNão se aplicaNão se aplica",Mercado_Receita!$N$2:$N$644)</f>
        <v>0</v>
      </c>
      <c r="R16" s="13">
        <f>SUMIF(Mercado_Receita!$T$2:$T$644,"44713B1Energia convencional pré-pagamentoResidencialResidencial baixa renda – faixa 01Não se aplicaNão se aplicaNão se aplica",Mercado_Receita!$N$2:$N$644)</f>
        <v>0</v>
      </c>
      <c r="S16" s="13">
        <f>SUMIF(Mercado_Receita!$T$2:$T$644,"44743B1Energia convencional pré-pagamentoResidencialResidencial baixa renda – faixa 01Não se aplicaNão se aplicaNão se aplica",Mercado_Receita!$N$2:$N$644)</f>
        <v>0</v>
      </c>
      <c r="T16" s="13">
        <f>SUMIF(Mercado_Receita!$T$2:$T$644,"44774B1Energia convencional pré-pagamentoResidencialResidencial baixa renda – faixa 01Não se aplicaNão se aplicaNão se aplica",Mercado_Receita!$N$2:$N$644)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4"/>
      <c r="B17" s="84"/>
      <c r="C17" s="84"/>
      <c r="D17" s="12" t="s">
        <v>30</v>
      </c>
      <c r="E17" s="12" t="s">
        <v>25</v>
      </c>
      <c r="F17" s="12" t="s">
        <v>25</v>
      </c>
      <c r="G17" s="13" t="s">
        <v>87</v>
      </c>
      <c r="H17" s="13" t="s">
        <v>82</v>
      </c>
      <c r="I17" s="13">
        <f>SUMIF(Mercado_Receita!$T$2:$T$644,"44440B1Energia convencional pré-pagamentoResidencialResidencial baixa renda – faixa 02Não se aplicaNão se aplicaNão se aplica",Mercado_Receita!$N$2:$N$644)</f>
        <v>0</v>
      </c>
      <c r="J17" s="13">
        <f>SUMIF(Mercado_Receita!$T$2:$T$644,"44470B1Energia convencional pré-pagamentoResidencialResidencial baixa renda – faixa 02Não se aplicaNão se aplicaNão se aplica",Mercado_Receita!$N$2:$N$644)</f>
        <v>0</v>
      </c>
      <c r="K17" s="13">
        <f>SUMIF(Mercado_Receita!$T$2:$T$644,"44501B1Energia convencional pré-pagamentoResidencialResidencial baixa renda – faixa 02Não se aplicaNão se aplicaNão se aplica",Mercado_Receita!$N$2:$N$644)</f>
        <v>0</v>
      </c>
      <c r="L17" s="13">
        <f>SUMIF(Mercado_Receita!$T$2:$T$644,"44531B1Energia convencional pré-pagamentoResidencialResidencial baixa renda – faixa 02Não se aplicaNão se aplicaNão se aplica",Mercado_Receita!$N$2:$N$644)</f>
        <v>0</v>
      </c>
      <c r="M17" s="13">
        <f>SUMIF(Mercado_Receita!$T$2:$T$644,"44562B1Energia convencional pré-pagamentoResidencialResidencial baixa renda – faixa 02Não se aplicaNão se aplicaNão se aplica",Mercado_Receita!$N$2:$N$644)</f>
        <v>0</v>
      </c>
      <c r="N17" s="13">
        <f>SUMIF(Mercado_Receita!$T$2:$T$644,"44593B1Energia convencional pré-pagamentoResidencialResidencial baixa renda – faixa 02Não se aplicaNão se aplicaNão se aplica",Mercado_Receita!$N$2:$N$644)</f>
        <v>0</v>
      </c>
      <c r="O17" s="13">
        <f>SUMIF(Mercado_Receita!$T$2:$T$644,"44621B1Energia convencional pré-pagamentoResidencialResidencial baixa renda – faixa 02Não se aplicaNão se aplicaNão se aplica",Mercado_Receita!$N$2:$N$644)</f>
        <v>0</v>
      </c>
      <c r="P17" s="13">
        <f>SUMIF(Mercado_Receita!$T$2:$T$644,"44652B1Energia convencional pré-pagamentoResidencialResidencial baixa renda – faixa 02Não se aplicaNão se aplicaNão se aplica",Mercado_Receita!$N$2:$N$644)</f>
        <v>0</v>
      </c>
      <c r="Q17" s="13">
        <f>SUMIF(Mercado_Receita!$T$2:$T$644,"44682B1Energia convencional pré-pagamentoResidencialResidencial baixa renda – faixa 02Não se aplicaNão se aplicaNão se aplica",Mercado_Receita!$N$2:$N$644)</f>
        <v>0</v>
      </c>
      <c r="R17" s="13">
        <f>SUMIF(Mercado_Receita!$T$2:$T$644,"44713B1Energia convencional pré-pagamentoResidencialResidencial baixa renda – faixa 02Não se aplicaNão se aplicaNão se aplica",Mercado_Receita!$N$2:$N$644)</f>
        <v>0</v>
      </c>
      <c r="S17" s="13">
        <f>SUMIF(Mercado_Receita!$T$2:$T$644,"44743B1Energia convencional pré-pagamentoResidencialResidencial baixa renda – faixa 02Não se aplicaNão se aplicaNão se aplica",Mercado_Receita!$N$2:$N$644)</f>
        <v>0</v>
      </c>
      <c r="T17" s="13">
        <f>SUMIF(Mercado_Receita!$T$2:$T$644,"44774B1Energia convencional pré-pagamentoResidencialResidencial baixa renda – faixa 02Não se aplicaNão se aplicaNão se aplica",Mercado_Receita!$N$2:$N$644)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4"/>
      <c r="B18" s="84"/>
      <c r="C18" s="84"/>
      <c r="D18" s="12" t="s">
        <v>31</v>
      </c>
      <c r="E18" s="12" t="s">
        <v>25</v>
      </c>
      <c r="F18" s="12" t="s">
        <v>25</v>
      </c>
      <c r="G18" s="13" t="s">
        <v>87</v>
      </c>
      <c r="H18" s="13" t="s">
        <v>82</v>
      </c>
      <c r="I18" s="13">
        <f>SUMIF(Mercado_Receita!$T$2:$T$644,"44440B1Energia convencional pré-pagamentoResidencialResidencial baixa renda – faixa 03Não se aplicaNão se aplicaNão se aplica",Mercado_Receita!$N$2:$N$644)</f>
        <v>0</v>
      </c>
      <c r="J18" s="13">
        <f>SUMIF(Mercado_Receita!$T$2:$T$644,"44470B1Energia convencional pré-pagamentoResidencialResidencial baixa renda – faixa 03Não se aplicaNão se aplicaNão se aplica",Mercado_Receita!$N$2:$N$644)</f>
        <v>0</v>
      </c>
      <c r="K18" s="13">
        <f>SUMIF(Mercado_Receita!$T$2:$T$644,"44501B1Energia convencional pré-pagamentoResidencialResidencial baixa renda – faixa 03Não se aplicaNão se aplicaNão se aplica",Mercado_Receita!$N$2:$N$644)</f>
        <v>0</v>
      </c>
      <c r="L18" s="13">
        <f>SUMIF(Mercado_Receita!$T$2:$T$644,"44531B1Energia convencional pré-pagamentoResidencialResidencial baixa renda – faixa 03Não se aplicaNão se aplicaNão se aplica",Mercado_Receita!$N$2:$N$644)</f>
        <v>0</v>
      </c>
      <c r="M18" s="13">
        <f>SUMIF(Mercado_Receita!$T$2:$T$644,"44562B1Energia convencional pré-pagamentoResidencialResidencial baixa renda – faixa 03Não se aplicaNão se aplicaNão se aplica",Mercado_Receita!$N$2:$N$644)</f>
        <v>0</v>
      </c>
      <c r="N18" s="13">
        <f>SUMIF(Mercado_Receita!$T$2:$T$644,"44593B1Energia convencional pré-pagamentoResidencialResidencial baixa renda – faixa 03Não se aplicaNão se aplicaNão se aplica",Mercado_Receita!$N$2:$N$644)</f>
        <v>0</v>
      </c>
      <c r="O18" s="13">
        <f>SUMIF(Mercado_Receita!$T$2:$T$644,"44621B1Energia convencional pré-pagamentoResidencialResidencial baixa renda – faixa 03Não se aplicaNão se aplicaNão se aplica",Mercado_Receita!$N$2:$N$644)</f>
        <v>0</v>
      </c>
      <c r="P18" s="13">
        <f>SUMIF(Mercado_Receita!$T$2:$T$644,"44652B1Energia convencional pré-pagamentoResidencialResidencial baixa renda – faixa 03Não se aplicaNão se aplicaNão se aplica",Mercado_Receita!$N$2:$N$644)</f>
        <v>0</v>
      </c>
      <c r="Q18" s="13">
        <f>SUMIF(Mercado_Receita!$T$2:$T$644,"44682B1Energia convencional pré-pagamentoResidencialResidencial baixa renda – faixa 03Não se aplicaNão se aplicaNão se aplica",Mercado_Receita!$N$2:$N$644)</f>
        <v>0</v>
      </c>
      <c r="R18" s="13">
        <f>SUMIF(Mercado_Receita!$T$2:$T$644,"44713B1Energia convencional pré-pagamentoResidencialResidencial baixa renda – faixa 03Não se aplicaNão se aplicaNão se aplica",Mercado_Receita!$N$2:$N$644)</f>
        <v>0</v>
      </c>
      <c r="S18" s="13">
        <f>SUMIF(Mercado_Receita!$T$2:$T$644,"44743B1Energia convencional pré-pagamentoResidencialResidencial baixa renda – faixa 03Não se aplicaNão se aplicaNão se aplica",Mercado_Receita!$N$2:$N$644)</f>
        <v>0</v>
      </c>
      <c r="T18" s="13">
        <f>SUMIF(Mercado_Receita!$T$2:$T$644,"44774B1Energia convencional pré-pagamentoResidencialResidencial baixa renda – faixa 03Não se aplicaNão se aplicaNão se aplica",Mercado_Receita!$N$2:$N$644)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4"/>
      <c r="B19" s="84"/>
      <c r="C19" s="84"/>
      <c r="D19" s="12" t="s">
        <v>32</v>
      </c>
      <c r="E19" s="12" t="s">
        <v>25</v>
      </c>
      <c r="F19" s="12" t="s">
        <v>25</v>
      </c>
      <c r="G19" s="13" t="s">
        <v>87</v>
      </c>
      <c r="H19" s="13" t="s">
        <v>82</v>
      </c>
      <c r="I19" s="13">
        <f>SUMIF(Mercado_Receita!$T$2:$T$644,"44440B1Energia convencional pré-pagamentoResidencialResidencial baixa renda – faixa 04Não se aplicaNão se aplicaNão se aplica",Mercado_Receita!$N$2:$N$644)</f>
        <v>0</v>
      </c>
      <c r="J19" s="13">
        <f>SUMIF(Mercado_Receita!$T$2:$T$644,"44470B1Energia convencional pré-pagamentoResidencialResidencial baixa renda – faixa 04Não se aplicaNão se aplicaNão se aplica",Mercado_Receita!$N$2:$N$644)</f>
        <v>0</v>
      </c>
      <c r="K19" s="13">
        <f>SUMIF(Mercado_Receita!$T$2:$T$644,"44501B1Energia convencional pré-pagamentoResidencialResidencial baixa renda – faixa 04Não se aplicaNão se aplicaNão se aplica",Mercado_Receita!$N$2:$N$644)</f>
        <v>0</v>
      </c>
      <c r="L19" s="13">
        <f>SUMIF(Mercado_Receita!$T$2:$T$644,"44531B1Energia convencional pré-pagamentoResidencialResidencial baixa renda – faixa 04Não se aplicaNão se aplicaNão se aplica",Mercado_Receita!$N$2:$N$644)</f>
        <v>0</v>
      </c>
      <c r="M19" s="13">
        <f>SUMIF(Mercado_Receita!$T$2:$T$644,"44562B1Energia convencional pré-pagamentoResidencialResidencial baixa renda – faixa 04Não se aplicaNão se aplicaNão se aplica",Mercado_Receita!$N$2:$N$644)</f>
        <v>0</v>
      </c>
      <c r="N19" s="13">
        <f>SUMIF(Mercado_Receita!$T$2:$T$644,"44593B1Energia convencional pré-pagamentoResidencialResidencial baixa renda – faixa 04Não se aplicaNão se aplicaNão se aplica",Mercado_Receita!$N$2:$N$644)</f>
        <v>0</v>
      </c>
      <c r="O19" s="13">
        <f>SUMIF(Mercado_Receita!$T$2:$T$644,"44621B1Energia convencional pré-pagamentoResidencialResidencial baixa renda – faixa 04Não se aplicaNão se aplicaNão se aplica",Mercado_Receita!$N$2:$N$644)</f>
        <v>0</v>
      </c>
      <c r="P19" s="13">
        <f>SUMIF(Mercado_Receita!$T$2:$T$644,"44652B1Energia convencional pré-pagamentoResidencialResidencial baixa renda – faixa 04Não se aplicaNão se aplicaNão se aplica",Mercado_Receita!$N$2:$N$644)</f>
        <v>0</v>
      </c>
      <c r="Q19" s="13">
        <f>SUMIF(Mercado_Receita!$T$2:$T$644,"44682B1Energia convencional pré-pagamentoResidencialResidencial baixa renda – faixa 04Não se aplicaNão se aplicaNão se aplica",Mercado_Receita!$N$2:$N$644)</f>
        <v>0</v>
      </c>
      <c r="R19" s="13">
        <f>SUMIF(Mercado_Receita!$T$2:$T$644,"44713B1Energia convencional pré-pagamentoResidencialResidencial baixa renda – faixa 04Não se aplicaNão se aplicaNão se aplica",Mercado_Receita!$N$2:$N$644)</f>
        <v>0</v>
      </c>
      <c r="S19" s="13">
        <f>SUMIF(Mercado_Receita!$T$2:$T$644,"44743B1Energia convencional pré-pagamentoResidencialResidencial baixa renda – faixa 04Não se aplicaNão se aplicaNão se aplica",Mercado_Receita!$N$2:$N$644)</f>
        <v>0</v>
      </c>
      <c r="T19" s="13">
        <f>SUMIF(Mercado_Receita!$T$2:$T$644,"44774B1Energia convencional pré-pagamentoResidencialResidencial baixa renda – faixa 04Não se aplicaNão se aplicaNão se aplica",Mercado_Receita!$N$2:$N$644)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3" t="s">
        <v>40</v>
      </c>
      <c r="B20" s="83" t="s">
        <v>81</v>
      </c>
      <c r="C20" s="83" t="s">
        <v>41</v>
      </c>
      <c r="D20" s="83" t="s">
        <v>25</v>
      </c>
      <c r="E20" s="83" t="s">
        <v>25</v>
      </c>
      <c r="F20" s="83" t="s">
        <v>25</v>
      </c>
      <c r="G20" s="13" t="s">
        <v>83</v>
      </c>
      <c r="H20" s="13" t="s">
        <v>82</v>
      </c>
      <c r="I20" s="13">
        <f>SUMIF(Mercado_Receita!$T$2:$T$644,"44440B2Energia horáriaRuralNão se aplicaNão se aplicaNão se aplicaPonta",Mercado_Receita!$N$2:$N$644)</f>
        <v>0</v>
      </c>
      <c r="J20" s="13">
        <f>SUMIF(Mercado_Receita!$T$2:$T$644,"44470B2Energia horáriaRuralNão se aplicaNão se aplicaNão se aplicaPonta",Mercado_Receita!$N$2:$N$644)</f>
        <v>0</v>
      </c>
      <c r="K20" s="13">
        <f>SUMIF(Mercado_Receita!$T$2:$T$644,"44501B2Energia horáriaRuralNão se aplicaNão se aplicaNão se aplicaPonta",Mercado_Receita!$N$2:$N$644)</f>
        <v>0</v>
      </c>
      <c r="L20" s="13">
        <f>SUMIF(Mercado_Receita!$T$2:$T$644,"44531B2Energia horáriaRuralNão se aplicaNão se aplicaNão se aplicaPonta",Mercado_Receita!$N$2:$N$644)</f>
        <v>0</v>
      </c>
      <c r="M20" s="13">
        <f>SUMIF(Mercado_Receita!$T$2:$T$644,"44562B2Energia horáriaRuralNão se aplicaNão se aplicaNão se aplicaPonta",Mercado_Receita!$N$2:$N$644)</f>
        <v>0</v>
      </c>
      <c r="N20" s="13">
        <f>SUMIF(Mercado_Receita!$T$2:$T$644,"44593B2Energia horáriaRuralNão se aplicaNão se aplicaNão se aplicaPonta",Mercado_Receita!$N$2:$N$644)</f>
        <v>0</v>
      </c>
      <c r="O20" s="13">
        <f>SUMIF(Mercado_Receita!$T$2:$T$644,"44621B2Energia horáriaRuralNão se aplicaNão se aplicaNão se aplicaPonta",Mercado_Receita!$N$2:$N$644)</f>
        <v>0</v>
      </c>
      <c r="P20" s="13">
        <f>SUMIF(Mercado_Receita!$T$2:$T$644,"44652B2Energia horáriaRuralNão se aplicaNão se aplicaNão se aplicaPonta",Mercado_Receita!$N$2:$N$644)</f>
        <v>0</v>
      </c>
      <c r="Q20" s="13">
        <f>SUMIF(Mercado_Receita!$T$2:$T$644,"44682B2Energia horáriaRuralNão se aplicaNão se aplicaNão se aplicaPonta",Mercado_Receita!$N$2:$N$644)</f>
        <v>0</v>
      </c>
      <c r="R20" s="13">
        <f>SUMIF(Mercado_Receita!$T$2:$T$644,"44713B2Energia horáriaRuralNão se aplicaNão se aplicaNão se aplicaPonta",Mercado_Receita!$N$2:$N$644)</f>
        <v>0</v>
      </c>
      <c r="S20" s="13">
        <f>SUMIF(Mercado_Receita!$T$2:$T$644,"44743B2Energia horáriaRuralNão se aplicaNão se aplicaNão se aplicaPonta",Mercado_Receita!$N$2:$N$644)</f>
        <v>0</v>
      </c>
      <c r="T20" s="13">
        <f>SUMIF(Mercado_Receita!$T$2:$T$644,"44774B2Energia horáriaRuralNão se aplicaNão se aplicaNão se aplicaPonta",Mercado_Receita!$N$2:$N$644)</f>
        <v>0</v>
      </c>
      <c r="U20" s="13">
        <f t="shared" si="0"/>
        <v>0</v>
      </c>
      <c r="V20" s="13"/>
      <c r="W20" s="13"/>
    </row>
    <row r="21" spans="1:23" ht="11.25" customHeight="1" x14ac:dyDescent="0.25">
      <c r="A21" s="84"/>
      <c r="B21" s="84"/>
      <c r="C21" s="84"/>
      <c r="D21" s="84"/>
      <c r="E21" s="84"/>
      <c r="F21" s="84"/>
      <c r="G21" s="13" t="s">
        <v>95</v>
      </c>
      <c r="H21" s="13" t="s">
        <v>82</v>
      </c>
      <c r="I21" s="13">
        <f>SUMIF(Mercado_Receita!$T$2:$T$644,"44440B2Energia horáriaRuralNão se aplicaNão se aplicaNão se aplicaIntermediário",Mercado_Receita!$N$2:$N$644)</f>
        <v>0</v>
      </c>
      <c r="J21" s="13">
        <f>SUMIF(Mercado_Receita!$T$2:$T$644,"44470B2Energia horáriaRuralNão se aplicaNão se aplicaNão se aplicaIntermediário",Mercado_Receita!$N$2:$N$644)</f>
        <v>0</v>
      </c>
      <c r="K21" s="13">
        <f>SUMIF(Mercado_Receita!$T$2:$T$644,"44501B2Energia horáriaRuralNão se aplicaNão se aplicaNão se aplicaIntermediário",Mercado_Receita!$N$2:$N$644)</f>
        <v>0</v>
      </c>
      <c r="L21" s="13">
        <f>SUMIF(Mercado_Receita!$T$2:$T$644,"44531B2Energia horáriaRuralNão se aplicaNão se aplicaNão se aplicaIntermediário",Mercado_Receita!$N$2:$N$644)</f>
        <v>0</v>
      </c>
      <c r="M21" s="13">
        <f>SUMIF(Mercado_Receita!$T$2:$T$644,"44562B2Energia horáriaRuralNão se aplicaNão se aplicaNão se aplicaIntermediário",Mercado_Receita!$N$2:$N$644)</f>
        <v>0</v>
      </c>
      <c r="N21" s="13">
        <f>SUMIF(Mercado_Receita!$T$2:$T$644,"44593B2Energia horáriaRuralNão se aplicaNão se aplicaNão se aplicaIntermediário",Mercado_Receita!$N$2:$N$644)</f>
        <v>0</v>
      </c>
      <c r="O21" s="13">
        <f>SUMIF(Mercado_Receita!$T$2:$T$644,"44621B2Energia horáriaRuralNão se aplicaNão se aplicaNão se aplicaIntermediário",Mercado_Receita!$N$2:$N$644)</f>
        <v>0</v>
      </c>
      <c r="P21" s="13">
        <f>SUMIF(Mercado_Receita!$T$2:$T$644,"44652B2Energia horáriaRuralNão se aplicaNão se aplicaNão se aplicaIntermediário",Mercado_Receita!$N$2:$N$644)</f>
        <v>0</v>
      </c>
      <c r="Q21" s="13">
        <f>SUMIF(Mercado_Receita!$T$2:$T$644,"44682B2Energia horáriaRuralNão se aplicaNão se aplicaNão se aplicaIntermediário",Mercado_Receita!$N$2:$N$644)</f>
        <v>0</v>
      </c>
      <c r="R21" s="13">
        <f>SUMIF(Mercado_Receita!$T$2:$T$644,"44713B2Energia horáriaRuralNão se aplicaNão se aplicaNão se aplicaIntermediário",Mercado_Receita!$N$2:$N$644)</f>
        <v>0</v>
      </c>
      <c r="S21" s="13">
        <f>SUMIF(Mercado_Receita!$T$2:$T$644,"44743B2Energia horáriaRuralNão se aplicaNão se aplicaNão se aplicaIntermediário",Mercado_Receita!$N$2:$N$644)</f>
        <v>0</v>
      </c>
      <c r="T21" s="13">
        <f>SUMIF(Mercado_Receita!$T$2:$T$644,"44774B2Energia horáriaRuralNão se aplicaNão se aplicaNão se aplicaIntermediário",Mercado_Receita!$N$2:$N$644)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84"/>
      <c r="B22" s="84"/>
      <c r="C22" s="84"/>
      <c r="D22" s="84"/>
      <c r="E22" s="84"/>
      <c r="F22" s="84"/>
      <c r="G22" s="13" t="s">
        <v>84</v>
      </c>
      <c r="H22" s="13" t="s">
        <v>82</v>
      </c>
      <c r="I22" s="13">
        <f>SUMIF(Mercado_Receita!$T$2:$T$644,"44440B2Energia horáriaRuralNão se aplicaNão se aplicaNão se aplicaFora ponta",Mercado_Receita!$N$2:$N$644)</f>
        <v>0</v>
      </c>
      <c r="J22" s="13">
        <f>SUMIF(Mercado_Receita!$T$2:$T$644,"44470B2Energia horáriaRuralNão se aplicaNão se aplicaNão se aplicaFora ponta",Mercado_Receita!$N$2:$N$644)</f>
        <v>0</v>
      </c>
      <c r="K22" s="13">
        <f>SUMIF(Mercado_Receita!$T$2:$T$644,"44501B2Energia horáriaRuralNão se aplicaNão se aplicaNão se aplicaFora ponta",Mercado_Receita!$N$2:$N$644)</f>
        <v>0</v>
      </c>
      <c r="L22" s="13">
        <f>SUMIF(Mercado_Receita!$T$2:$T$644,"44531B2Energia horáriaRuralNão se aplicaNão se aplicaNão se aplicaFora ponta",Mercado_Receita!$N$2:$N$644)</f>
        <v>0</v>
      </c>
      <c r="M22" s="13">
        <f>SUMIF(Mercado_Receita!$T$2:$T$644,"44562B2Energia horáriaRuralNão se aplicaNão se aplicaNão se aplicaFora ponta",Mercado_Receita!$N$2:$N$644)</f>
        <v>0</v>
      </c>
      <c r="N22" s="13">
        <f>SUMIF(Mercado_Receita!$T$2:$T$644,"44593B2Energia horáriaRuralNão se aplicaNão se aplicaNão se aplicaFora ponta",Mercado_Receita!$N$2:$N$644)</f>
        <v>0</v>
      </c>
      <c r="O22" s="13">
        <f>SUMIF(Mercado_Receita!$T$2:$T$644,"44621B2Energia horáriaRuralNão se aplicaNão se aplicaNão se aplicaFora ponta",Mercado_Receita!$N$2:$N$644)</f>
        <v>0</v>
      </c>
      <c r="P22" s="13">
        <f>SUMIF(Mercado_Receita!$T$2:$T$644,"44652B2Energia horáriaRuralNão se aplicaNão se aplicaNão se aplicaFora ponta",Mercado_Receita!$N$2:$N$644)</f>
        <v>0</v>
      </c>
      <c r="Q22" s="13">
        <f>SUMIF(Mercado_Receita!$T$2:$T$644,"44682B2Energia horáriaRuralNão se aplicaNão se aplicaNão se aplicaFora ponta",Mercado_Receita!$N$2:$N$644)</f>
        <v>0</v>
      </c>
      <c r="R22" s="13">
        <f>SUMIF(Mercado_Receita!$T$2:$T$644,"44713B2Energia horáriaRuralNão se aplicaNão se aplicaNão se aplicaFora ponta",Mercado_Receita!$N$2:$N$644)</f>
        <v>0</v>
      </c>
      <c r="S22" s="13">
        <f>SUMIF(Mercado_Receita!$T$2:$T$644,"44743B2Energia horáriaRuralNão se aplicaNão se aplicaNão se aplicaFora ponta",Mercado_Receita!$N$2:$N$644)</f>
        <v>0</v>
      </c>
      <c r="T22" s="13">
        <f>SUMIF(Mercado_Receita!$T$2:$T$644,"44774B2Energia horáriaRuralNão se aplicaNão se aplicaNão se aplicaFora ponta",Mercado_Receita!$N$2:$N$644)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4"/>
      <c r="B23" s="12" t="s">
        <v>96</v>
      </c>
      <c r="C23" s="12" t="s">
        <v>41</v>
      </c>
      <c r="D23" s="12" t="s">
        <v>25</v>
      </c>
      <c r="E23" s="12" t="s">
        <v>25</v>
      </c>
      <c r="F23" s="12" t="s">
        <v>25</v>
      </c>
      <c r="G23" s="13" t="s">
        <v>87</v>
      </c>
      <c r="H23" s="13" t="s">
        <v>82</v>
      </c>
      <c r="I23" s="13">
        <f>SUMIF(Mercado_Receita!$T$2:$T$644,"44440B2Energia convencionalRuralNão se aplicaNão se aplicaNão se aplicaNão se aplica",Mercado_Receita!$N$2:$N$644)</f>
        <v>2281.8879999999999</v>
      </c>
      <c r="J23" s="13">
        <f>SUMIF(Mercado_Receita!$T$2:$T$644,"44470B2Energia convencionalRuralNão se aplicaNão se aplicaNão se aplicaNão se aplica",Mercado_Receita!$N$2:$N$644)</f>
        <v>2635.22</v>
      </c>
      <c r="K23" s="13">
        <f>SUMIF(Mercado_Receita!$T$2:$T$644,"44501B2Energia convencionalRuralNão se aplicaNão se aplicaNão se aplicaNão se aplica",Mercado_Receita!$N$2:$N$644)</f>
        <v>2583.3159999999998</v>
      </c>
      <c r="L23" s="13">
        <f>SUMIF(Mercado_Receita!$T$2:$T$644,"44531B2Energia convencionalRuralNão se aplicaNão se aplicaNão se aplicaNão se aplica",Mercado_Receita!$N$2:$N$644)</f>
        <v>2423.3759999999997</v>
      </c>
      <c r="M23" s="13">
        <f>SUMIF(Mercado_Receita!$T$2:$T$644,"44562B2Energia convencionalRuralNão se aplicaNão se aplicaNão se aplicaNão se aplica",Mercado_Receita!$N$2:$N$644)</f>
        <v>2529.4270000000001</v>
      </c>
      <c r="N23" s="13">
        <f>SUMIF(Mercado_Receita!$T$2:$T$644,"44593B2Energia convencionalRuralNão se aplicaNão se aplicaNão se aplicaNão se aplica",Mercado_Receita!$N$2:$N$644)</f>
        <v>2609.1110000000003</v>
      </c>
      <c r="O23" s="13">
        <f>SUMIF(Mercado_Receita!$T$2:$T$644,"44621B2Energia convencionalRuralNão se aplicaNão se aplicaNão se aplicaNão se aplica",Mercado_Receita!$N$2:$N$644)</f>
        <v>2466.1839999999997</v>
      </c>
      <c r="P23" s="13">
        <f>SUMIF(Mercado_Receita!$T$2:$T$644,"44652B2Energia convencionalRuralNão se aplicaNão se aplicaNão se aplicaNão se aplica",Mercado_Receita!$N$2:$N$644)</f>
        <v>2258.7400000000002</v>
      </c>
      <c r="Q23" s="13">
        <f>SUMIF(Mercado_Receita!$T$2:$T$644,"44682B2Energia convencionalRuralNão se aplicaNão se aplicaNão se aplicaNão se aplica",Mercado_Receita!$N$2:$N$644)</f>
        <v>2192.1000000000004</v>
      </c>
      <c r="R23" s="13">
        <f>SUMIF(Mercado_Receita!$T$2:$T$644,"44713B2Energia convencionalRuralNão se aplicaNão se aplicaNão se aplicaNão se aplica",Mercado_Receita!$N$2:$N$644)</f>
        <v>2188.509</v>
      </c>
      <c r="S23" s="13">
        <f>SUMIF(Mercado_Receita!$T$2:$T$644,"44743B2Energia convencionalRuralNão se aplicaNão se aplicaNão se aplicaNão se aplica",Mercado_Receita!$N$2:$N$644)</f>
        <v>1826.153</v>
      </c>
      <c r="T23" s="13">
        <f>SUMIF(Mercado_Receita!$T$2:$T$644,"44774B2Energia convencionalRuralNão se aplicaNão se aplicaNão se aplicaNão se aplica",Mercado_Receita!$N$2:$N$644)</f>
        <v>2161.3159999999998</v>
      </c>
      <c r="U23" s="13">
        <f t="shared" si="0"/>
        <v>28155.339999999997</v>
      </c>
      <c r="V23" s="13"/>
      <c r="W23" s="13"/>
    </row>
    <row r="24" spans="1:23" ht="11.25" customHeight="1" x14ac:dyDescent="0.25">
      <c r="A24" s="84"/>
      <c r="B24" s="83" t="s">
        <v>81</v>
      </c>
      <c r="C24" s="83" t="s">
        <v>41</v>
      </c>
      <c r="D24" s="83" t="s">
        <v>100</v>
      </c>
      <c r="E24" s="83" t="s">
        <v>25</v>
      </c>
      <c r="F24" s="83" t="s">
        <v>25</v>
      </c>
      <c r="G24" s="13" t="s">
        <v>83</v>
      </c>
      <c r="H24" s="13" t="s">
        <v>82</v>
      </c>
      <c r="I24" s="13">
        <f>SUMIF(Mercado_Receita!$T$2:$T$644,"44440B2Energia horáriaRuralCooperativa de eletrificação ruralNão se aplicaNão se aplicaPonta",Mercado_Receita!$N$2:$N$644)</f>
        <v>0</v>
      </c>
      <c r="J24" s="13">
        <f>SUMIF(Mercado_Receita!$T$2:$T$644,"44470B2Energia horáriaRuralCooperativa de eletrificação ruralNão se aplicaNão se aplicaPonta",Mercado_Receita!$N$2:$N$644)</f>
        <v>0</v>
      </c>
      <c r="K24" s="13">
        <f>SUMIF(Mercado_Receita!$T$2:$T$644,"44501B2Energia horáriaRuralCooperativa de eletrificação ruralNão se aplicaNão se aplicaPonta",Mercado_Receita!$N$2:$N$644)</f>
        <v>0</v>
      </c>
      <c r="L24" s="13">
        <f>SUMIF(Mercado_Receita!$T$2:$T$644,"44531B2Energia horáriaRuralCooperativa de eletrificação ruralNão se aplicaNão se aplicaPonta",Mercado_Receita!$N$2:$N$644)</f>
        <v>0</v>
      </c>
      <c r="M24" s="13">
        <f>SUMIF(Mercado_Receita!$T$2:$T$644,"44562B2Energia horáriaRuralCooperativa de eletrificação ruralNão se aplicaNão se aplicaPonta",Mercado_Receita!$N$2:$N$644)</f>
        <v>0</v>
      </c>
      <c r="N24" s="13">
        <f>SUMIF(Mercado_Receita!$T$2:$T$644,"44593B2Energia horáriaRuralCooperativa de eletrificação ruralNão se aplicaNão se aplicaPonta",Mercado_Receita!$N$2:$N$644)</f>
        <v>0</v>
      </c>
      <c r="O24" s="13">
        <f>SUMIF(Mercado_Receita!$T$2:$T$644,"44621B2Energia horáriaRuralCooperativa de eletrificação ruralNão se aplicaNão se aplicaPonta",Mercado_Receita!$N$2:$N$644)</f>
        <v>0</v>
      </c>
      <c r="P24" s="13">
        <f>SUMIF(Mercado_Receita!$T$2:$T$644,"44652B2Energia horáriaRuralCooperativa de eletrificação ruralNão se aplicaNão se aplicaPonta",Mercado_Receita!$N$2:$N$644)</f>
        <v>0</v>
      </c>
      <c r="Q24" s="13">
        <f>SUMIF(Mercado_Receita!$T$2:$T$644,"44682B2Energia horáriaRuralCooperativa de eletrificação ruralNão se aplicaNão se aplicaPonta",Mercado_Receita!$N$2:$N$644)</f>
        <v>0</v>
      </c>
      <c r="R24" s="13">
        <f>SUMIF(Mercado_Receita!$T$2:$T$644,"44713B2Energia horáriaRuralCooperativa de eletrificação ruralNão se aplicaNão se aplicaPonta",Mercado_Receita!$N$2:$N$644)</f>
        <v>0</v>
      </c>
      <c r="S24" s="13">
        <f>SUMIF(Mercado_Receita!$T$2:$T$644,"44743B2Energia horáriaRuralCooperativa de eletrificação ruralNão se aplicaNão se aplicaPonta",Mercado_Receita!$N$2:$N$644)</f>
        <v>0</v>
      </c>
      <c r="T24" s="13">
        <f>SUMIF(Mercado_Receita!$T$2:$T$644,"44774B2Energia horáriaRuralCooperativa de eletrificação ruralNão se aplicaNão se aplicaPonta",Mercado_Receita!$N$2:$N$644)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4"/>
      <c r="B25" s="84"/>
      <c r="C25" s="84"/>
      <c r="D25" s="84"/>
      <c r="E25" s="84"/>
      <c r="F25" s="84"/>
      <c r="G25" s="13" t="s">
        <v>95</v>
      </c>
      <c r="H25" s="13" t="s">
        <v>82</v>
      </c>
      <c r="I25" s="13">
        <f>SUMIF(Mercado_Receita!$T$2:$T$644,"44440B2Energia horáriaRuralCooperativa de eletrificação ruralNão se aplicaNão se aplicaIntermediário",Mercado_Receita!$N$2:$N$644)</f>
        <v>0</v>
      </c>
      <c r="J25" s="13">
        <f>SUMIF(Mercado_Receita!$T$2:$T$644,"44470B2Energia horáriaRuralCooperativa de eletrificação ruralNão se aplicaNão se aplicaIntermediário",Mercado_Receita!$N$2:$N$644)</f>
        <v>0</v>
      </c>
      <c r="K25" s="13">
        <f>SUMIF(Mercado_Receita!$T$2:$T$644,"44501B2Energia horáriaRuralCooperativa de eletrificação ruralNão se aplicaNão se aplicaIntermediário",Mercado_Receita!$N$2:$N$644)</f>
        <v>0</v>
      </c>
      <c r="L25" s="13">
        <f>SUMIF(Mercado_Receita!$T$2:$T$644,"44531B2Energia horáriaRuralCooperativa de eletrificação ruralNão se aplicaNão se aplicaIntermediário",Mercado_Receita!$N$2:$N$644)</f>
        <v>0</v>
      </c>
      <c r="M25" s="13">
        <f>SUMIF(Mercado_Receita!$T$2:$T$644,"44562B2Energia horáriaRuralCooperativa de eletrificação ruralNão se aplicaNão se aplicaIntermediário",Mercado_Receita!$N$2:$N$644)</f>
        <v>0</v>
      </c>
      <c r="N25" s="13">
        <f>SUMIF(Mercado_Receita!$T$2:$T$644,"44593B2Energia horáriaRuralCooperativa de eletrificação ruralNão se aplicaNão se aplicaIntermediário",Mercado_Receita!$N$2:$N$644)</f>
        <v>0</v>
      </c>
      <c r="O25" s="13">
        <f>SUMIF(Mercado_Receita!$T$2:$T$644,"44621B2Energia horáriaRuralCooperativa de eletrificação ruralNão se aplicaNão se aplicaIntermediário",Mercado_Receita!$N$2:$N$644)</f>
        <v>0</v>
      </c>
      <c r="P25" s="13">
        <f>SUMIF(Mercado_Receita!$T$2:$T$644,"44652B2Energia horáriaRuralCooperativa de eletrificação ruralNão se aplicaNão se aplicaIntermediário",Mercado_Receita!$N$2:$N$644)</f>
        <v>0</v>
      </c>
      <c r="Q25" s="13">
        <f>SUMIF(Mercado_Receita!$T$2:$T$644,"44682B2Energia horáriaRuralCooperativa de eletrificação ruralNão se aplicaNão se aplicaIntermediário",Mercado_Receita!$N$2:$N$644)</f>
        <v>0</v>
      </c>
      <c r="R25" s="13">
        <f>SUMIF(Mercado_Receita!$T$2:$T$644,"44713B2Energia horáriaRuralCooperativa de eletrificação ruralNão se aplicaNão se aplicaIntermediário",Mercado_Receita!$N$2:$N$644)</f>
        <v>0</v>
      </c>
      <c r="S25" s="13">
        <f>SUMIF(Mercado_Receita!$T$2:$T$644,"44743B2Energia horáriaRuralCooperativa de eletrificação ruralNão se aplicaNão se aplicaIntermediário",Mercado_Receita!$N$2:$N$644)</f>
        <v>0</v>
      </c>
      <c r="T25" s="13">
        <f>SUMIF(Mercado_Receita!$T$2:$T$644,"44774B2Energia horáriaRuralCooperativa de eletrificação ruralNão se aplicaNão se aplicaIntermediário",Mercado_Receita!$N$2:$N$644)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4"/>
      <c r="B26" s="84"/>
      <c r="C26" s="84"/>
      <c r="D26" s="84"/>
      <c r="E26" s="84"/>
      <c r="F26" s="84"/>
      <c r="G26" s="13" t="s">
        <v>84</v>
      </c>
      <c r="H26" s="13" t="s">
        <v>82</v>
      </c>
      <c r="I26" s="13">
        <f>SUMIF(Mercado_Receita!$T$2:$T$644,"44440B2Energia horáriaRuralCooperativa de eletrificação ruralNão se aplicaNão se aplicaFora ponta",Mercado_Receita!$N$2:$N$644)</f>
        <v>0</v>
      </c>
      <c r="J26" s="13">
        <f>SUMIF(Mercado_Receita!$T$2:$T$644,"44470B2Energia horáriaRuralCooperativa de eletrificação ruralNão se aplicaNão se aplicaFora ponta",Mercado_Receita!$N$2:$N$644)</f>
        <v>0</v>
      </c>
      <c r="K26" s="13">
        <f>SUMIF(Mercado_Receita!$T$2:$T$644,"44501B2Energia horáriaRuralCooperativa de eletrificação ruralNão se aplicaNão se aplicaFora ponta",Mercado_Receita!$N$2:$N$644)</f>
        <v>0</v>
      </c>
      <c r="L26" s="13">
        <f>SUMIF(Mercado_Receita!$T$2:$T$644,"44531B2Energia horáriaRuralCooperativa de eletrificação ruralNão se aplicaNão se aplicaFora ponta",Mercado_Receita!$N$2:$N$644)</f>
        <v>0</v>
      </c>
      <c r="M26" s="13">
        <f>SUMIF(Mercado_Receita!$T$2:$T$644,"44562B2Energia horáriaRuralCooperativa de eletrificação ruralNão se aplicaNão se aplicaFora ponta",Mercado_Receita!$N$2:$N$644)</f>
        <v>0</v>
      </c>
      <c r="N26" s="13">
        <f>SUMIF(Mercado_Receita!$T$2:$T$644,"44593B2Energia horáriaRuralCooperativa de eletrificação ruralNão se aplicaNão se aplicaFora ponta",Mercado_Receita!$N$2:$N$644)</f>
        <v>0</v>
      </c>
      <c r="O26" s="13">
        <f>SUMIF(Mercado_Receita!$T$2:$T$644,"44621B2Energia horáriaRuralCooperativa de eletrificação ruralNão se aplicaNão se aplicaFora ponta",Mercado_Receita!$N$2:$N$644)</f>
        <v>0</v>
      </c>
      <c r="P26" s="13">
        <f>SUMIF(Mercado_Receita!$T$2:$T$644,"44652B2Energia horáriaRuralCooperativa de eletrificação ruralNão se aplicaNão se aplicaFora ponta",Mercado_Receita!$N$2:$N$644)</f>
        <v>0</v>
      </c>
      <c r="Q26" s="13">
        <f>SUMIF(Mercado_Receita!$T$2:$T$644,"44682B2Energia horáriaRuralCooperativa de eletrificação ruralNão se aplicaNão se aplicaFora ponta",Mercado_Receita!$N$2:$N$644)</f>
        <v>0</v>
      </c>
      <c r="R26" s="13">
        <f>SUMIF(Mercado_Receita!$T$2:$T$644,"44713B2Energia horáriaRuralCooperativa de eletrificação ruralNão se aplicaNão se aplicaFora ponta",Mercado_Receita!$N$2:$N$644)</f>
        <v>0</v>
      </c>
      <c r="S26" s="13">
        <f>SUMIF(Mercado_Receita!$T$2:$T$644,"44743B2Energia horáriaRuralCooperativa de eletrificação ruralNão se aplicaNão se aplicaFora ponta",Mercado_Receita!$N$2:$N$644)</f>
        <v>0</v>
      </c>
      <c r="T26" s="13">
        <f>SUMIF(Mercado_Receita!$T$2:$T$644,"44774B2Energia horáriaRuralCooperativa de eletrificação ruralNão se aplicaNão se aplicaFora ponta",Mercado_Receita!$N$2:$N$644)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4"/>
      <c r="B27" s="12" t="s">
        <v>96</v>
      </c>
      <c r="C27" s="12" t="s">
        <v>41</v>
      </c>
      <c r="D27" s="12" t="s">
        <v>100</v>
      </c>
      <c r="E27" s="12" t="s">
        <v>25</v>
      </c>
      <c r="F27" s="12" t="s">
        <v>25</v>
      </c>
      <c r="G27" s="13" t="s">
        <v>87</v>
      </c>
      <c r="H27" s="13" t="s">
        <v>82</v>
      </c>
      <c r="I27" s="13">
        <f>SUMIF(Mercado_Receita!$T$2:$T$644,"44440B2Energia convencionalRuralCooperativa de eletrificação ruralNão se aplicaNão se aplicaNão se aplica",Mercado_Receita!$N$2:$N$644)</f>
        <v>0</v>
      </c>
      <c r="J27" s="13">
        <f>SUMIF(Mercado_Receita!$T$2:$T$644,"44470B2Energia convencionalRuralCooperativa de eletrificação ruralNão se aplicaNão se aplicaNão se aplica",Mercado_Receita!$N$2:$N$644)</f>
        <v>0</v>
      </c>
      <c r="K27" s="13">
        <f>SUMIF(Mercado_Receita!$T$2:$T$644,"44501B2Energia convencionalRuralCooperativa de eletrificação ruralNão se aplicaNão se aplicaNão se aplica",Mercado_Receita!$N$2:$N$644)</f>
        <v>0</v>
      </c>
      <c r="L27" s="13">
        <f>SUMIF(Mercado_Receita!$T$2:$T$644,"44531B2Energia convencionalRuralCooperativa de eletrificação ruralNão se aplicaNão se aplicaNão se aplica",Mercado_Receita!$N$2:$N$644)</f>
        <v>0</v>
      </c>
      <c r="M27" s="13">
        <f>SUMIF(Mercado_Receita!$T$2:$T$644,"44562B2Energia convencionalRuralCooperativa de eletrificação ruralNão se aplicaNão se aplicaNão se aplica",Mercado_Receita!$N$2:$N$644)</f>
        <v>0</v>
      </c>
      <c r="N27" s="13">
        <f>SUMIF(Mercado_Receita!$T$2:$T$644,"44593B2Energia convencionalRuralCooperativa de eletrificação ruralNão se aplicaNão se aplicaNão se aplica",Mercado_Receita!$N$2:$N$644)</f>
        <v>0</v>
      </c>
      <c r="O27" s="13">
        <f>SUMIF(Mercado_Receita!$T$2:$T$644,"44621B2Energia convencionalRuralCooperativa de eletrificação ruralNão se aplicaNão se aplicaNão se aplica",Mercado_Receita!$N$2:$N$644)</f>
        <v>0</v>
      </c>
      <c r="P27" s="13">
        <f>SUMIF(Mercado_Receita!$T$2:$T$644,"44652B2Energia convencionalRuralCooperativa de eletrificação ruralNão se aplicaNão se aplicaNão se aplica",Mercado_Receita!$N$2:$N$644)</f>
        <v>0</v>
      </c>
      <c r="Q27" s="13">
        <f>SUMIF(Mercado_Receita!$T$2:$T$644,"44682B2Energia convencionalRuralCooperativa de eletrificação ruralNão se aplicaNão se aplicaNão se aplica",Mercado_Receita!$N$2:$N$644)</f>
        <v>0</v>
      </c>
      <c r="R27" s="13">
        <f>SUMIF(Mercado_Receita!$T$2:$T$644,"44713B2Energia convencionalRuralCooperativa de eletrificação ruralNão se aplicaNão se aplicaNão se aplica",Mercado_Receita!$N$2:$N$644)</f>
        <v>0</v>
      </c>
      <c r="S27" s="13">
        <f>SUMIF(Mercado_Receita!$T$2:$T$644,"44743B2Energia convencionalRuralCooperativa de eletrificação ruralNão se aplicaNão se aplicaNão se aplica",Mercado_Receita!$N$2:$N$644)</f>
        <v>0</v>
      </c>
      <c r="T27" s="13">
        <f>SUMIF(Mercado_Receita!$T$2:$T$644,"44774B2Energia convencionalRuralCooperativa de eletrificação ruralNão se aplicaNão se aplicaNão se aplica",Mercado_Receita!$N$2:$N$644)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4"/>
      <c r="B28" s="83" t="s">
        <v>81</v>
      </c>
      <c r="C28" s="83" t="s">
        <v>41</v>
      </c>
      <c r="D28" s="83" t="s">
        <v>101</v>
      </c>
      <c r="E28" s="83" t="s">
        <v>25</v>
      </c>
      <c r="F28" s="83" t="s">
        <v>25</v>
      </c>
      <c r="G28" s="13" t="s">
        <v>83</v>
      </c>
      <c r="H28" s="13" t="s">
        <v>82</v>
      </c>
      <c r="I28" s="13">
        <f>SUMIF(Mercado_Receita!$T$2:$T$644,"44440B2Energia horáriaRuralServiço público de irrigação ruralNão se aplicaNão se aplicaPonta",Mercado_Receita!$N$2:$N$644)</f>
        <v>0</v>
      </c>
      <c r="J28" s="13">
        <f>SUMIF(Mercado_Receita!$T$2:$T$644,"44470B2Energia horáriaRuralServiço público de irrigação ruralNão se aplicaNão se aplicaPonta",Mercado_Receita!$N$2:$N$644)</f>
        <v>0</v>
      </c>
      <c r="K28" s="13">
        <f>SUMIF(Mercado_Receita!$T$2:$T$644,"44501B2Energia horáriaRuralServiço público de irrigação ruralNão se aplicaNão se aplicaPonta",Mercado_Receita!$N$2:$N$644)</f>
        <v>0</v>
      </c>
      <c r="L28" s="13">
        <f>SUMIF(Mercado_Receita!$T$2:$T$644,"44531B2Energia horáriaRuralServiço público de irrigação ruralNão se aplicaNão se aplicaPonta",Mercado_Receita!$N$2:$N$644)</f>
        <v>0</v>
      </c>
      <c r="M28" s="13">
        <f>SUMIF(Mercado_Receita!$T$2:$T$644,"44562B2Energia horáriaRuralServiço público de irrigação ruralNão se aplicaNão se aplicaPonta",Mercado_Receita!$N$2:$N$644)</f>
        <v>0</v>
      </c>
      <c r="N28" s="13">
        <f>SUMIF(Mercado_Receita!$T$2:$T$644,"44593B2Energia horáriaRuralServiço público de irrigação ruralNão se aplicaNão se aplicaPonta",Mercado_Receita!$N$2:$N$644)</f>
        <v>0</v>
      </c>
      <c r="O28" s="13">
        <f>SUMIF(Mercado_Receita!$T$2:$T$644,"44621B2Energia horáriaRuralServiço público de irrigação ruralNão se aplicaNão se aplicaPonta",Mercado_Receita!$N$2:$N$644)</f>
        <v>0</v>
      </c>
      <c r="P28" s="13">
        <f>SUMIF(Mercado_Receita!$T$2:$T$644,"44652B2Energia horáriaRuralServiço público de irrigação ruralNão se aplicaNão se aplicaPonta",Mercado_Receita!$N$2:$N$644)</f>
        <v>0</v>
      </c>
      <c r="Q28" s="13">
        <f>SUMIF(Mercado_Receita!$T$2:$T$644,"44682B2Energia horáriaRuralServiço público de irrigação ruralNão se aplicaNão se aplicaPonta",Mercado_Receita!$N$2:$N$644)</f>
        <v>0</v>
      </c>
      <c r="R28" s="13">
        <f>SUMIF(Mercado_Receita!$T$2:$T$644,"44713B2Energia horáriaRuralServiço público de irrigação ruralNão se aplicaNão se aplicaPonta",Mercado_Receita!$N$2:$N$644)</f>
        <v>0</v>
      </c>
      <c r="S28" s="13">
        <f>SUMIF(Mercado_Receita!$T$2:$T$644,"44743B2Energia horáriaRuralServiço público de irrigação ruralNão se aplicaNão se aplicaPonta",Mercado_Receita!$N$2:$N$644)</f>
        <v>0</v>
      </c>
      <c r="T28" s="13">
        <f>SUMIF(Mercado_Receita!$T$2:$T$644,"44774B2Energia horáriaRuralServiço público de irrigação ruralNão se aplicaNão se aplicaPonta",Mercado_Receita!$N$2:$N$644)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4"/>
      <c r="B29" s="84"/>
      <c r="C29" s="84"/>
      <c r="D29" s="84"/>
      <c r="E29" s="84"/>
      <c r="F29" s="84"/>
      <c r="G29" s="13" t="s">
        <v>95</v>
      </c>
      <c r="H29" s="13" t="s">
        <v>82</v>
      </c>
      <c r="I29" s="13">
        <f>SUMIF(Mercado_Receita!$T$2:$T$644,"44440B2Energia horáriaRuralServiço público de irrigação ruralNão se aplicaNão se aplicaIntermediário",Mercado_Receita!$N$2:$N$644)</f>
        <v>0</v>
      </c>
      <c r="J29" s="13">
        <f>SUMIF(Mercado_Receita!$T$2:$T$644,"44470B2Energia horáriaRuralServiço público de irrigação ruralNão se aplicaNão se aplicaIntermediário",Mercado_Receita!$N$2:$N$644)</f>
        <v>0</v>
      </c>
      <c r="K29" s="13">
        <f>SUMIF(Mercado_Receita!$T$2:$T$644,"44501B2Energia horáriaRuralServiço público de irrigação ruralNão se aplicaNão se aplicaIntermediário",Mercado_Receita!$N$2:$N$644)</f>
        <v>0</v>
      </c>
      <c r="L29" s="13">
        <f>SUMIF(Mercado_Receita!$T$2:$T$644,"44531B2Energia horáriaRuralServiço público de irrigação ruralNão se aplicaNão se aplicaIntermediário",Mercado_Receita!$N$2:$N$644)</f>
        <v>0</v>
      </c>
      <c r="M29" s="13">
        <f>SUMIF(Mercado_Receita!$T$2:$T$644,"44562B2Energia horáriaRuralServiço público de irrigação ruralNão se aplicaNão se aplicaIntermediário",Mercado_Receita!$N$2:$N$644)</f>
        <v>0</v>
      </c>
      <c r="N29" s="13">
        <f>SUMIF(Mercado_Receita!$T$2:$T$644,"44593B2Energia horáriaRuralServiço público de irrigação ruralNão se aplicaNão se aplicaIntermediário",Mercado_Receita!$N$2:$N$644)</f>
        <v>0</v>
      </c>
      <c r="O29" s="13">
        <f>SUMIF(Mercado_Receita!$T$2:$T$644,"44621B2Energia horáriaRuralServiço público de irrigação ruralNão se aplicaNão se aplicaIntermediário",Mercado_Receita!$N$2:$N$644)</f>
        <v>0</v>
      </c>
      <c r="P29" s="13">
        <f>SUMIF(Mercado_Receita!$T$2:$T$644,"44652B2Energia horáriaRuralServiço público de irrigação ruralNão se aplicaNão se aplicaIntermediário",Mercado_Receita!$N$2:$N$644)</f>
        <v>0</v>
      </c>
      <c r="Q29" s="13">
        <f>SUMIF(Mercado_Receita!$T$2:$T$644,"44682B2Energia horáriaRuralServiço público de irrigação ruralNão se aplicaNão se aplicaIntermediário",Mercado_Receita!$N$2:$N$644)</f>
        <v>0</v>
      </c>
      <c r="R29" s="13">
        <f>SUMIF(Mercado_Receita!$T$2:$T$644,"44713B2Energia horáriaRuralServiço público de irrigação ruralNão se aplicaNão se aplicaIntermediário",Mercado_Receita!$N$2:$N$644)</f>
        <v>0</v>
      </c>
      <c r="S29" s="13">
        <f>SUMIF(Mercado_Receita!$T$2:$T$644,"44743B2Energia horáriaRuralServiço público de irrigação ruralNão se aplicaNão se aplicaIntermediário",Mercado_Receita!$N$2:$N$644)</f>
        <v>0</v>
      </c>
      <c r="T29" s="13">
        <f>SUMIF(Mercado_Receita!$T$2:$T$644,"44774B2Energia horáriaRuralServiço público de irrigação ruralNão se aplicaNão se aplicaIntermediário",Mercado_Receita!$N$2:$N$644)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4"/>
      <c r="B30" s="84"/>
      <c r="C30" s="84"/>
      <c r="D30" s="84"/>
      <c r="E30" s="84"/>
      <c r="F30" s="84"/>
      <c r="G30" s="13" t="s">
        <v>84</v>
      </c>
      <c r="H30" s="13" t="s">
        <v>82</v>
      </c>
      <c r="I30" s="13">
        <f>SUMIF(Mercado_Receita!$T$2:$T$644,"44440B2Energia horáriaRuralServiço público de irrigação ruralNão se aplicaNão se aplicaFora ponta",Mercado_Receita!$N$2:$N$644)</f>
        <v>0</v>
      </c>
      <c r="J30" s="13">
        <f>SUMIF(Mercado_Receita!$T$2:$T$644,"44470B2Energia horáriaRuralServiço público de irrigação ruralNão se aplicaNão se aplicaFora ponta",Mercado_Receita!$N$2:$N$644)</f>
        <v>0</v>
      </c>
      <c r="K30" s="13">
        <f>SUMIF(Mercado_Receita!$T$2:$T$644,"44501B2Energia horáriaRuralServiço público de irrigação ruralNão se aplicaNão se aplicaFora ponta",Mercado_Receita!$N$2:$N$644)</f>
        <v>0</v>
      </c>
      <c r="L30" s="13">
        <f>SUMIF(Mercado_Receita!$T$2:$T$644,"44531B2Energia horáriaRuralServiço público de irrigação ruralNão se aplicaNão se aplicaFora ponta",Mercado_Receita!$N$2:$N$644)</f>
        <v>0</v>
      </c>
      <c r="M30" s="13">
        <f>SUMIF(Mercado_Receita!$T$2:$T$644,"44562B2Energia horáriaRuralServiço público de irrigação ruralNão se aplicaNão se aplicaFora ponta",Mercado_Receita!$N$2:$N$644)</f>
        <v>0</v>
      </c>
      <c r="N30" s="13">
        <f>SUMIF(Mercado_Receita!$T$2:$T$644,"44593B2Energia horáriaRuralServiço público de irrigação ruralNão se aplicaNão se aplicaFora ponta",Mercado_Receita!$N$2:$N$644)</f>
        <v>0</v>
      </c>
      <c r="O30" s="13">
        <f>SUMIF(Mercado_Receita!$T$2:$T$644,"44621B2Energia horáriaRuralServiço público de irrigação ruralNão se aplicaNão se aplicaFora ponta",Mercado_Receita!$N$2:$N$644)</f>
        <v>0</v>
      </c>
      <c r="P30" s="13">
        <f>SUMIF(Mercado_Receita!$T$2:$T$644,"44652B2Energia horáriaRuralServiço público de irrigação ruralNão se aplicaNão se aplicaFora ponta",Mercado_Receita!$N$2:$N$644)</f>
        <v>0</v>
      </c>
      <c r="Q30" s="13">
        <f>SUMIF(Mercado_Receita!$T$2:$T$644,"44682B2Energia horáriaRuralServiço público de irrigação ruralNão se aplicaNão se aplicaFora ponta",Mercado_Receita!$N$2:$N$644)</f>
        <v>0</v>
      </c>
      <c r="R30" s="13">
        <f>SUMIF(Mercado_Receita!$T$2:$T$644,"44713B2Energia horáriaRuralServiço público de irrigação ruralNão se aplicaNão se aplicaFora ponta",Mercado_Receita!$N$2:$N$644)</f>
        <v>0</v>
      </c>
      <c r="S30" s="13">
        <f>SUMIF(Mercado_Receita!$T$2:$T$644,"44743B2Energia horáriaRuralServiço público de irrigação ruralNão se aplicaNão se aplicaFora ponta",Mercado_Receita!$N$2:$N$644)</f>
        <v>0</v>
      </c>
      <c r="T30" s="13">
        <f>SUMIF(Mercado_Receita!$T$2:$T$644,"44774B2Energia horáriaRuralServiço público de irrigação ruralNão se aplicaNão se aplicaFora ponta",Mercado_Receita!$N$2:$N$644)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4"/>
      <c r="B31" s="12" t="s">
        <v>96</v>
      </c>
      <c r="C31" s="12" t="s">
        <v>41</v>
      </c>
      <c r="D31" s="12" t="s">
        <v>101</v>
      </c>
      <c r="E31" s="12" t="s">
        <v>25</v>
      </c>
      <c r="F31" s="12" t="s">
        <v>25</v>
      </c>
      <c r="G31" s="13" t="s">
        <v>87</v>
      </c>
      <c r="H31" s="13" t="s">
        <v>82</v>
      </c>
      <c r="I31" s="13">
        <f>SUMIF(Mercado_Receita!$T$2:$T$644,"44440B2Energia convencionalRuralServiço público de irrigação ruralNão se aplicaNão se aplicaNão se aplica",Mercado_Receita!$N$2:$N$644)</f>
        <v>0</v>
      </c>
      <c r="J31" s="13">
        <f>SUMIF(Mercado_Receita!$T$2:$T$644,"44470B2Energia convencionalRuralServiço público de irrigação ruralNão se aplicaNão se aplicaNão se aplica",Mercado_Receita!$N$2:$N$644)</f>
        <v>0</v>
      </c>
      <c r="K31" s="13">
        <f>SUMIF(Mercado_Receita!$T$2:$T$644,"44501B2Energia convencionalRuralServiço público de irrigação ruralNão se aplicaNão se aplicaNão se aplica",Mercado_Receita!$N$2:$N$644)</f>
        <v>0</v>
      </c>
      <c r="L31" s="13">
        <f>SUMIF(Mercado_Receita!$T$2:$T$644,"44531B2Energia convencionalRuralServiço público de irrigação ruralNão se aplicaNão se aplicaNão se aplica",Mercado_Receita!$N$2:$N$644)</f>
        <v>0</v>
      </c>
      <c r="M31" s="13">
        <f>SUMIF(Mercado_Receita!$T$2:$T$644,"44562B2Energia convencionalRuralServiço público de irrigação ruralNão se aplicaNão se aplicaNão se aplica",Mercado_Receita!$N$2:$N$644)</f>
        <v>0</v>
      </c>
      <c r="N31" s="13">
        <f>SUMIF(Mercado_Receita!$T$2:$T$644,"44593B2Energia convencionalRuralServiço público de irrigação ruralNão se aplicaNão se aplicaNão se aplica",Mercado_Receita!$N$2:$N$644)</f>
        <v>0</v>
      </c>
      <c r="O31" s="13">
        <f>SUMIF(Mercado_Receita!$T$2:$T$644,"44621B2Energia convencionalRuralServiço público de irrigação ruralNão se aplicaNão se aplicaNão se aplica",Mercado_Receita!$N$2:$N$644)</f>
        <v>0</v>
      </c>
      <c r="P31" s="13">
        <f>SUMIF(Mercado_Receita!$T$2:$T$644,"44652B2Energia convencionalRuralServiço público de irrigação ruralNão se aplicaNão se aplicaNão se aplica",Mercado_Receita!$N$2:$N$644)</f>
        <v>0</v>
      </c>
      <c r="Q31" s="13">
        <f>SUMIF(Mercado_Receita!$T$2:$T$644,"44682B2Energia convencionalRuralServiço público de irrigação ruralNão se aplicaNão se aplicaNão se aplica",Mercado_Receita!$N$2:$N$644)</f>
        <v>0</v>
      </c>
      <c r="R31" s="13">
        <f>SUMIF(Mercado_Receita!$T$2:$T$644,"44713B2Energia convencionalRuralServiço público de irrigação ruralNão se aplicaNão se aplicaNão se aplica",Mercado_Receita!$N$2:$N$644)</f>
        <v>0</v>
      </c>
      <c r="S31" s="13">
        <f>SUMIF(Mercado_Receita!$T$2:$T$644,"44743B2Energia convencionalRuralServiço público de irrigação ruralNão se aplicaNão se aplicaNão se aplica",Mercado_Receita!$N$2:$N$644)</f>
        <v>0</v>
      </c>
      <c r="T31" s="13">
        <f>SUMIF(Mercado_Receita!$T$2:$T$644,"44774B2Energia convencionalRuralServiço público de irrigação ruralNão se aplicaNão se aplicaNão se aplica",Mercado_Receita!$N$2:$N$644)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4"/>
      <c r="B32" s="83" t="s">
        <v>98</v>
      </c>
      <c r="C32" s="83" t="s">
        <v>41</v>
      </c>
      <c r="D32" s="12" t="s">
        <v>25</v>
      </c>
      <c r="E32" s="12" t="s">
        <v>25</v>
      </c>
      <c r="F32" s="12" t="s">
        <v>25</v>
      </c>
      <c r="G32" s="13" t="s">
        <v>87</v>
      </c>
      <c r="H32" s="13" t="s">
        <v>82</v>
      </c>
      <c r="I32" s="13">
        <f>SUMIF(Mercado_Receita!$T$2:$T$644,"44440B2Energia convencional pré-pagamentoRuralNão se aplicaNão se aplicaNão se aplicaNão se aplica",Mercado_Receita!$N$2:$N$644)</f>
        <v>0</v>
      </c>
      <c r="J32" s="13">
        <f>SUMIF(Mercado_Receita!$T$2:$T$644,"44470B2Energia convencional pré-pagamentoRuralNão se aplicaNão se aplicaNão se aplicaNão se aplica",Mercado_Receita!$N$2:$N$644)</f>
        <v>0</v>
      </c>
      <c r="K32" s="13">
        <f>SUMIF(Mercado_Receita!$T$2:$T$644,"44501B2Energia convencional pré-pagamentoRuralNão se aplicaNão se aplicaNão se aplicaNão se aplica",Mercado_Receita!$N$2:$N$644)</f>
        <v>0</v>
      </c>
      <c r="L32" s="13">
        <f>SUMIF(Mercado_Receita!$T$2:$T$644,"44531B2Energia convencional pré-pagamentoRuralNão se aplicaNão se aplicaNão se aplicaNão se aplica",Mercado_Receita!$N$2:$N$644)</f>
        <v>0</v>
      </c>
      <c r="M32" s="13">
        <f>SUMIF(Mercado_Receita!$T$2:$T$644,"44562B2Energia convencional pré-pagamentoRuralNão se aplicaNão se aplicaNão se aplicaNão se aplica",Mercado_Receita!$N$2:$N$644)</f>
        <v>0</v>
      </c>
      <c r="N32" s="13">
        <f>SUMIF(Mercado_Receita!$T$2:$T$644,"44593B2Energia convencional pré-pagamentoRuralNão se aplicaNão se aplicaNão se aplicaNão se aplica",Mercado_Receita!$N$2:$N$644)</f>
        <v>0</v>
      </c>
      <c r="O32" s="13">
        <f>SUMIF(Mercado_Receita!$T$2:$T$644,"44621B2Energia convencional pré-pagamentoRuralNão se aplicaNão se aplicaNão se aplicaNão se aplica",Mercado_Receita!$N$2:$N$644)</f>
        <v>0</v>
      </c>
      <c r="P32" s="13">
        <f>SUMIF(Mercado_Receita!$T$2:$T$644,"44652B2Energia convencional pré-pagamentoRuralNão se aplicaNão se aplicaNão se aplicaNão se aplica",Mercado_Receita!$N$2:$N$644)</f>
        <v>0</v>
      </c>
      <c r="Q32" s="13">
        <f>SUMIF(Mercado_Receita!$T$2:$T$644,"44682B2Energia convencional pré-pagamentoRuralNão se aplicaNão se aplicaNão se aplicaNão se aplica",Mercado_Receita!$N$2:$N$644)</f>
        <v>0</v>
      </c>
      <c r="R32" s="13">
        <f>SUMIF(Mercado_Receita!$T$2:$T$644,"44713B2Energia convencional pré-pagamentoRuralNão se aplicaNão se aplicaNão se aplicaNão se aplica",Mercado_Receita!$N$2:$N$644)</f>
        <v>0</v>
      </c>
      <c r="S32" s="13">
        <f>SUMIF(Mercado_Receita!$T$2:$T$644,"44743B2Energia convencional pré-pagamentoRuralNão se aplicaNão se aplicaNão se aplicaNão se aplica",Mercado_Receita!$N$2:$N$644)</f>
        <v>0</v>
      </c>
      <c r="T32" s="13">
        <f>SUMIF(Mercado_Receita!$T$2:$T$644,"44774B2Energia convencional pré-pagamentoRuralNão se aplicaNão se aplicaNão se aplicaNão se aplica",Mercado_Receita!$N$2:$N$644)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4"/>
      <c r="B33" s="84"/>
      <c r="C33" s="84"/>
      <c r="D33" s="12" t="s">
        <v>100</v>
      </c>
      <c r="E33" s="12" t="s">
        <v>25</v>
      </c>
      <c r="F33" s="12" t="s">
        <v>25</v>
      </c>
      <c r="G33" s="13" t="s">
        <v>87</v>
      </c>
      <c r="H33" s="13" t="s">
        <v>82</v>
      </c>
      <c r="I33" s="13">
        <f>SUMIF(Mercado_Receita!$T$2:$T$644,"44440B2Energia convencional pré-pagamentoRuralCooperativa de eletrificação ruralNão se aplicaNão se aplicaNão se aplica",Mercado_Receita!$N$2:$N$644)</f>
        <v>0</v>
      </c>
      <c r="J33" s="13">
        <f>SUMIF(Mercado_Receita!$T$2:$T$644,"44470B2Energia convencional pré-pagamentoRuralCooperativa de eletrificação ruralNão se aplicaNão se aplicaNão se aplica",Mercado_Receita!$N$2:$N$644)</f>
        <v>0</v>
      </c>
      <c r="K33" s="13">
        <f>SUMIF(Mercado_Receita!$T$2:$T$644,"44501B2Energia convencional pré-pagamentoRuralCooperativa de eletrificação ruralNão se aplicaNão se aplicaNão se aplica",Mercado_Receita!$N$2:$N$644)</f>
        <v>0</v>
      </c>
      <c r="L33" s="13">
        <f>SUMIF(Mercado_Receita!$T$2:$T$644,"44531B2Energia convencional pré-pagamentoRuralCooperativa de eletrificação ruralNão se aplicaNão se aplicaNão se aplica",Mercado_Receita!$N$2:$N$644)</f>
        <v>0</v>
      </c>
      <c r="M33" s="13">
        <f>SUMIF(Mercado_Receita!$T$2:$T$644,"44562B2Energia convencional pré-pagamentoRuralCooperativa de eletrificação ruralNão se aplicaNão se aplicaNão se aplica",Mercado_Receita!$N$2:$N$644)</f>
        <v>0</v>
      </c>
      <c r="N33" s="13">
        <f>SUMIF(Mercado_Receita!$T$2:$T$644,"44593B2Energia convencional pré-pagamentoRuralCooperativa de eletrificação ruralNão se aplicaNão se aplicaNão se aplica",Mercado_Receita!$N$2:$N$644)</f>
        <v>0</v>
      </c>
      <c r="O33" s="13">
        <f>SUMIF(Mercado_Receita!$T$2:$T$644,"44621B2Energia convencional pré-pagamentoRuralCooperativa de eletrificação ruralNão se aplicaNão se aplicaNão se aplica",Mercado_Receita!$N$2:$N$644)</f>
        <v>0</v>
      </c>
      <c r="P33" s="13">
        <f>SUMIF(Mercado_Receita!$T$2:$T$644,"44652B2Energia convencional pré-pagamentoRuralCooperativa de eletrificação ruralNão se aplicaNão se aplicaNão se aplica",Mercado_Receita!$N$2:$N$644)</f>
        <v>0</v>
      </c>
      <c r="Q33" s="13">
        <f>SUMIF(Mercado_Receita!$T$2:$T$644,"44682B2Energia convencional pré-pagamentoRuralCooperativa de eletrificação ruralNão se aplicaNão se aplicaNão se aplica",Mercado_Receita!$N$2:$N$644)</f>
        <v>0</v>
      </c>
      <c r="R33" s="13">
        <f>SUMIF(Mercado_Receita!$T$2:$T$644,"44713B2Energia convencional pré-pagamentoRuralCooperativa de eletrificação ruralNão se aplicaNão se aplicaNão se aplica",Mercado_Receita!$N$2:$N$644)</f>
        <v>0</v>
      </c>
      <c r="S33" s="13">
        <f>SUMIF(Mercado_Receita!$T$2:$T$644,"44743B2Energia convencional pré-pagamentoRuralCooperativa de eletrificação ruralNão se aplicaNão se aplicaNão se aplica",Mercado_Receita!$N$2:$N$644)</f>
        <v>0</v>
      </c>
      <c r="T33" s="13">
        <f>SUMIF(Mercado_Receita!$T$2:$T$644,"44774B2Energia convencional pré-pagamentoRuralCooperativa de eletrificação ruralNão se aplicaNão se aplicaNão se aplica",Mercado_Receita!$N$2:$N$644)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4"/>
      <c r="B34" s="84"/>
      <c r="C34" s="84"/>
      <c r="D34" s="12" t="s">
        <v>101</v>
      </c>
      <c r="E34" s="12" t="s">
        <v>25</v>
      </c>
      <c r="F34" s="12" t="s">
        <v>25</v>
      </c>
      <c r="G34" s="13" t="s">
        <v>87</v>
      </c>
      <c r="H34" s="13" t="s">
        <v>82</v>
      </c>
      <c r="I34" s="13">
        <f>SUMIF(Mercado_Receita!$T$2:$T$644,"44440B2Energia convencional pré-pagamentoRuralServiço público de irrigação ruralNão se aplicaNão se aplicaNão se aplica",Mercado_Receita!$N$2:$N$644)</f>
        <v>0</v>
      </c>
      <c r="J34" s="13">
        <f>SUMIF(Mercado_Receita!$T$2:$T$644,"44470B2Energia convencional pré-pagamentoRuralServiço público de irrigação ruralNão se aplicaNão se aplicaNão se aplica",Mercado_Receita!$N$2:$N$644)</f>
        <v>0</v>
      </c>
      <c r="K34" s="13">
        <f>SUMIF(Mercado_Receita!$T$2:$T$644,"44501B2Energia convencional pré-pagamentoRuralServiço público de irrigação ruralNão se aplicaNão se aplicaNão se aplica",Mercado_Receita!$N$2:$N$644)</f>
        <v>0</v>
      </c>
      <c r="L34" s="13">
        <f>SUMIF(Mercado_Receita!$T$2:$T$644,"44531B2Energia convencional pré-pagamentoRuralServiço público de irrigação ruralNão se aplicaNão se aplicaNão se aplica",Mercado_Receita!$N$2:$N$644)</f>
        <v>0</v>
      </c>
      <c r="M34" s="13">
        <f>SUMIF(Mercado_Receita!$T$2:$T$644,"44562B2Energia convencional pré-pagamentoRuralServiço público de irrigação ruralNão se aplicaNão se aplicaNão se aplica",Mercado_Receita!$N$2:$N$644)</f>
        <v>0</v>
      </c>
      <c r="N34" s="13">
        <f>SUMIF(Mercado_Receita!$T$2:$T$644,"44593B2Energia convencional pré-pagamentoRuralServiço público de irrigação ruralNão se aplicaNão se aplicaNão se aplica",Mercado_Receita!$N$2:$N$644)</f>
        <v>0</v>
      </c>
      <c r="O34" s="13">
        <f>SUMIF(Mercado_Receita!$T$2:$T$644,"44621B2Energia convencional pré-pagamentoRuralServiço público de irrigação ruralNão se aplicaNão se aplicaNão se aplica",Mercado_Receita!$N$2:$N$644)</f>
        <v>0</v>
      </c>
      <c r="P34" s="13">
        <f>SUMIF(Mercado_Receita!$T$2:$T$644,"44652B2Energia convencional pré-pagamentoRuralServiço público de irrigação ruralNão se aplicaNão se aplicaNão se aplica",Mercado_Receita!$N$2:$N$644)</f>
        <v>0</v>
      </c>
      <c r="Q34" s="13">
        <f>SUMIF(Mercado_Receita!$T$2:$T$644,"44682B2Energia convencional pré-pagamentoRuralServiço público de irrigação ruralNão se aplicaNão se aplicaNão se aplica",Mercado_Receita!$N$2:$N$644)</f>
        <v>0</v>
      </c>
      <c r="R34" s="13">
        <f>SUMIF(Mercado_Receita!$T$2:$T$644,"44713B2Energia convencional pré-pagamentoRuralServiço público de irrigação ruralNão se aplicaNão se aplicaNão se aplica",Mercado_Receita!$N$2:$N$644)</f>
        <v>0</v>
      </c>
      <c r="S34" s="13">
        <f>SUMIF(Mercado_Receita!$T$2:$T$644,"44743B2Energia convencional pré-pagamentoRuralServiço público de irrigação ruralNão se aplicaNão se aplicaNão se aplica",Mercado_Receita!$N$2:$N$644)</f>
        <v>0</v>
      </c>
      <c r="T34" s="13">
        <f>SUMIF(Mercado_Receita!$T$2:$T$644,"44774B2Energia convencional pré-pagamentoRuralServiço público de irrigação ruralNão se aplicaNão se aplicaNão se aplica",Mercado_Receita!$N$2:$N$644)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3" t="s">
        <v>33</v>
      </c>
      <c r="B35" s="83" t="s">
        <v>81</v>
      </c>
      <c r="C35" s="83" t="s">
        <v>25</v>
      </c>
      <c r="D35" s="83" t="s">
        <v>25</v>
      </c>
      <c r="E35" s="83" t="s">
        <v>25</v>
      </c>
      <c r="F35" s="83" t="s">
        <v>25</v>
      </c>
      <c r="G35" s="13" t="s">
        <v>83</v>
      </c>
      <c r="H35" s="13" t="s">
        <v>82</v>
      </c>
      <c r="I35" s="13">
        <f>SUMIF(Mercado_Receita!$T$2:$T$644,"44440B3Energia horáriaNão se aplicaNão se aplicaNão se aplicaNão se aplicaPonta",Mercado_Receita!$N$2:$N$644)</f>
        <v>0</v>
      </c>
      <c r="J35" s="13">
        <f>SUMIF(Mercado_Receita!$T$2:$T$644,"44470B3Energia horáriaNão se aplicaNão se aplicaNão se aplicaNão se aplicaPonta",Mercado_Receita!$N$2:$N$644)</f>
        <v>0</v>
      </c>
      <c r="K35" s="13">
        <f>SUMIF(Mercado_Receita!$T$2:$T$644,"44501B3Energia horáriaNão se aplicaNão se aplicaNão se aplicaNão se aplicaPonta",Mercado_Receita!$N$2:$N$644)</f>
        <v>0</v>
      </c>
      <c r="L35" s="13">
        <f>SUMIF(Mercado_Receita!$T$2:$T$644,"44531B3Energia horáriaNão se aplicaNão se aplicaNão se aplicaNão se aplicaPonta",Mercado_Receita!$N$2:$N$644)</f>
        <v>0</v>
      </c>
      <c r="M35" s="13">
        <f>SUMIF(Mercado_Receita!$T$2:$T$644,"44562B3Energia horáriaNão se aplicaNão se aplicaNão se aplicaNão se aplicaPonta",Mercado_Receita!$N$2:$N$644)</f>
        <v>0</v>
      </c>
      <c r="N35" s="13">
        <f>SUMIF(Mercado_Receita!$T$2:$T$644,"44593B3Energia horáriaNão se aplicaNão se aplicaNão se aplicaNão se aplicaPonta",Mercado_Receita!$N$2:$N$644)</f>
        <v>0</v>
      </c>
      <c r="O35" s="13">
        <f>SUMIF(Mercado_Receita!$T$2:$T$644,"44621B3Energia horáriaNão se aplicaNão se aplicaNão se aplicaNão se aplicaPonta",Mercado_Receita!$N$2:$N$644)</f>
        <v>0</v>
      </c>
      <c r="P35" s="13">
        <f>SUMIF(Mercado_Receita!$T$2:$T$644,"44652B3Energia horáriaNão se aplicaNão se aplicaNão se aplicaNão se aplicaPonta",Mercado_Receita!$N$2:$N$644)</f>
        <v>0</v>
      </c>
      <c r="Q35" s="13">
        <f>SUMIF(Mercado_Receita!$T$2:$T$644,"44682B3Energia horáriaNão se aplicaNão se aplicaNão se aplicaNão se aplicaPonta",Mercado_Receita!$N$2:$N$644)</f>
        <v>0</v>
      </c>
      <c r="R35" s="13">
        <f>SUMIF(Mercado_Receita!$T$2:$T$644,"44713B3Energia horáriaNão se aplicaNão se aplicaNão se aplicaNão se aplicaPonta",Mercado_Receita!$N$2:$N$644)</f>
        <v>0</v>
      </c>
      <c r="S35" s="13">
        <f>SUMIF(Mercado_Receita!$T$2:$T$644,"44743B3Energia horáriaNão se aplicaNão se aplicaNão se aplicaNão se aplicaPonta",Mercado_Receita!$N$2:$N$644)</f>
        <v>0</v>
      </c>
      <c r="T35" s="13">
        <f>SUMIF(Mercado_Receita!$T$2:$T$644,"44774B3Energia horáriaNão se aplicaNão se aplicaNão se aplicaNão se aplicaPonta",Mercado_Receita!$N$2:$N$644)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84"/>
      <c r="B36" s="84"/>
      <c r="C36" s="84"/>
      <c r="D36" s="84"/>
      <c r="E36" s="84"/>
      <c r="F36" s="84"/>
      <c r="G36" s="13" t="s">
        <v>95</v>
      </c>
      <c r="H36" s="13" t="s">
        <v>82</v>
      </c>
      <c r="I36" s="13">
        <f>SUMIF(Mercado_Receita!$T$2:$T$644,"44440B3Energia horáriaNão se aplicaNão se aplicaNão se aplicaNão se aplicaIntermediário",Mercado_Receita!$N$2:$N$644)</f>
        <v>0</v>
      </c>
      <c r="J36" s="13">
        <f>SUMIF(Mercado_Receita!$T$2:$T$644,"44470B3Energia horáriaNão se aplicaNão se aplicaNão se aplicaNão se aplicaIntermediário",Mercado_Receita!$N$2:$N$644)</f>
        <v>0</v>
      </c>
      <c r="K36" s="13">
        <f>SUMIF(Mercado_Receita!$T$2:$T$644,"44501B3Energia horáriaNão se aplicaNão se aplicaNão se aplicaNão se aplicaIntermediário",Mercado_Receita!$N$2:$N$644)</f>
        <v>0</v>
      </c>
      <c r="L36" s="13">
        <f>SUMIF(Mercado_Receita!$T$2:$T$644,"44531B3Energia horáriaNão se aplicaNão se aplicaNão se aplicaNão se aplicaIntermediário",Mercado_Receita!$N$2:$N$644)</f>
        <v>0</v>
      </c>
      <c r="M36" s="13">
        <f>SUMIF(Mercado_Receita!$T$2:$T$644,"44562B3Energia horáriaNão se aplicaNão se aplicaNão se aplicaNão se aplicaIntermediário",Mercado_Receita!$N$2:$N$644)</f>
        <v>0</v>
      </c>
      <c r="N36" s="13">
        <f>SUMIF(Mercado_Receita!$T$2:$T$644,"44593B3Energia horáriaNão se aplicaNão se aplicaNão se aplicaNão se aplicaIntermediário",Mercado_Receita!$N$2:$N$644)</f>
        <v>0</v>
      </c>
      <c r="O36" s="13">
        <f>SUMIF(Mercado_Receita!$T$2:$T$644,"44621B3Energia horáriaNão se aplicaNão se aplicaNão se aplicaNão se aplicaIntermediário",Mercado_Receita!$N$2:$N$644)</f>
        <v>0</v>
      </c>
      <c r="P36" s="13">
        <f>SUMIF(Mercado_Receita!$T$2:$T$644,"44652B3Energia horáriaNão se aplicaNão se aplicaNão se aplicaNão se aplicaIntermediário",Mercado_Receita!$N$2:$N$644)</f>
        <v>0</v>
      </c>
      <c r="Q36" s="13">
        <f>SUMIF(Mercado_Receita!$T$2:$T$644,"44682B3Energia horáriaNão se aplicaNão se aplicaNão se aplicaNão se aplicaIntermediário",Mercado_Receita!$N$2:$N$644)</f>
        <v>0</v>
      </c>
      <c r="R36" s="13">
        <f>SUMIF(Mercado_Receita!$T$2:$T$644,"44713B3Energia horáriaNão se aplicaNão se aplicaNão se aplicaNão se aplicaIntermediário",Mercado_Receita!$N$2:$N$644)</f>
        <v>0</v>
      </c>
      <c r="S36" s="13">
        <f>SUMIF(Mercado_Receita!$T$2:$T$644,"44743B3Energia horáriaNão se aplicaNão se aplicaNão se aplicaNão se aplicaIntermediário",Mercado_Receita!$N$2:$N$644)</f>
        <v>0</v>
      </c>
      <c r="T36" s="13">
        <f>SUMIF(Mercado_Receita!$T$2:$T$644,"44774B3Energia horáriaNão se aplicaNão se aplicaNão se aplicaNão se aplicaIntermediário",Mercado_Receita!$N$2:$N$644)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4"/>
      <c r="B37" s="84"/>
      <c r="C37" s="84"/>
      <c r="D37" s="84"/>
      <c r="E37" s="84"/>
      <c r="F37" s="84"/>
      <c r="G37" s="13" t="s">
        <v>84</v>
      </c>
      <c r="H37" s="13" t="s">
        <v>82</v>
      </c>
      <c r="I37" s="13">
        <f>SUMIF(Mercado_Receita!$T$2:$T$644,"44440B3Energia horáriaNão se aplicaNão se aplicaNão se aplicaNão se aplicaFora ponta",Mercado_Receita!$N$2:$N$644)</f>
        <v>0</v>
      </c>
      <c r="J37" s="13">
        <f>SUMIF(Mercado_Receita!$T$2:$T$644,"44470B3Energia horáriaNão se aplicaNão se aplicaNão se aplicaNão se aplicaFora ponta",Mercado_Receita!$N$2:$N$644)</f>
        <v>0</v>
      </c>
      <c r="K37" s="13">
        <f>SUMIF(Mercado_Receita!$T$2:$T$644,"44501B3Energia horáriaNão se aplicaNão se aplicaNão se aplicaNão se aplicaFora ponta",Mercado_Receita!$N$2:$N$644)</f>
        <v>0</v>
      </c>
      <c r="L37" s="13">
        <f>SUMIF(Mercado_Receita!$T$2:$T$644,"44531B3Energia horáriaNão se aplicaNão se aplicaNão se aplicaNão se aplicaFora ponta",Mercado_Receita!$N$2:$N$644)</f>
        <v>0</v>
      </c>
      <c r="M37" s="13">
        <f>SUMIF(Mercado_Receita!$T$2:$T$644,"44562B3Energia horáriaNão se aplicaNão se aplicaNão se aplicaNão se aplicaFora ponta",Mercado_Receita!$N$2:$N$644)</f>
        <v>0</v>
      </c>
      <c r="N37" s="13">
        <f>SUMIF(Mercado_Receita!$T$2:$T$644,"44593B3Energia horáriaNão se aplicaNão se aplicaNão se aplicaNão se aplicaFora ponta",Mercado_Receita!$N$2:$N$644)</f>
        <v>0</v>
      </c>
      <c r="O37" s="13">
        <f>SUMIF(Mercado_Receita!$T$2:$T$644,"44621B3Energia horáriaNão se aplicaNão se aplicaNão se aplicaNão se aplicaFora ponta",Mercado_Receita!$N$2:$N$644)</f>
        <v>0</v>
      </c>
      <c r="P37" s="13">
        <f>SUMIF(Mercado_Receita!$T$2:$T$644,"44652B3Energia horáriaNão se aplicaNão se aplicaNão se aplicaNão se aplicaFora ponta",Mercado_Receita!$N$2:$N$644)</f>
        <v>0</v>
      </c>
      <c r="Q37" s="13">
        <f>SUMIF(Mercado_Receita!$T$2:$T$644,"44682B3Energia horáriaNão se aplicaNão se aplicaNão se aplicaNão se aplicaFora ponta",Mercado_Receita!$N$2:$N$644)</f>
        <v>0</v>
      </c>
      <c r="R37" s="13">
        <f>SUMIF(Mercado_Receita!$T$2:$T$644,"44713B3Energia horáriaNão se aplicaNão se aplicaNão se aplicaNão se aplicaFora ponta",Mercado_Receita!$N$2:$N$644)</f>
        <v>0</v>
      </c>
      <c r="S37" s="13">
        <f>SUMIF(Mercado_Receita!$T$2:$T$644,"44743B3Energia horáriaNão se aplicaNão se aplicaNão se aplicaNão se aplicaFora ponta",Mercado_Receita!$N$2:$N$644)</f>
        <v>0</v>
      </c>
      <c r="T37" s="13">
        <f>SUMIF(Mercado_Receita!$T$2:$T$644,"44774B3Energia horáriaNão se aplicaNão se aplicaNão se aplicaNão se aplicaFora ponta",Mercado_Receita!$N$2:$N$644)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84"/>
      <c r="B38" s="12" t="s">
        <v>96</v>
      </c>
      <c r="C38" s="12" t="s">
        <v>25</v>
      </c>
      <c r="D38" s="12" t="s">
        <v>25</v>
      </c>
      <c r="E38" s="12" t="s">
        <v>25</v>
      </c>
      <c r="F38" s="12" t="s">
        <v>25</v>
      </c>
      <c r="G38" s="13" t="s">
        <v>87</v>
      </c>
      <c r="H38" s="13" t="s">
        <v>82</v>
      </c>
      <c r="I38" s="13">
        <f>SUMIF(Mercado_Receita!$T$2:$T$644,"44440B3Energia convencionalNão se aplicaNão se aplicaNão se aplicaNão se aplicaNão se aplica",Mercado_Receita!$N$2:$N$644)</f>
        <v>1572.3119999999999</v>
      </c>
      <c r="J38" s="13">
        <f>SUMIF(Mercado_Receita!$T$2:$T$644,"44470B3Energia convencionalNão se aplicaNão se aplicaNão se aplicaNão se aplicaNão se aplica",Mercado_Receita!$N$2:$N$644)</f>
        <v>1315.769</v>
      </c>
      <c r="K38" s="13">
        <f>SUMIF(Mercado_Receita!$T$2:$T$644,"44501B3Energia convencionalNão se aplicaNão se aplicaNão se aplicaNão se aplicaNão se aplica",Mercado_Receita!$N$2:$N$644)</f>
        <v>1442.5950000000005</v>
      </c>
      <c r="L38" s="13">
        <f>SUMIF(Mercado_Receita!$T$2:$T$644,"44531B3Energia convencionalNão se aplicaNão se aplicaNão se aplicaNão se aplicaNão se aplica",Mercado_Receita!$N$2:$N$644)</f>
        <v>1812.8980000000001</v>
      </c>
      <c r="M38" s="13">
        <f>SUMIF(Mercado_Receita!$T$2:$T$644,"44562B3Energia convencionalNão se aplicaNão se aplicaNão se aplicaNão se aplicaNão se aplica",Mercado_Receita!$N$2:$N$644)</f>
        <v>1697.6369999999999</v>
      </c>
      <c r="N38" s="13">
        <f>SUMIF(Mercado_Receita!$T$2:$T$644,"44593B3Energia convencionalNão se aplicaNão se aplicaNão se aplicaNão se aplicaNão se aplica",Mercado_Receita!$N$2:$N$644)</f>
        <v>2139.3559999999998</v>
      </c>
      <c r="O38" s="13">
        <f>SUMIF(Mercado_Receita!$T$2:$T$644,"44621B3Energia convencionalNão se aplicaNão se aplicaNão se aplicaNão se aplicaNão se aplica",Mercado_Receita!$N$2:$N$644)</f>
        <v>1945.8989999999999</v>
      </c>
      <c r="P38" s="13">
        <f>SUMIF(Mercado_Receita!$T$2:$T$644,"44652B3Energia convencionalNão se aplicaNão se aplicaNão se aplicaNão se aplicaNão se aplica",Mercado_Receita!$N$2:$N$644)</f>
        <v>1647.6650000000002</v>
      </c>
      <c r="Q38" s="13">
        <f>SUMIF(Mercado_Receita!$T$2:$T$644,"44682B3Energia convencionalNão se aplicaNão se aplicaNão se aplicaNão se aplicaNão se aplica",Mercado_Receita!$N$2:$N$644)</f>
        <v>1481.479</v>
      </c>
      <c r="R38" s="13">
        <f>SUMIF(Mercado_Receita!$T$2:$T$644,"44713B3Energia convencionalNão se aplicaNão se aplicaNão se aplicaNão se aplicaNão se aplica",Mercado_Receita!$N$2:$N$644)</f>
        <v>1539.644</v>
      </c>
      <c r="S38" s="13">
        <f>SUMIF(Mercado_Receita!$T$2:$T$644,"44743B3Energia convencionalNão se aplicaNão se aplicaNão se aplicaNão se aplicaNão se aplica",Mercado_Receita!$N$2:$N$644)</f>
        <v>1402.5739999999996</v>
      </c>
      <c r="T38" s="13">
        <f>SUMIF(Mercado_Receita!$T$2:$T$644,"44774B3Energia convencionalNão se aplicaNão se aplicaNão se aplicaNão se aplicaNão se aplica",Mercado_Receita!$N$2:$N$644)</f>
        <v>1571.4609999999998</v>
      </c>
      <c r="U38" s="13">
        <f t="shared" si="0"/>
        <v>19569.288999999997</v>
      </c>
      <c r="V38" s="13"/>
      <c r="W38" s="13"/>
    </row>
    <row r="39" spans="1:23" ht="11.25" customHeight="1" x14ac:dyDescent="0.25">
      <c r="A39" s="84"/>
      <c r="B39" s="12" t="s">
        <v>98</v>
      </c>
      <c r="C39" s="12" t="s">
        <v>25</v>
      </c>
      <c r="D39" s="12" t="s">
        <v>25</v>
      </c>
      <c r="E39" s="12" t="s">
        <v>25</v>
      </c>
      <c r="F39" s="12" t="s">
        <v>25</v>
      </c>
      <c r="G39" s="13" t="s">
        <v>87</v>
      </c>
      <c r="H39" s="13" t="s">
        <v>82</v>
      </c>
      <c r="I39" s="13">
        <f>SUMIF(Mercado_Receita!$T$2:$T$644,"44440B3Energia convencional pré-pagamentoNão se aplicaNão se aplicaNão se aplicaNão se aplicaNão se aplica",Mercado_Receita!$N$2:$N$644)</f>
        <v>0</v>
      </c>
      <c r="J39" s="13">
        <f>SUMIF(Mercado_Receita!$T$2:$T$644,"44470B3Energia convencional pré-pagamentoNão se aplicaNão se aplicaNão se aplicaNão se aplicaNão se aplica",Mercado_Receita!$N$2:$N$644)</f>
        <v>0</v>
      </c>
      <c r="K39" s="13">
        <f>SUMIF(Mercado_Receita!$T$2:$T$644,"44501B3Energia convencional pré-pagamentoNão se aplicaNão se aplicaNão se aplicaNão se aplicaNão se aplica",Mercado_Receita!$N$2:$N$644)</f>
        <v>0</v>
      </c>
      <c r="L39" s="13">
        <f>SUMIF(Mercado_Receita!$T$2:$T$644,"44531B3Energia convencional pré-pagamentoNão se aplicaNão se aplicaNão se aplicaNão se aplicaNão se aplica",Mercado_Receita!$N$2:$N$644)</f>
        <v>0</v>
      </c>
      <c r="M39" s="13">
        <f>SUMIF(Mercado_Receita!$T$2:$T$644,"44562B3Energia convencional pré-pagamentoNão se aplicaNão se aplicaNão se aplicaNão se aplicaNão se aplica",Mercado_Receita!$N$2:$N$644)</f>
        <v>0</v>
      </c>
      <c r="N39" s="13">
        <f>SUMIF(Mercado_Receita!$T$2:$T$644,"44593B3Energia convencional pré-pagamentoNão se aplicaNão se aplicaNão se aplicaNão se aplicaNão se aplica",Mercado_Receita!$N$2:$N$644)</f>
        <v>0</v>
      </c>
      <c r="O39" s="13">
        <f>SUMIF(Mercado_Receita!$T$2:$T$644,"44621B3Energia convencional pré-pagamentoNão se aplicaNão se aplicaNão se aplicaNão se aplicaNão se aplica",Mercado_Receita!$N$2:$N$644)</f>
        <v>0</v>
      </c>
      <c r="P39" s="13">
        <f>SUMIF(Mercado_Receita!$T$2:$T$644,"44652B3Energia convencional pré-pagamentoNão se aplicaNão se aplicaNão se aplicaNão se aplicaNão se aplica",Mercado_Receita!$N$2:$N$644)</f>
        <v>0</v>
      </c>
      <c r="Q39" s="13">
        <f>SUMIF(Mercado_Receita!$T$2:$T$644,"44682B3Energia convencional pré-pagamentoNão se aplicaNão se aplicaNão se aplicaNão se aplicaNão se aplica",Mercado_Receita!$N$2:$N$644)</f>
        <v>0</v>
      </c>
      <c r="R39" s="13">
        <f>SUMIF(Mercado_Receita!$T$2:$T$644,"44713B3Energia convencional pré-pagamentoNão se aplicaNão se aplicaNão se aplicaNão se aplicaNão se aplica",Mercado_Receita!$N$2:$N$644)</f>
        <v>0</v>
      </c>
      <c r="S39" s="13">
        <f>SUMIF(Mercado_Receita!$T$2:$T$644,"44743B3Energia convencional pré-pagamentoNão se aplicaNão se aplicaNão se aplicaNão se aplicaNão se aplica",Mercado_Receita!$N$2:$N$644)</f>
        <v>0</v>
      </c>
      <c r="T39" s="13">
        <f>SUMIF(Mercado_Receita!$T$2:$T$644,"44774B3Energia convencional pré-pagamentoNão se aplicaNão se aplicaNão se aplicaNão se aplicaNão se aplica",Mercado_Receita!$N$2:$N$644)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83" t="s">
        <v>43</v>
      </c>
      <c r="B40" s="83" t="s">
        <v>96</v>
      </c>
      <c r="C40" s="83" t="s">
        <v>44</v>
      </c>
      <c r="D40" s="12" t="s">
        <v>45</v>
      </c>
      <c r="E40" s="12" t="s">
        <v>25</v>
      </c>
      <c r="F40" s="12" t="s">
        <v>25</v>
      </c>
      <c r="G40" s="13" t="s">
        <v>87</v>
      </c>
      <c r="H40" s="13" t="s">
        <v>82</v>
      </c>
      <c r="I40" s="13">
        <f>SUMIF(Mercado_Receita!$T$2:$T$644,"44440B4Energia convencionalIluminação públicaIluminação pública – B4aNão se aplicaNão se aplicaNão se aplica",Mercado_Receita!$N$2:$N$644)</f>
        <v>476.20100000000002</v>
      </c>
      <c r="J40" s="13">
        <f>SUMIF(Mercado_Receita!$T$2:$T$644,"44470B4Energia convencionalIluminação públicaIluminação pública – B4aNão se aplicaNão se aplicaNão se aplica",Mercado_Receita!$N$2:$N$644)</f>
        <v>476.90100000000001</v>
      </c>
      <c r="K40" s="13">
        <f>SUMIF(Mercado_Receita!$T$2:$T$644,"44501B4Energia convencionalIluminação públicaIluminação pública – B4aNão se aplicaNão se aplicaNão se aplica",Mercado_Receita!$N$2:$N$644)</f>
        <v>457.16300000000001</v>
      </c>
      <c r="L40" s="13">
        <f>SUMIF(Mercado_Receita!$T$2:$T$644,"44531B4Energia convencionalIluminação públicaIluminação pública – B4aNão se aplicaNão se aplicaNão se aplica",Mercado_Receita!$N$2:$N$644)</f>
        <v>437.16899999999998</v>
      </c>
      <c r="M40" s="13">
        <f>SUMIF(Mercado_Receita!$T$2:$T$644,"44562B4Energia convencionalIluminação públicaIluminação pública – B4aNão se aplicaNão se aplicaNão se aplica",Mercado_Receita!$N$2:$N$644)</f>
        <v>409.19</v>
      </c>
      <c r="N40" s="13">
        <f>SUMIF(Mercado_Receita!$T$2:$T$644,"44593B4Energia convencionalIluminação públicaIluminação pública – B4aNão se aplicaNão se aplicaNão se aplica",Mercado_Receita!$N$2:$N$644)</f>
        <v>372.28399999999999</v>
      </c>
      <c r="O40" s="13">
        <f>SUMIF(Mercado_Receita!$T$2:$T$644,"44621B4Energia convencionalIluminação públicaIluminação pública – B4aNão se aplicaNão se aplicaNão se aplica",Mercado_Receita!$N$2:$N$644)</f>
        <v>349.851</v>
      </c>
      <c r="P40" s="13">
        <f>SUMIF(Mercado_Receita!$T$2:$T$644,"44652B4Energia convencionalIluminação públicaIluminação pública – B4aNão se aplicaNão se aplicaNão se aplica",Mercado_Receita!$N$2:$N$644)</f>
        <v>308.34399999999999</v>
      </c>
      <c r="Q40" s="13">
        <f>SUMIF(Mercado_Receita!$T$2:$T$644,"44682B4Energia convencionalIluminação públicaIluminação pública – B4aNão se aplicaNão se aplicaNão se aplica",Mercado_Receita!$N$2:$N$644)</f>
        <v>313.791</v>
      </c>
      <c r="R40" s="13">
        <f>SUMIF(Mercado_Receita!$T$2:$T$644,"44713B4Energia convencionalIluminação públicaIluminação pública – B4aNão se aplicaNão se aplicaNão se aplica",Mercado_Receita!$N$2:$N$644)</f>
        <v>308.44099999999997</v>
      </c>
      <c r="S40" s="13">
        <f>SUMIF(Mercado_Receita!$T$2:$T$644,"44743B4Energia convencionalIluminação públicaIluminação pública – B4aNão se aplicaNão se aplicaNão se aplica",Mercado_Receita!$N$2:$N$644)</f>
        <v>318.589</v>
      </c>
      <c r="T40" s="13">
        <f>SUMIF(Mercado_Receita!$T$2:$T$644,"44774B4Energia convencionalIluminação públicaIluminação pública – B4aNão se aplicaNão se aplicaNão se aplica",Mercado_Receita!$N$2:$N$644)</f>
        <v>319.55200000000002</v>
      </c>
      <c r="U40" s="13">
        <f t="shared" si="0"/>
        <v>4547.4760000000006</v>
      </c>
      <c r="V40" s="13"/>
      <c r="W40" s="13"/>
    </row>
    <row r="41" spans="1:23" ht="11.25" customHeight="1" x14ac:dyDescent="0.25">
      <c r="A41" s="84"/>
      <c r="B41" s="84"/>
      <c r="C41" s="84"/>
      <c r="D41" s="13" t="s">
        <v>102</v>
      </c>
      <c r="E41" s="13" t="s">
        <v>25</v>
      </c>
      <c r="F41" s="13" t="s">
        <v>25</v>
      </c>
      <c r="G41" s="13" t="s">
        <v>87</v>
      </c>
      <c r="H41" s="13" t="s">
        <v>82</v>
      </c>
      <c r="I41" s="13">
        <f>SUMIF(Mercado_Receita!$T$2:$T$644,"44440B4Energia convencionalIluminação públicaIluminação pública – B4bNão se aplicaNão se aplicaNão se aplica",Mercado_Receita!$N$2:$N$644)</f>
        <v>0</v>
      </c>
      <c r="J41" s="13">
        <f>SUMIF(Mercado_Receita!$T$2:$T$644,"44470B4Energia convencionalIluminação públicaIluminação pública – B4bNão se aplicaNão se aplicaNão se aplica",Mercado_Receita!$N$2:$N$644)</f>
        <v>0</v>
      </c>
      <c r="K41" s="13">
        <f>SUMIF(Mercado_Receita!$T$2:$T$644,"44501B4Energia convencionalIluminação públicaIluminação pública – B4bNão se aplicaNão se aplicaNão se aplica",Mercado_Receita!$N$2:$N$644)</f>
        <v>0</v>
      </c>
      <c r="L41" s="13">
        <f>SUMIF(Mercado_Receita!$T$2:$T$644,"44531B4Energia convencionalIluminação públicaIluminação pública – B4bNão se aplicaNão se aplicaNão se aplica",Mercado_Receita!$N$2:$N$644)</f>
        <v>0</v>
      </c>
      <c r="M41" s="13">
        <f>SUMIF(Mercado_Receita!$T$2:$T$644,"44562B4Energia convencionalIluminação públicaIluminação pública – B4bNão se aplicaNão se aplicaNão se aplica",Mercado_Receita!$N$2:$N$644)</f>
        <v>0</v>
      </c>
      <c r="N41" s="13">
        <f>SUMIF(Mercado_Receita!$T$2:$T$644,"44593B4Energia convencionalIluminação públicaIluminação pública – B4bNão se aplicaNão se aplicaNão se aplica",Mercado_Receita!$N$2:$N$644)</f>
        <v>0</v>
      </c>
      <c r="O41" s="13">
        <f>SUMIF(Mercado_Receita!$T$2:$T$644,"44621B4Energia convencionalIluminação públicaIluminação pública – B4bNão se aplicaNão se aplicaNão se aplica",Mercado_Receita!$N$2:$N$644)</f>
        <v>0</v>
      </c>
      <c r="P41" s="13">
        <f>SUMIF(Mercado_Receita!$T$2:$T$644,"44652B4Energia convencionalIluminação públicaIluminação pública – B4bNão se aplicaNão se aplicaNão se aplica",Mercado_Receita!$N$2:$N$644)</f>
        <v>0</v>
      </c>
      <c r="Q41" s="13">
        <f>SUMIF(Mercado_Receita!$T$2:$T$644,"44682B4Energia convencionalIluminação públicaIluminação pública – B4bNão se aplicaNão se aplicaNão se aplica",Mercado_Receita!$N$2:$N$644)</f>
        <v>0</v>
      </c>
      <c r="R41" s="13">
        <f>SUMIF(Mercado_Receita!$T$2:$T$644,"44713B4Energia convencionalIluminação públicaIluminação pública – B4bNão se aplicaNão se aplicaNão se aplica",Mercado_Receita!$N$2:$N$644)</f>
        <v>0</v>
      </c>
      <c r="S41" s="13">
        <f>SUMIF(Mercado_Receita!$T$2:$T$644,"44743B4Energia convencionalIluminação públicaIluminação pública – B4bNão se aplicaNão se aplicaNão se aplica",Mercado_Receita!$N$2:$N$644)</f>
        <v>0</v>
      </c>
      <c r="T41" s="13">
        <f>SUMIF(Mercado_Receita!$T$2:$T$644,"44774B4Energia convencionalIluminação públicaIluminação pública – B4bNão se aplicaNão se aplicaNão se aplica",Mercado_Receita!$N$2:$N$644)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85" t="s">
        <v>463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13"/>
      <c r="W42" s="13"/>
    </row>
  </sheetData>
  <mergeCells count="44">
    <mergeCell ref="A2:A6"/>
    <mergeCell ref="F2:F3"/>
    <mergeCell ref="E2:E3"/>
    <mergeCell ref="D2:D3"/>
    <mergeCell ref="C2:C3"/>
    <mergeCell ref="B2:B3"/>
    <mergeCell ref="C15:C19"/>
    <mergeCell ref="B15:B19"/>
    <mergeCell ref="A7:A19"/>
    <mergeCell ref="F20:F22"/>
    <mergeCell ref="E20:E22"/>
    <mergeCell ref="D20:D22"/>
    <mergeCell ref="C20:C22"/>
    <mergeCell ref="B20:B22"/>
    <mergeCell ref="F7:F9"/>
    <mergeCell ref="E7:E9"/>
    <mergeCell ref="D7:D9"/>
    <mergeCell ref="C7:C9"/>
    <mergeCell ref="B7:B9"/>
    <mergeCell ref="C10:C14"/>
    <mergeCell ref="B10:B14"/>
    <mergeCell ref="C24:C26"/>
    <mergeCell ref="B24:B26"/>
    <mergeCell ref="F28:F30"/>
    <mergeCell ref="E28:E30"/>
    <mergeCell ref="D28:D30"/>
    <mergeCell ref="C28:C30"/>
    <mergeCell ref="B28:B30"/>
    <mergeCell ref="A40:A41"/>
    <mergeCell ref="B40:B41"/>
    <mergeCell ref="C40:C41"/>
    <mergeCell ref="A42:U42"/>
    <mergeCell ref="C32:C34"/>
    <mergeCell ref="B32:B34"/>
    <mergeCell ref="A20:A34"/>
    <mergeCell ref="F35:F37"/>
    <mergeCell ref="E35:E37"/>
    <mergeCell ref="D35:D37"/>
    <mergeCell ref="C35:C37"/>
    <mergeCell ref="B35:B37"/>
    <mergeCell ref="A35:A39"/>
    <mergeCell ref="F24:F26"/>
    <mergeCell ref="E24:E26"/>
    <mergeCell ref="D24:D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B42F-9989-494F-8554-47D095763903}">
  <sheetPr codeName="Planilha6"/>
  <dimension ref="A1:AD200"/>
  <sheetViews>
    <sheetView showGridLines="0" topLeftCell="A25" workbookViewId="0">
      <selection activeCell="H48" sqref="H48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2" style="14" bestFit="1" customWidth="1"/>
    <col min="8" max="11" width="9.140625" style="14"/>
    <col min="12" max="12" width="34.140625" style="14" bestFit="1" customWidth="1"/>
    <col min="13" max="13" width="10.85546875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9.42578125" style="14" bestFit="1" customWidth="1"/>
    <col min="19" max="19" width="12.57031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140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503</v>
      </c>
      <c r="B1" s="10" t="s">
        <v>504</v>
      </c>
      <c r="C1" s="10" t="s">
        <v>505</v>
      </c>
      <c r="D1" s="10" t="s">
        <v>506</v>
      </c>
      <c r="E1" s="10" t="s">
        <v>507</v>
      </c>
      <c r="F1" s="10" t="s">
        <v>508</v>
      </c>
      <c r="G1" s="7"/>
      <c r="H1" s="7"/>
      <c r="I1" s="7"/>
      <c r="J1" s="7"/>
      <c r="K1" s="7"/>
      <c r="L1" s="96" t="s">
        <v>509</v>
      </c>
      <c r="M1" s="96"/>
      <c r="N1" s="7"/>
      <c r="O1" s="91" t="s">
        <v>596</v>
      </c>
      <c r="P1" s="92"/>
      <c r="Q1" s="92"/>
      <c r="R1" s="92"/>
      <c r="S1" s="92"/>
      <c r="T1" s="92"/>
      <c r="U1" s="92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7" t="s">
        <v>464</v>
      </c>
      <c r="B2" s="87" t="s">
        <v>465</v>
      </c>
      <c r="C2" s="16" t="s">
        <v>550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510</v>
      </c>
      <c r="M2" s="68">
        <v>0.1082</v>
      </c>
      <c r="N2" s="15"/>
      <c r="O2" s="28" t="s">
        <v>597</v>
      </c>
      <c r="P2" s="28" t="s">
        <v>598</v>
      </c>
      <c r="Q2" s="28" t="s">
        <v>599</v>
      </c>
      <c r="R2" s="28" t="s">
        <v>35</v>
      </c>
      <c r="S2" s="28" t="s">
        <v>600</v>
      </c>
      <c r="T2" s="28" t="s">
        <v>92</v>
      </c>
      <c r="U2" s="28"/>
      <c r="V2" s="15"/>
      <c r="W2" s="15"/>
      <c r="X2" s="23" t="s">
        <v>563</v>
      </c>
      <c r="Y2" s="15"/>
      <c r="Z2" s="15"/>
      <c r="AA2" s="15" t="s">
        <v>608</v>
      </c>
      <c r="AB2" s="15"/>
      <c r="AC2" s="15"/>
      <c r="AD2" s="15"/>
    </row>
    <row r="3" spans="1:30" ht="12" customHeight="1" x14ac:dyDescent="0.2">
      <c r="A3" s="97"/>
      <c r="B3" s="97"/>
      <c r="C3" s="16" t="s">
        <v>466</v>
      </c>
      <c r="D3" s="13">
        <v>138327.52127755724</v>
      </c>
      <c r="E3" s="13">
        <v>4316.3568754170165</v>
      </c>
      <c r="F3" s="13">
        <v>0</v>
      </c>
      <c r="G3" s="15"/>
      <c r="H3" s="15"/>
      <c r="I3" s="15"/>
      <c r="J3" s="15"/>
      <c r="K3" s="15"/>
      <c r="L3" s="23" t="s">
        <v>511</v>
      </c>
      <c r="M3" s="68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601</v>
      </c>
      <c r="V3" s="15"/>
      <c r="W3" s="15"/>
      <c r="X3" s="23" t="s">
        <v>564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7"/>
      <c r="B4" s="97"/>
      <c r="C4" s="16" t="s">
        <v>467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512</v>
      </c>
      <c r="M4" s="68">
        <v>8.5874515481677571E-2</v>
      </c>
      <c r="N4" s="15"/>
      <c r="O4" s="29">
        <v>1</v>
      </c>
      <c r="P4" s="29">
        <v>1</v>
      </c>
      <c r="Q4" s="66">
        <v>0.85</v>
      </c>
      <c r="R4" s="66">
        <v>0.85</v>
      </c>
      <c r="S4" s="29">
        <v>1</v>
      </c>
      <c r="T4" s="29">
        <v>1</v>
      </c>
      <c r="U4" s="29" t="s">
        <v>60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7"/>
      <c r="B5" s="97"/>
      <c r="C5" s="16" t="s">
        <v>468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513</v>
      </c>
      <c r="M5" s="68">
        <v>1E-14</v>
      </c>
      <c r="N5" s="15"/>
      <c r="O5" s="15"/>
      <c r="P5" s="15"/>
      <c r="Q5" s="15">
        <v>0.75</v>
      </c>
      <c r="R5" s="15">
        <v>0.75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7"/>
      <c r="B6" s="97"/>
      <c r="C6" s="16" t="s">
        <v>469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514</v>
      </c>
      <c r="M6" s="68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7"/>
      <c r="B7" s="97"/>
      <c r="C7" s="16" t="s">
        <v>470</v>
      </c>
      <c r="D7" s="13">
        <v>11160366.718520008</v>
      </c>
      <c r="E7" s="13">
        <v>292134.43826547445</v>
      </c>
      <c r="F7" s="13">
        <v>0</v>
      </c>
      <c r="G7" s="15"/>
      <c r="H7" s="15"/>
      <c r="I7" s="15"/>
      <c r="J7" s="15"/>
      <c r="K7" s="15"/>
      <c r="L7" s="23" t="s">
        <v>515</v>
      </c>
      <c r="M7" s="23">
        <f>M8+M9+M10+M11</f>
        <v>17977.031653333339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7"/>
      <c r="B8" s="97"/>
      <c r="C8" s="16" t="s">
        <v>471</v>
      </c>
      <c r="D8" s="13">
        <v>1869898.6226700018</v>
      </c>
      <c r="E8" s="13">
        <v>46610.774725681258</v>
      </c>
      <c r="F8" s="13">
        <v>0</v>
      </c>
      <c r="G8" s="15"/>
      <c r="H8" s="15"/>
      <c r="I8" s="15"/>
      <c r="J8" s="15"/>
      <c r="K8" s="15"/>
      <c r="L8" s="69" t="s">
        <v>516</v>
      </c>
      <c r="M8" s="23">
        <v>13555.970320000006</v>
      </c>
      <c r="N8" s="15"/>
      <c r="O8" s="23" t="s">
        <v>549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7"/>
      <c r="B9" s="97"/>
      <c r="C9" s="16" t="s">
        <v>472</v>
      </c>
      <c r="D9" s="13"/>
      <c r="E9" s="13"/>
      <c r="F9" s="13"/>
      <c r="G9" s="15"/>
      <c r="H9" s="15"/>
      <c r="I9" s="15"/>
      <c r="J9" s="15"/>
      <c r="K9" s="15"/>
      <c r="L9" s="70" t="s">
        <v>517</v>
      </c>
      <c r="M9" s="23">
        <v>0</v>
      </c>
      <c r="N9" s="15"/>
      <c r="O9" s="23" t="s">
        <v>554</v>
      </c>
      <c r="P9" s="29">
        <f>SUM(Mercado_Receita!$J$2:$J$644)</f>
        <v>318119</v>
      </c>
      <c r="Q9" s="29">
        <v>318119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7"/>
      <c r="B10" s="88"/>
      <c r="C10" s="16" t="s">
        <v>473</v>
      </c>
      <c r="D10" s="13">
        <f>SUM(D$2:D9)</f>
        <v>13168592.862467568</v>
      </c>
      <c r="E10" s="13">
        <f>SUM(E$2:E9)</f>
        <v>343061.56986657274</v>
      </c>
      <c r="F10" s="13">
        <f>SUM(F$2:F9)</f>
        <v>0</v>
      </c>
      <c r="G10" s="15"/>
      <c r="H10" s="15"/>
      <c r="I10" s="15"/>
      <c r="J10" s="15"/>
      <c r="K10" s="15"/>
      <c r="L10" s="69" t="s">
        <v>518</v>
      </c>
      <c r="M10" s="23">
        <v>372.0675697302263</v>
      </c>
      <c r="N10" s="15"/>
      <c r="O10" s="23" t="s">
        <v>555</v>
      </c>
      <c r="P10" s="29">
        <f>SUM(Mercado_Receita!$L$2:$L$644)</f>
        <v>139984.29199999993</v>
      </c>
      <c r="Q10" s="29">
        <v>139984.29199999999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7"/>
      <c r="B11" s="87" t="s">
        <v>474</v>
      </c>
      <c r="C11" s="16" t="s">
        <v>475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9" t="s">
        <v>519</v>
      </c>
      <c r="M11" s="23">
        <v>4048.9937636031082</v>
      </c>
      <c r="N11" s="15"/>
      <c r="O11" s="23" t="s">
        <v>556</v>
      </c>
      <c r="P11" s="29">
        <f>SUM(Mercado_Receita!$N$2:$N$644)</f>
        <v>147521.69699999993</v>
      </c>
      <c r="Q11" s="29">
        <v>147521.69699999999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7"/>
      <c r="B12" s="97"/>
      <c r="C12" s="16" t="s">
        <v>476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520</v>
      </c>
      <c r="M12" s="23">
        <v>165498.72865333344</v>
      </c>
      <c r="N12" s="15"/>
      <c r="O12" s="23" t="s">
        <v>557</v>
      </c>
      <c r="P12" s="29">
        <f>SUMIF('MERCADO TUSD'!$H$2:$H$51,"kW",'MERCADO TUSD'!$U$2:$U$51)</f>
        <v>318119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7"/>
      <c r="B13" s="97"/>
      <c r="C13" s="16" t="s">
        <v>477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521</v>
      </c>
      <c r="M13" s="23">
        <v>2373.2580463055883</v>
      </c>
      <c r="N13" s="15"/>
      <c r="O13" s="23" t="s">
        <v>558</v>
      </c>
      <c r="P13" s="29">
        <f>SUMIF('MERCADO TUSD'!$H$2:$H$51,"MWh",'MERCADO TUSD'!$U$2:$U$51)</f>
        <v>139984.29199999999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7"/>
      <c r="B14" s="97"/>
      <c r="C14" s="16" t="s">
        <v>478</v>
      </c>
      <c r="D14" s="13"/>
      <c r="E14" s="13"/>
      <c r="F14" s="13"/>
      <c r="G14" s="15"/>
      <c r="H14" s="15"/>
      <c r="I14" s="15"/>
      <c r="J14" s="15"/>
      <c r="K14" s="15"/>
      <c r="L14" s="23" t="s">
        <v>522</v>
      </c>
      <c r="M14" s="23">
        <v>188.22325064416663</v>
      </c>
      <c r="N14" s="15"/>
      <c r="O14" s="23" t="s">
        <v>559</v>
      </c>
      <c r="P14" s="29">
        <f>SUMIF('MERCADO TE'!$H$2:$H$41,"MWh",'MERCADO TE'!$U$2:$U$41)</f>
        <v>147521.69699999999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7"/>
      <c r="B15" s="97"/>
      <c r="C15" s="16" t="s">
        <v>479</v>
      </c>
      <c r="D15" s="13">
        <v>10332345.225399999</v>
      </c>
      <c r="E15" s="13">
        <v>354650.42408493307</v>
      </c>
      <c r="F15" s="13">
        <v>0</v>
      </c>
      <c r="G15" s="15"/>
      <c r="H15" s="15"/>
      <c r="I15" s="15"/>
      <c r="J15" s="15"/>
      <c r="K15" s="15"/>
      <c r="L15" s="23" t="s">
        <v>523</v>
      </c>
      <c r="M15" s="23">
        <f>M14*M12</f>
        <v>31150708.684607301</v>
      </c>
      <c r="N15" s="15"/>
      <c r="O15" s="23" t="s">
        <v>560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7"/>
      <c r="B16" s="97"/>
      <c r="C16" s="16" t="s">
        <v>480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524</v>
      </c>
      <c r="M16" s="23">
        <v>-2158811.4622033881</v>
      </c>
      <c r="N16" s="15"/>
      <c r="O16" s="23" t="s">
        <v>561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7"/>
      <c r="B17" s="97"/>
      <c r="C17" s="16" t="s">
        <v>481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525</v>
      </c>
      <c r="M17" s="23">
        <v>0</v>
      </c>
      <c r="N17" s="15"/>
      <c r="O17" s="23" t="s">
        <v>562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7"/>
      <c r="B18" s="88"/>
      <c r="C18" s="16" t="s">
        <v>473</v>
      </c>
      <c r="D18" s="13">
        <f>SUM(D$11:D17)</f>
        <v>10332345.225399999</v>
      </c>
      <c r="E18" s="13">
        <f>SUM(E$11:E17)</f>
        <v>354650.42408493307</v>
      </c>
      <c r="F18" s="13">
        <f>SUM(F$11:F17)</f>
        <v>0</v>
      </c>
      <c r="G18" s="15"/>
      <c r="H18" s="15"/>
      <c r="I18" s="15"/>
      <c r="J18" s="15"/>
      <c r="K18" s="15"/>
      <c r="L18" s="23" t="s">
        <v>526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7"/>
      <c r="B19" s="87" t="s">
        <v>482</v>
      </c>
      <c r="C19" s="16" t="s">
        <v>483</v>
      </c>
      <c r="D19" s="13">
        <v>33091403.650000002</v>
      </c>
      <c r="E19" s="13">
        <v>-10296897.942699337</v>
      </c>
      <c r="F19" s="13">
        <v>0</v>
      </c>
      <c r="G19" s="15"/>
      <c r="H19" s="15"/>
      <c r="I19" s="15"/>
      <c r="J19" s="15"/>
      <c r="K19" s="15"/>
      <c r="L19" s="23" t="s">
        <v>527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7"/>
      <c r="B20" s="88"/>
      <c r="C20" s="16" t="s">
        <v>473</v>
      </c>
      <c r="D20" s="13">
        <f>SUM(D$19:D19)</f>
        <v>33091403.650000002</v>
      </c>
      <c r="E20" s="13">
        <f>SUM(E$19:E19)</f>
        <v>-10296897.942699337</v>
      </c>
      <c r="F20" s="13">
        <f>SUM(F$19:F19)</f>
        <v>0</v>
      </c>
      <c r="G20" s="15"/>
      <c r="H20" s="15"/>
      <c r="I20" s="15"/>
      <c r="J20" s="15"/>
      <c r="K20" s="15"/>
      <c r="L20" s="23" t="s">
        <v>528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7"/>
      <c r="B21" s="87" t="s">
        <v>484</v>
      </c>
      <c r="C21" s="16" t="s">
        <v>485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529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7"/>
      <c r="B22" s="97"/>
      <c r="C22" s="16" t="s">
        <v>486</v>
      </c>
      <c r="D22" s="13"/>
      <c r="E22" s="13"/>
      <c r="F22" s="13"/>
      <c r="G22" s="15"/>
      <c r="H22" s="15"/>
      <c r="I22" s="15"/>
      <c r="J22" s="15"/>
      <c r="K22" s="15"/>
      <c r="L22" s="23" t="s">
        <v>551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7"/>
      <c r="B23" s="88"/>
      <c r="C23" s="16" t="s">
        <v>473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530</v>
      </c>
      <c r="M23" s="23">
        <v>20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7"/>
      <c r="B24" s="87" t="s">
        <v>487</v>
      </c>
      <c r="C24" s="16" t="s">
        <v>488</v>
      </c>
      <c r="D24" s="13">
        <f>$M$14*$M$8</f>
        <v>2551548.7992662448</v>
      </c>
      <c r="E24" s="13">
        <f>$M$16*$M$8/$M$12</f>
        <v>-176827.84844471671</v>
      </c>
      <c r="F24" s="13">
        <f>$M$17*$M$8/$M$12</f>
        <v>0</v>
      </c>
      <c r="G24" s="15"/>
      <c r="H24" s="15"/>
      <c r="I24" s="15"/>
      <c r="J24" s="15"/>
      <c r="K24" s="15"/>
      <c r="L24" s="23" t="s">
        <v>531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7"/>
      <c r="B25" s="97"/>
      <c r="C25" s="16" t="s">
        <v>489</v>
      </c>
      <c r="D25" s="13">
        <f>$M$14*$M$10</f>
        <v>70031.767433898334</v>
      </c>
      <c r="E25" s="13">
        <f>$M$16*$M$10/$M$12</f>
        <v>-4853.3528975335275</v>
      </c>
      <c r="F25" s="13">
        <f>$M$17*$M$10/$M$12</f>
        <v>0</v>
      </c>
      <c r="G25" s="15"/>
      <c r="H25" s="15"/>
      <c r="I25" s="15"/>
      <c r="J25" s="15"/>
      <c r="K25" s="15"/>
      <c r="L25" s="23" t="s">
        <v>532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7"/>
      <c r="B26" s="97"/>
      <c r="C26" s="16" t="s">
        <v>490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533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7"/>
      <c r="B27" s="97"/>
      <c r="C27" s="16" t="s">
        <v>491</v>
      </c>
      <c r="D27" s="13"/>
      <c r="E27" s="13"/>
      <c r="F27" s="13"/>
      <c r="G27" s="15"/>
      <c r="H27" s="15"/>
      <c r="I27" s="15"/>
      <c r="J27" s="15"/>
      <c r="K27" s="15"/>
      <c r="L27" s="23" t="s">
        <v>534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7"/>
      <c r="B28" s="88"/>
      <c r="C28" s="16" t="s">
        <v>473</v>
      </c>
      <c r="D28" s="13">
        <f>SUM(D$24:D27)</f>
        <v>2621580.5667001433</v>
      </c>
      <c r="E28" s="13">
        <f>SUM(E$24:E27)</f>
        <v>-181681.20134225025</v>
      </c>
      <c r="F28" s="13">
        <f>SUM(F$24:F27)</f>
        <v>0</v>
      </c>
      <c r="G28" s="15"/>
      <c r="H28" s="15"/>
      <c r="I28" s="15"/>
      <c r="J28" s="15"/>
      <c r="K28" s="15"/>
      <c r="L28" s="23" t="s">
        <v>535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8"/>
      <c r="B29" s="89" t="s">
        <v>473</v>
      </c>
      <c r="C29" s="90"/>
      <c r="D29" s="13">
        <f>SUMIF(C$2:C28,"SUBTOTAL",D$2:D28)</f>
        <v>59213922.30456771</v>
      </c>
      <c r="E29" s="13">
        <f>SUMIF(C$2:C28,"SUBTOTAL",E$2:E28)</f>
        <v>-9780867.1500900835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536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7" t="s">
        <v>492</v>
      </c>
      <c r="B30" s="87" t="s">
        <v>465</v>
      </c>
      <c r="C30" s="16" t="s">
        <v>467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537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7"/>
      <c r="B31" s="97"/>
      <c r="C31" s="16" t="s">
        <v>493</v>
      </c>
      <c r="D31" s="13">
        <v>4000632.2600000002</v>
      </c>
      <c r="E31" s="13">
        <v>1430384.8026129566</v>
      </c>
      <c r="F31" s="13">
        <v>0</v>
      </c>
      <c r="G31" s="15"/>
      <c r="H31" s="15"/>
      <c r="I31" s="15"/>
      <c r="J31" s="15"/>
      <c r="K31" s="15"/>
      <c r="L31" s="23" t="s">
        <v>538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7"/>
      <c r="B32" s="97"/>
      <c r="C32" s="16" t="s">
        <v>494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539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7"/>
      <c r="B33" s="97"/>
      <c r="C33" s="16" t="s">
        <v>553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540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7"/>
      <c r="B34" s="97"/>
      <c r="C34" s="16" t="s">
        <v>495</v>
      </c>
      <c r="D34" s="13">
        <v>-2394550.81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541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7"/>
      <c r="B35" s="88"/>
      <c r="C35" s="16" t="s">
        <v>473</v>
      </c>
      <c r="D35" s="13">
        <f>SUM(D$30:D34)</f>
        <v>1606081.4500000002</v>
      </c>
      <c r="E35" s="13">
        <f>SUM(E$30:E34)</f>
        <v>1430384.8026129566</v>
      </c>
      <c r="F35" s="13">
        <f>SUM(F$30:F34)</f>
        <v>0</v>
      </c>
      <c r="G35" s="15"/>
      <c r="H35" s="15"/>
      <c r="I35" s="15"/>
      <c r="J35" s="15"/>
      <c r="K35" s="15"/>
      <c r="L35" s="23" t="s">
        <v>542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7"/>
      <c r="B36" s="87" t="s">
        <v>496</v>
      </c>
      <c r="C36" s="16" t="s">
        <v>497</v>
      </c>
      <c r="D36" s="13">
        <f>$M$14*($M$12-$M$7)</f>
        <v>27767013.349883825</v>
      </c>
      <c r="E36" s="13">
        <f>$M$16*($M$12-$M$7)/$M$12</f>
        <v>-1924314.0596831457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543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7"/>
      <c r="B37" s="88"/>
      <c r="C37" s="16" t="s">
        <v>473</v>
      </c>
      <c r="D37" s="13">
        <f>SUM(D$36:D36)</f>
        <v>27767013.349883825</v>
      </c>
      <c r="E37" s="13">
        <f>SUM(E$36:E36)</f>
        <v>-1924314.0596831457</v>
      </c>
      <c r="F37" s="13">
        <f>SUM(F$36:F36)</f>
        <v>0</v>
      </c>
      <c r="G37" s="15"/>
      <c r="H37" s="15"/>
      <c r="I37" s="15"/>
      <c r="J37" s="15"/>
      <c r="K37" s="15"/>
      <c r="L37" s="23" t="s">
        <v>544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7"/>
      <c r="B38" s="87" t="s">
        <v>474</v>
      </c>
      <c r="C38" s="16" t="s">
        <v>498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545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602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7"/>
      <c r="B39" s="97"/>
      <c r="C39" s="16" t="s">
        <v>499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546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620</v>
      </c>
      <c r="P39" s="15" t="s">
        <v>621</v>
      </c>
      <c r="Q39" s="15" t="s">
        <v>622</v>
      </c>
      <c r="R39" s="15" t="s">
        <v>623</v>
      </c>
      <c r="S39" s="15" t="s">
        <v>1</v>
      </c>
      <c r="T39" s="15" t="s">
        <v>624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7"/>
      <c r="B40" s="97"/>
      <c r="C40" s="16" t="s">
        <v>500</v>
      </c>
      <c r="D40" s="13"/>
      <c r="E40" s="13"/>
      <c r="F40" s="13"/>
      <c r="G40" s="15"/>
      <c r="H40" s="15"/>
      <c r="I40" s="15"/>
      <c r="J40" s="15"/>
      <c r="K40" s="15"/>
      <c r="L40" s="23" t="s">
        <v>547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 t="s">
        <v>58</v>
      </c>
      <c r="P40" s="33" t="s">
        <v>56</v>
      </c>
      <c r="Q40" s="33" t="s">
        <v>625</v>
      </c>
      <c r="R40" s="33" t="s">
        <v>609</v>
      </c>
      <c r="S40" s="33" t="s">
        <v>35</v>
      </c>
      <c r="T40" s="33">
        <v>0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7"/>
      <c r="B41" s="88"/>
      <c r="C41" s="16" t="s">
        <v>473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 t="s">
        <v>58</v>
      </c>
      <c r="P41" s="33" t="s">
        <v>56</v>
      </c>
      <c r="Q41" s="33" t="s">
        <v>625</v>
      </c>
      <c r="R41" s="33" t="s">
        <v>611</v>
      </c>
      <c r="S41" s="33" t="s">
        <v>35</v>
      </c>
      <c r="T41" s="33">
        <v>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7"/>
      <c r="B42" s="87" t="s">
        <v>484</v>
      </c>
      <c r="C42" s="16" t="s">
        <v>485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7"/>
      <c r="B43" s="88"/>
      <c r="C43" s="16" t="s">
        <v>473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7"/>
      <c r="B44" s="87" t="s">
        <v>487</v>
      </c>
      <c r="C44" s="16" t="s">
        <v>501</v>
      </c>
      <c r="D44" s="13">
        <f>$M$14*$M$11</f>
        <v>762114.76802333537</v>
      </c>
      <c r="E44" s="13">
        <f>$M$16*$M$11/$M$12</f>
        <v>-52816.201177992349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7"/>
      <c r="B45" s="88"/>
      <c r="C45" s="16" t="s">
        <v>473</v>
      </c>
      <c r="D45" s="13">
        <f>SUM(D$44:D44)</f>
        <v>762114.76802333537</v>
      </c>
      <c r="E45" s="13">
        <f>SUM(E$44:E44)</f>
        <v>-52816.201177992349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8"/>
      <c r="B46" s="89" t="s">
        <v>473</v>
      </c>
      <c r="C46" s="90"/>
      <c r="D46" s="13">
        <f>SUMIF(C$30:C45,"SUBTOTAL",D$30:D45)</f>
        <v>30135209.567907158</v>
      </c>
      <c r="E46" s="13">
        <f>SUMIF(C$30:C45,"SUBTOTAL",E$30:E45)</f>
        <v>-546745.4582481815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9" t="s">
        <v>502</v>
      </c>
      <c r="B47" s="95"/>
      <c r="C47" s="90"/>
      <c r="D47" s="13">
        <f>SUMIF(C$2:C46,"SUBTOTAL",D$2:D46)</f>
        <v>89349131.872474879</v>
      </c>
      <c r="E47" s="13">
        <f>SUMIF(C$2:C46,"SUBTOTAL",E$2:E46)</f>
        <v>-10327612.608338265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93" t="s">
        <v>594</v>
      </c>
      <c r="B48" s="94"/>
      <c r="C48" s="94"/>
      <c r="D48" s="26">
        <f ca="1">'TUSD BE'!$AM$56+'TUSD BE'!$AM$60+'TE BE'!$AB$46</f>
        <v>89349131.872474879</v>
      </c>
      <c r="E48" s="26">
        <f ca="1">'TUSD BF'!$AM$56+'TE BF'!$AB$46</f>
        <v>-10327612.608338261</v>
      </c>
      <c r="F48" s="26">
        <f ca="1">'TUSD CVA'!$AM$56+'TE CVA'!$AB$46</f>
        <v>0</v>
      </c>
      <c r="G48" s="40">
        <f ca="1">SUM(D48:F48)</f>
        <v>79021519.264136612</v>
      </c>
      <c r="L48" s="67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93" t="s">
        <v>595</v>
      </c>
      <c r="B49" s="94"/>
      <c r="C49" s="94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67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G50" s="40">
        <v>79021519.264136612</v>
      </c>
      <c r="L50" s="67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G51" s="71">
        <f ca="1">G50-G48</f>
        <v>0</v>
      </c>
      <c r="L51" s="51" t="s">
        <v>548</v>
      </c>
      <c r="M51" s="57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620</v>
      </c>
      <c r="P101" s="33" t="s">
        <v>626</v>
      </c>
      <c r="Q101" s="33" t="s">
        <v>627</v>
      </c>
      <c r="R101" s="33" t="s">
        <v>628</v>
      </c>
      <c r="S101" s="33" t="s">
        <v>629</v>
      </c>
      <c r="T101" s="33" t="s">
        <v>630</v>
      </c>
      <c r="U101" s="33" t="s">
        <v>631</v>
      </c>
      <c r="V101" s="33" t="s">
        <v>632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34</v>
      </c>
      <c r="P102" s="33" t="s">
        <v>23</v>
      </c>
      <c r="Q102" s="33" t="s">
        <v>40</v>
      </c>
      <c r="R102" s="33" t="s">
        <v>41</v>
      </c>
      <c r="S102" s="33" t="s">
        <v>25</v>
      </c>
      <c r="T102" s="33" t="s">
        <v>41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25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25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25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25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25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25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25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25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25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25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25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25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25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36:B37"/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AA74-E549-4303-8E6F-15B0678B5F15}">
  <sheetPr codeName="Planilha7"/>
  <dimension ref="A1:AP54"/>
  <sheetViews>
    <sheetView showGridLines="0" topLeftCell="E1" workbookViewId="0">
      <selection activeCell="AC34" sqref="AC34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566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P1" s="99" t="s">
        <v>567</v>
      </c>
    </row>
    <row r="2" spans="1:42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P2" s="101"/>
    </row>
    <row r="3" spans="1:42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/>
      <c r="U3" s="99" t="s">
        <v>474</v>
      </c>
      <c r="V3" s="99"/>
      <c r="W3" s="99"/>
      <c r="X3" s="99"/>
      <c r="Y3" s="99"/>
      <c r="Z3" s="99"/>
      <c r="AA3" s="99"/>
      <c r="AB3" s="99"/>
      <c r="AC3" s="99" t="s">
        <v>482</v>
      </c>
      <c r="AD3" s="99"/>
      <c r="AE3" s="99" t="s">
        <v>484</v>
      </c>
      <c r="AF3" s="99"/>
      <c r="AG3" s="99"/>
      <c r="AH3" s="99" t="s">
        <v>487</v>
      </c>
      <c r="AI3" s="99"/>
      <c r="AJ3" s="99"/>
      <c r="AK3" s="99"/>
      <c r="AL3" s="99"/>
      <c r="AM3" s="99" t="s">
        <v>473</v>
      </c>
      <c r="AP3" s="101"/>
    </row>
    <row r="4" spans="1:42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473</v>
      </c>
      <c r="U4" s="10" t="s">
        <v>475</v>
      </c>
      <c r="V4" s="10" t="s">
        <v>476</v>
      </c>
      <c r="W4" s="10" t="s">
        <v>477</v>
      </c>
      <c r="X4" s="10" t="s">
        <v>478</v>
      </c>
      <c r="Y4" s="10" t="s">
        <v>479</v>
      </c>
      <c r="Z4" s="10" t="s">
        <v>480</v>
      </c>
      <c r="AA4" s="10" t="s">
        <v>481</v>
      </c>
      <c r="AB4" s="10" t="s">
        <v>473</v>
      </c>
      <c r="AC4" s="10" t="s">
        <v>483</v>
      </c>
      <c r="AD4" s="10" t="s">
        <v>473</v>
      </c>
      <c r="AE4" s="10" t="s">
        <v>485</v>
      </c>
      <c r="AF4" s="10" t="s">
        <v>486</v>
      </c>
      <c r="AG4" s="10" t="s">
        <v>473</v>
      </c>
      <c r="AH4" s="10" t="s">
        <v>488</v>
      </c>
      <c r="AI4" s="10" t="s">
        <v>489</v>
      </c>
      <c r="AJ4" s="10" t="s">
        <v>490</v>
      </c>
      <c r="AK4" s="10" t="s">
        <v>491</v>
      </c>
      <c r="AL4" s="10" t="s">
        <v>473</v>
      </c>
      <c r="AM4" s="102"/>
      <c r="AP4" s="101"/>
    </row>
    <row r="5" spans="1:42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18.432099999999998</v>
      </c>
      <c r="Z5" s="13">
        <v>0</v>
      </c>
      <c r="AA5" s="13">
        <v>0</v>
      </c>
      <c r="AB5" s="13"/>
      <c r="AC5" s="13">
        <v>54.466200000000001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7.45</v>
      </c>
      <c r="Z6" s="13">
        <v>0</v>
      </c>
      <c r="AA6" s="13">
        <v>0</v>
      </c>
      <c r="AB6" s="13"/>
      <c r="AC6" s="13">
        <v>15.2197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18.432099999999998</v>
      </c>
      <c r="Z9" s="13">
        <v>0</v>
      </c>
      <c r="AA9" s="13">
        <v>0</v>
      </c>
      <c r="AB9" s="13"/>
      <c r="AC9" s="13">
        <v>34.8782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>
        <v>1</v>
      </c>
    </row>
    <row r="10" spans="1:42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7.45</v>
      </c>
      <c r="Z10" s="13">
        <v>0</v>
      </c>
      <c r="AA10" s="13">
        <v>0</v>
      </c>
      <c r="AB10" s="13"/>
      <c r="AC10" s="13">
        <v>9.7459000000000007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/>
      <c r="AC11" s="13">
        <v>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5.1639999999999997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/>
    </row>
    <row r="13" spans="1:42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7.45</v>
      </c>
      <c r="Z13" s="13">
        <v>0</v>
      </c>
      <c r="AA13" s="13">
        <v>0</v>
      </c>
      <c r="AB13" s="13"/>
      <c r="AC13" s="13">
        <v>15.2197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443.46730000000002</v>
      </c>
      <c r="Z14" s="13">
        <v>0</v>
      </c>
      <c r="AA14" s="13">
        <v>0</v>
      </c>
      <c r="AB14" s="13"/>
      <c r="AC14" s="13">
        <v>1309.9142999999999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0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>
        <v>1</v>
      </c>
    </row>
    <row r="16" spans="1:42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443.46730000000002</v>
      </c>
      <c r="Z16" s="13">
        <v>0</v>
      </c>
      <c r="AA16" s="13">
        <v>0</v>
      </c>
      <c r="AB16" s="13"/>
      <c r="AC16" s="13">
        <v>1309.9142999999999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>
        <v>1</v>
      </c>
    </row>
    <row r="17" spans="1:42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/>
      <c r="AC17" s="13">
        <v>0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7.1022999999999996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/>
    </row>
    <row r="19" spans="1:42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/>
      <c r="AC19" s="13">
        <v>14.4498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/>
    </row>
    <row r="20" spans="1:42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162.3563</v>
      </c>
      <c r="Z20" s="13">
        <v>0</v>
      </c>
      <c r="AA20" s="13">
        <v>0</v>
      </c>
      <c r="AB20" s="13"/>
      <c r="AC20" s="13">
        <v>612.03009999999995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v>97.413799999999995</v>
      </c>
      <c r="Z21" s="13">
        <v>0</v>
      </c>
      <c r="AA21" s="13">
        <v>0</v>
      </c>
      <c r="AB21" s="13"/>
      <c r="AC21" s="13">
        <v>367.2183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v>1</v>
      </c>
    </row>
    <row r="22" spans="1:42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v>32.500999999999998</v>
      </c>
      <c r="Z22" s="13">
        <v>0</v>
      </c>
      <c r="AA22" s="13">
        <v>0</v>
      </c>
      <c r="AB22" s="13"/>
      <c r="AC22" s="13">
        <v>122.4059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v>1</v>
      </c>
    </row>
    <row r="23" spans="1:42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v>60.104500000000002</v>
      </c>
      <c r="Z23" s="13">
        <v>0</v>
      </c>
      <c r="AA23" s="13">
        <v>0</v>
      </c>
      <c r="AB23" s="13"/>
      <c r="AC23" s="13">
        <v>226.67789999999999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v>1</v>
      </c>
    </row>
    <row r="24" spans="1:42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CUSTOS!$M$24)*60.1045</f>
        <v>60.104500000000002</v>
      </c>
      <c r="Z24" s="13">
        <v>0</v>
      </c>
      <c r="AA24" s="13">
        <v>0</v>
      </c>
      <c r="AB24" s="13"/>
      <c r="AC24" s="13">
        <f>(1 - CUSTOS!$M$24)*226.6779</f>
        <v>226.67789999999999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CUSTOS!$M$24)&lt;&gt;0,1/(1 - CUSTOS!$M$24),1)</f>
        <v>1</v>
      </c>
    </row>
    <row r="25" spans="1:42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f>(1 - CUSTOS!$M$25)*60.1045</f>
        <v>60.104500000000002</v>
      </c>
      <c r="Z25" s="13">
        <v>0</v>
      </c>
      <c r="AA25" s="13">
        <v>0</v>
      </c>
      <c r="AB25" s="13"/>
      <c r="AC25" s="13">
        <f>(1 - CUSTOS!$M$25)*226.6779</f>
        <v>226.67789999999999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f>IF((1 - CUSTOS!$M$25)&lt;&gt;0,1/(1 - CUSTOS!$M$25),1)</f>
        <v>1</v>
      </c>
    </row>
    <row r="26" spans="1:42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CUSTOS!$M$26)*60.1045</f>
        <v>60.104500000000002</v>
      </c>
      <c r="Z26" s="13">
        <v>0</v>
      </c>
      <c r="AA26" s="13">
        <v>0</v>
      </c>
      <c r="AB26" s="13"/>
      <c r="AC26" s="13">
        <f>(1 - CUSTOS!$M$26)*226.6779</f>
        <v>226.67789999999999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CUSTOS!$M$26)&lt;&gt;0,1/(1 - CUSTOS!$M$26),1)</f>
        <v>1</v>
      </c>
    </row>
    <row r="27" spans="1:42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CUSTOS!$M$27)*60.1045</f>
        <v>60.104500000000002</v>
      </c>
      <c r="Z27" s="13">
        <v>0</v>
      </c>
      <c r="AA27" s="13">
        <v>0</v>
      </c>
      <c r="AB27" s="13"/>
      <c r="AC27" s="13">
        <f>(1 - CUSTOS!$M$27)*226.6779</f>
        <v>226.67789999999999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CUSTOS!$M$27)&lt;&gt;0,1/(1 - CUSTOS!$M$27),1)</f>
        <v>1</v>
      </c>
    </row>
    <row r="28" spans="1:42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v>60.104500000000002</v>
      </c>
      <c r="Z28" s="13">
        <v>0</v>
      </c>
      <c r="AA28" s="13">
        <v>0</v>
      </c>
      <c r="AB28" s="13"/>
      <c r="AC28" s="13">
        <v>226.67789999999999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v>1</v>
      </c>
    </row>
    <row r="29" spans="1:42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CUSTOS!$M$24)*60.1045</f>
        <v>60.104500000000002</v>
      </c>
      <c r="Z29" s="13">
        <v>0</v>
      </c>
      <c r="AA29" s="13">
        <v>0</v>
      </c>
      <c r="AB29" s="13"/>
      <c r="AC29" s="13">
        <f>(1 - CUSTOS!$M$24)*226.6779</f>
        <v>226.67789999999999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CUSTOS!$M$24)&lt;&gt;0,1/(1 - CUSTOS!$M$24),1)</f>
        <v>1</v>
      </c>
    </row>
    <row r="30" spans="1:42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CUSTOS!$M$25)*60.1045</f>
        <v>60.104500000000002</v>
      </c>
      <c r="Z30" s="13">
        <v>0</v>
      </c>
      <c r="AA30" s="13">
        <v>0</v>
      </c>
      <c r="AB30" s="13"/>
      <c r="AC30" s="13">
        <f>(1 - CUSTOS!$M$25)*226.6779</f>
        <v>226.67789999999999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CUSTOS!$M$25)&lt;&gt;0,1/(1 - CUSTOS!$M$25),1)</f>
        <v>1</v>
      </c>
    </row>
    <row r="31" spans="1:42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CUSTOS!$M$26)*60.1045</f>
        <v>60.104500000000002</v>
      </c>
      <c r="Z31" s="13">
        <v>0</v>
      </c>
      <c r="AA31" s="13">
        <v>0</v>
      </c>
      <c r="AB31" s="13"/>
      <c r="AC31" s="13">
        <f>(1 - CUSTOS!$M$26)*226.6779</f>
        <v>226.67789999999999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CUSTOS!$M$26)&lt;&gt;0,1/(1 - CUSTOS!$M$26),1)</f>
        <v>1</v>
      </c>
    </row>
    <row r="32" spans="1:42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CUSTOS!$M$27)*60.1045</f>
        <v>60.104500000000002</v>
      </c>
      <c r="Z32" s="13">
        <v>0</v>
      </c>
      <c r="AA32" s="13">
        <v>0</v>
      </c>
      <c r="AB32" s="13"/>
      <c r="AC32" s="13">
        <f>(1 - CUSTOS!$M$27)*226.6779</f>
        <v>226.67789999999999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CUSTOS!$M$27)&lt;&gt;0,1/(1 - CUSTOS!$M$27),1)</f>
        <v>1</v>
      </c>
    </row>
    <row r="33" spans="1:42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CUSTOS!$M$28)*207.4125</f>
        <v>207.41249999999999</v>
      </c>
      <c r="Z33" s="13">
        <v>0</v>
      </c>
      <c r="AA33" s="13">
        <v>0</v>
      </c>
      <c r="AB33" s="13"/>
      <c r="AC33" s="13">
        <f>(1 - CUSTOS!$M$28)*668.6997</f>
        <v>668.69970000000001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CUSTOS!$M$28)*124.4237</f>
        <v>124.4237</v>
      </c>
      <c r="Z34" s="13">
        <v>0</v>
      </c>
      <c r="AA34" s="13">
        <v>0</v>
      </c>
      <c r="AB34" s="13"/>
      <c r="AC34" s="13">
        <f>(1 - CUSTOS!$M$28)*401.2197</f>
        <v>401.21969999999999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CUSTOS!$M$28)&lt;&gt;0,1/(1 - CUSTOS!$M$28),1)</f>
        <v>1</v>
      </c>
    </row>
    <row r="35" spans="1:42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CUSTOS!$M$28)*41.4647</f>
        <v>41.464700000000001</v>
      </c>
      <c r="Z35" s="13">
        <v>0</v>
      </c>
      <c r="AA35" s="13">
        <v>0</v>
      </c>
      <c r="AB35" s="13"/>
      <c r="AC35" s="13">
        <f>(1 - CUSTOS!$M$28)*133.7399</f>
        <v>133.73990000000001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CUSTOS!$M$28)&lt;&gt;0,1/(1 - CUSTOS!$M$28),1)</f>
        <v>1</v>
      </c>
    </row>
    <row r="36" spans="1:42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CUSTOS!$M$28)*60.1045</f>
        <v>60.104500000000002</v>
      </c>
      <c r="Z36" s="13">
        <v>0</v>
      </c>
      <c r="AA36" s="13">
        <v>0</v>
      </c>
      <c r="AB36" s="13"/>
      <c r="AC36" s="13">
        <f>(1 - CUSTOS!$M$28)*226.6779</f>
        <v>226.67789999999999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CUSTOS!$M$28)&lt;&gt;0,1/(1 - CUSTOS!$M$28),1)</f>
        <v>1</v>
      </c>
    </row>
    <row r="37" spans="1:42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CUSTOS!$M$29)*207.4125</f>
        <v>207.41249999999999</v>
      </c>
      <c r="Z37" s="13">
        <v>0</v>
      </c>
      <c r="AA37" s="13">
        <v>0</v>
      </c>
      <c r="AB37" s="13"/>
      <c r="AC37" s="13">
        <f>(1 - CUSTOS!$M$29)*668.6997</f>
        <v>668.69970000000001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CUSTOS!$M$29)*124.4237</f>
        <v>124.4237</v>
      </c>
      <c r="Z38" s="13">
        <v>0</v>
      </c>
      <c r="AA38" s="13">
        <v>0</v>
      </c>
      <c r="AB38" s="13"/>
      <c r="AC38" s="13">
        <f>(1 - CUSTOS!$M$29)*401.2197</f>
        <v>401.21969999999999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CUSTOS!$M$29)&lt;&gt;0,1/(1 - CUSTOS!$M$29),1)</f>
        <v>1</v>
      </c>
    </row>
    <row r="39" spans="1:42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CUSTOS!$M$29)*41.4647</f>
        <v>41.464700000000001</v>
      </c>
      <c r="Z39" s="13">
        <v>0</v>
      </c>
      <c r="AA39" s="13">
        <v>0</v>
      </c>
      <c r="AB39" s="13"/>
      <c r="AC39" s="13">
        <f>(1 - CUSTOS!$M$29)*133.7399</f>
        <v>133.73990000000001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CUSTOS!$M$29)&lt;&gt;0,1/(1 - CUSTOS!$M$29),1)</f>
        <v>1</v>
      </c>
    </row>
    <row r="40" spans="1:42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CUSTOS!$M$29)*60.1045</f>
        <v>60.104500000000002</v>
      </c>
      <c r="Z40" s="13">
        <v>0</v>
      </c>
      <c r="AA40" s="13">
        <v>0</v>
      </c>
      <c r="AB40" s="13"/>
      <c r="AC40" s="13">
        <f>(1 - CUSTOS!$M$29)*226.6779</f>
        <v>226.67789999999999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CUSTOS!$M$29)&lt;&gt;0,1/(1 - CUSTOS!$M$29),1)</f>
        <v>1</v>
      </c>
    </row>
    <row r="41" spans="1:42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CUSTOS!$M$30)*207.4125</f>
        <v>207.41249999999999</v>
      </c>
      <c r="Z41" s="13">
        <v>0</v>
      </c>
      <c r="AA41" s="13">
        <v>0</v>
      </c>
      <c r="AB41" s="13"/>
      <c r="AC41" s="13">
        <f>(1 - CUSTOS!$M$30)*668.6997</f>
        <v>668.69970000000001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CUSTOS!$M$30)*124.4237</f>
        <v>124.4237</v>
      </c>
      <c r="Z42" s="13">
        <v>0</v>
      </c>
      <c r="AA42" s="13">
        <v>0</v>
      </c>
      <c r="AB42" s="13"/>
      <c r="AC42" s="13">
        <f>(1 - CUSTOS!$M$30)*401.2197</f>
        <v>401.21969999999999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CUSTOS!$M$30)&lt;&gt;0,1/(1 - CUSTOS!$M$30),1)</f>
        <v>1</v>
      </c>
    </row>
    <row r="43" spans="1:42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CUSTOS!$M$30)*41.4647</f>
        <v>41.464700000000001</v>
      </c>
      <c r="Z43" s="13">
        <v>0</v>
      </c>
      <c r="AA43" s="13">
        <v>0</v>
      </c>
      <c r="AB43" s="13"/>
      <c r="AC43" s="13">
        <f>(1 - CUSTOS!$M$30)*133.7399</f>
        <v>133.73990000000001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CUSTOS!$M$30)&lt;&gt;0,1/(1 - CUSTOS!$M$30),1)</f>
        <v>1</v>
      </c>
    </row>
    <row r="44" spans="1:42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CUSTOS!$M$30)*60.1045</f>
        <v>60.104500000000002</v>
      </c>
      <c r="Z44" s="13">
        <v>0</v>
      </c>
      <c r="AA44" s="13">
        <v>0</v>
      </c>
      <c r="AB44" s="13"/>
      <c r="AC44" s="13">
        <f>(1 - CUSTOS!$M$30)*226.6779</f>
        <v>226.67789999999999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CUSTOS!$M$28)*60.1045</f>
        <v>60.104500000000002</v>
      </c>
      <c r="Z45" s="13">
        <v>0</v>
      </c>
      <c r="AA45" s="13">
        <v>0</v>
      </c>
      <c r="AB45" s="13"/>
      <c r="AC45" s="13">
        <f>(1 - CUSTOS!$M$28)*226.6779</f>
        <v>226.67789999999999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CUSTOS!$M$28)&lt;&gt;0,1/(1 - CUSTOS!$M$28),1)</f>
        <v>1</v>
      </c>
    </row>
    <row r="46" spans="1:42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CUSTOS!$M$29)*60.1045</f>
        <v>60.104500000000002</v>
      </c>
      <c r="Z46" s="13">
        <v>0</v>
      </c>
      <c r="AA46" s="13">
        <v>0</v>
      </c>
      <c r="AB46" s="13"/>
      <c r="AC46" s="13">
        <f>(1 - CUSTOS!$M$29)*226.6779</f>
        <v>226.67789999999999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CUSTOS!$M$29)&lt;&gt;0,1/(1 - CUSTOS!$M$29),1)</f>
        <v>1</v>
      </c>
    </row>
    <row r="47" spans="1:42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CUSTOS!$M$30)*60.1045</f>
        <v>60.104500000000002</v>
      </c>
      <c r="Z47" s="13">
        <v>0</v>
      </c>
      <c r="AA47" s="13">
        <v>0</v>
      </c>
      <c r="AB47" s="13"/>
      <c r="AC47" s="13">
        <f>(1 - CUSTOS!$M$30)*226.6779</f>
        <v>226.67789999999999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CUSTOS!$M$30)&lt;&gt;0,1/(1 - CUSTOS!$M$30),1)</f>
        <v>1</v>
      </c>
    </row>
    <row r="48" spans="1:42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CUSTOS!$M$31)*207.4125</f>
        <v>207.41249999999999</v>
      </c>
      <c r="Z48" s="13">
        <v>0</v>
      </c>
      <c r="AA48" s="13">
        <v>0</v>
      </c>
      <c r="AB48" s="13"/>
      <c r="AC48" s="13">
        <f>(1 - CUSTOS!$M$31)*782.0385</f>
        <v>782.0385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CUSTOS!$M$31)*124.4237</f>
        <v>124.4237</v>
      </c>
      <c r="Z49" s="13">
        <v>0</v>
      </c>
      <c r="AA49" s="13">
        <v>0</v>
      </c>
      <c r="AB49" s="13"/>
      <c r="AC49" s="13">
        <f>(1 - CUSTOS!$M$31)*469.2231</f>
        <v>469.22309999999999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CUSTOS!$M$31)*41.4647</f>
        <v>41.464700000000001</v>
      </c>
      <c r="Z50" s="13">
        <v>0</v>
      </c>
      <c r="AA50" s="13">
        <v>0</v>
      </c>
      <c r="AB50" s="13"/>
      <c r="AC50" s="13">
        <f>(1 - CUSTOS!$M$31)*156.4079</f>
        <v>156.40790000000001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CUSTOS!$M$31)&lt;&gt;0,1/(1 - CUSTOS!$M$31),1)</f>
        <v>1</v>
      </c>
    </row>
    <row r="51" spans="1:42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CUSTOS!$M$31)*60.1045</f>
        <v>60.104500000000002</v>
      </c>
      <c r="Z51" s="13">
        <v>0</v>
      </c>
      <c r="AA51" s="13">
        <v>0</v>
      </c>
      <c r="AB51" s="13"/>
      <c r="AC51" s="13">
        <f>(1 - CUSTOS!$M$31)*226.6779</f>
        <v>226.67789999999999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CUSTOS!$M$31)&lt;&gt;0,1/(1 - CUSTOS!$M$31),1)</f>
        <v>1</v>
      </c>
    </row>
    <row r="52" spans="1:42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/>
      <c r="M52" s="13"/>
      <c r="N52" s="13"/>
      <c r="O52" s="13"/>
      <c r="P52" s="13"/>
      <c r="Q52" s="13"/>
      <c r="R52" s="13"/>
      <c r="S52" s="13"/>
      <c r="T52" s="13"/>
      <c r="U52" s="13">
        <v>0</v>
      </c>
      <c r="V52" s="13">
        <v>0</v>
      </c>
      <c r="W52" s="13">
        <v>0</v>
      </c>
      <c r="X52" s="13">
        <v>0</v>
      </c>
      <c r="Y52" s="13">
        <f>(1 - CUSTOS!$M$31)*60.1045</f>
        <v>60.104500000000002</v>
      </c>
      <c r="Z52" s="13">
        <v>0</v>
      </c>
      <c r="AA52" s="13">
        <v>0</v>
      </c>
      <c r="AB52" s="13"/>
      <c r="AC52" s="13">
        <f>(1 - CUSTOS!$M$31)*226.6779</f>
        <v>226.67789999999999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P52" s="13">
        <f>IF((1 - CUSTOS!$M$31)&lt;&gt;0,1/(1 - CUSTOS!$M$31),1)</f>
        <v>1</v>
      </c>
    </row>
    <row r="53" spans="1:42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/>
      <c r="M53" s="13"/>
      <c r="N53" s="13"/>
      <c r="O53" s="13"/>
      <c r="P53" s="13"/>
      <c r="Q53" s="13"/>
      <c r="R53" s="13"/>
      <c r="S53" s="13"/>
      <c r="T53" s="13"/>
      <c r="U53" s="13">
        <v>0</v>
      </c>
      <c r="V53" s="13">
        <v>0</v>
      </c>
      <c r="W53" s="13">
        <v>0</v>
      </c>
      <c r="X53" s="13">
        <v>0</v>
      </c>
      <c r="Y53" s="13">
        <f>(1 - CUSTOS!$M$32)*60.1045</f>
        <v>33.057475000000004</v>
      </c>
      <c r="Z53" s="13">
        <v>0</v>
      </c>
      <c r="AA53" s="13">
        <v>0</v>
      </c>
      <c r="AB53" s="13"/>
      <c r="AC53" s="13">
        <f>(1 - CUSTOS!$M$32)*226.6779</f>
        <v>124.67284500000001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P53" s="13">
        <f>IF((1 - CUSTOS!$M$32)&lt;&gt;0,1/(1 - CUSTOS!$M$32),1)</f>
        <v>1.8181818181818181</v>
      </c>
    </row>
    <row r="54" spans="1:42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/>
      <c r="M54" s="13"/>
      <c r="N54" s="13"/>
      <c r="O54" s="13"/>
      <c r="P54" s="13"/>
      <c r="Q54" s="13"/>
      <c r="R54" s="13"/>
      <c r="S54" s="13"/>
      <c r="T54" s="13"/>
      <c r="U54" s="13">
        <v>0</v>
      </c>
      <c r="V54" s="13">
        <v>0</v>
      </c>
      <c r="W54" s="13">
        <v>0</v>
      </c>
      <c r="X54" s="13">
        <v>0</v>
      </c>
      <c r="Y54" s="13">
        <f>(1 - CUSTOS!$M$33)*60.1045</f>
        <v>36.0627</v>
      </c>
      <c r="Z54" s="13">
        <v>0</v>
      </c>
      <c r="AA54" s="13">
        <v>0</v>
      </c>
      <c r="AB54" s="13"/>
      <c r="AC54" s="13">
        <f>(1 - CUSTOS!$M$33)*226.6779</f>
        <v>136.00673999999998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P54" s="13">
        <f>IF((1 - CUSTOS!$M$33)&lt;&gt;0,1/(1 - CUSTOS!$M$33),1)</f>
        <v>1.6666666666666667</v>
      </c>
    </row>
  </sheetData>
  <mergeCells count="78">
    <mergeCell ref="B1:B4"/>
    <mergeCell ref="C1:C4"/>
    <mergeCell ref="D1:D4"/>
    <mergeCell ref="E1:E4"/>
    <mergeCell ref="F1:F4"/>
    <mergeCell ref="AP1:AP4"/>
    <mergeCell ref="L2:AM2"/>
    <mergeCell ref="L3:T3"/>
    <mergeCell ref="U3:AB3"/>
    <mergeCell ref="AC3:AD3"/>
    <mergeCell ref="AE3:AG3"/>
    <mergeCell ref="AH3:AL3"/>
    <mergeCell ref="AM3:AM4"/>
    <mergeCell ref="E5:E7"/>
    <mergeCell ref="B13:B17"/>
    <mergeCell ref="C13:C17"/>
    <mergeCell ref="D13:D17"/>
    <mergeCell ref="E13:E15"/>
    <mergeCell ref="J1:J4"/>
    <mergeCell ref="L1:AM1"/>
    <mergeCell ref="A1:A4"/>
    <mergeCell ref="C9:C11"/>
    <mergeCell ref="D9:D11"/>
    <mergeCell ref="E9:E11"/>
    <mergeCell ref="F9:F11"/>
    <mergeCell ref="F5:F7"/>
    <mergeCell ref="B9:B11"/>
    <mergeCell ref="G1:G4"/>
    <mergeCell ref="H1:H4"/>
    <mergeCell ref="I1:I4"/>
    <mergeCell ref="A5:A17"/>
    <mergeCell ref="B5:B8"/>
    <mergeCell ref="C5:C8"/>
    <mergeCell ref="D5:D8"/>
    <mergeCell ref="F13:F15"/>
    <mergeCell ref="E16:E17"/>
    <mergeCell ref="A20:A32"/>
    <mergeCell ref="B20:B22"/>
    <mergeCell ref="C20:C22"/>
    <mergeCell ref="D20:D22"/>
    <mergeCell ref="E20:E22"/>
    <mergeCell ref="F16:F17"/>
    <mergeCell ref="A18:A19"/>
    <mergeCell ref="B18:B19"/>
    <mergeCell ref="C18:C19"/>
    <mergeCell ref="D18:D19"/>
    <mergeCell ref="F20:F22"/>
    <mergeCell ref="B23:B27"/>
    <mergeCell ref="C23:C27"/>
    <mergeCell ref="B28:B32"/>
    <mergeCell ref="A33:A47"/>
    <mergeCell ref="B33:B35"/>
    <mergeCell ref="C33:C35"/>
    <mergeCell ref="D33:D35"/>
    <mergeCell ref="E33:E35"/>
    <mergeCell ref="C28:C32"/>
    <mergeCell ref="F33:F35"/>
    <mergeCell ref="B37:B39"/>
    <mergeCell ref="C37:C39"/>
    <mergeCell ref="D37:D39"/>
    <mergeCell ref="E37:E39"/>
    <mergeCell ref="F37:F39"/>
    <mergeCell ref="D48:D50"/>
    <mergeCell ref="E48:E50"/>
    <mergeCell ref="F48:F50"/>
    <mergeCell ref="B41:B43"/>
    <mergeCell ref="C41:C43"/>
    <mergeCell ref="D41:D43"/>
    <mergeCell ref="E41:E43"/>
    <mergeCell ref="F41:F43"/>
    <mergeCell ref="B45:B47"/>
    <mergeCell ref="C45:C47"/>
    <mergeCell ref="A53:A54"/>
    <mergeCell ref="B53:B54"/>
    <mergeCell ref="C53:C54"/>
    <mergeCell ref="A48:A52"/>
    <mergeCell ref="B48:B50"/>
    <mergeCell ref="C48:C5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8EDD-1679-48E0-B100-6BB0408566EC}">
  <sheetPr codeName="Planilha8"/>
  <dimension ref="A1:AP73"/>
  <sheetViews>
    <sheetView showGridLines="0" topLeftCell="A2" workbookViewId="0">
      <selection activeCell="K65" sqref="K65:P6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566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P1" s="99" t="s">
        <v>567</v>
      </c>
    </row>
    <row r="2" spans="1:42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P2" s="101"/>
    </row>
    <row r="3" spans="1:42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/>
      <c r="U3" s="99" t="s">
        <v>474</v>
      </c>
      <c r="V3" s="99"/>
      <c r="W3" s="99"/>
      <c r="X3" s="99"/>
      <c r="Y3" s="99"/>
      <c r="Z3" s="99"/>
      <c r="AA3" s="99"/>
      <c r="AB3" s="99"/>
      <c r="AC3" s="99" t="s">
        <v>482</v>
      </c>
      <c r="AD3" s="99"/>
      <c r="AE3" s="99" t="s">
        <v>484</v>
      </c>
      <c r="AF3" s="99"/>
      <c r="AG3" s="99"/>
      <c r="AH3" s="99" t="s">
        <v>487</v>
      </c>
      <c r="AI3" s="99"/>
      <c r="AJ3" s="99"/>
      <c r="AK3" s="99"/>
      <c r="AL3" s="99"/>
      <c r="AM3" s="99" t="s">
        <v>473</v>
      </c>
      <c r="AP3" s="101"/>
    </row>
    <row r="4" spans="1:42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473</v>
      </c>
      <c r="U4" s="10" t="s">
        <v>475</v>
      </c>
      <c r="V4" s="10" t="s">
        <v>476</v>
      </c>
      <c r="W4" s="10" t="s">
        <v>477</v>
      </c>
      <c r="X4" s="10" t="s">
        <v>478</v>
      </c>
      <c r="Y4" s="10" t="s">
        <v>479</v>
      </c>
      <c r="Z4" s="10" t="s">
        <v>480</v>
      </c>
      <c r="AA4" s="10" t="s">
        <v>481</v>
      </c>
      <c r="AB4" s="10" t="s">
        <v>473</v>
      </c>
      <c r="AC4" s="10" t="s">
        <v>483</v>
      </c>
      <c r="AD4" s="10" t="s">
        <v>473</v>
      </c>
      <c r="AE4" s="10" t="s">
        <v>485</v>
      </c>
      <c r="AF4" s="10" t="s">
        <v>486</v>
      </c>
      <c r="AG4" s="10" t="s">
        <v>473</v>
      </c>
      <c r="AH4" s="10" t="s">
        <v>488</v>
      </c>
      <c r="AI4" s="10" t="s">
        <v>489</v>
      </c>
      <c r="AJ4" s="10" t="s">
        <v>490</v>
      </c>
      <c r="AK4" s="10" t="s">
        <v>491</v>
      </c>
      <c r="AL4" s="10" t="s">
        <v>473</v>
      </c>
      <c r="AM4" s="102"/>
      <c r="AP4" s="101"/>
    </row>
    <row r="5" spans="1:42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18.432099999999998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54.466200000000001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36" si="0">AJ5</f>
        <v>0</v>
      </c>
      <c r="AL5" s="13"/>
      <c r="AM5" s="13"/>
      <c r="AP5" s="13">
        <v>1</v>
      </c>
    </row>
    <row r="6" spans="1:42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7.45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15.2197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>
        <f>0.84</f>
        <v>0.84</v>
      </c>
      <c r="M7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7" s="13">
        <f ca="1">(+M7+O7+R7+U7+V7+W7+X7+Y7+Z7+AA7+AC7+AH7+AI7+AJ7+AK7)*CUSTOS!$M$5</f>
        <v>2.1389054633615284E-13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9.2405000000000008</v>
      </c>
      <c r="AI7" s="13">
        <v>9.2405000000000008</v>
      </c>
      <c r="AJ7" s="13">
        <f ca="1">$N$66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>
        <v>0</v>
      </c>
      <c r="M8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8" s="13">
        <f ca="1">(+M8+O8+R8+U8+V8+W8+X8+Y8+Z8+AA8+AC8+AH8+AI8+AJ8+AK8)*CUSTOS!$M$5</f>
        <v>2.0389054633615283E-13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9.2405000000000008</v>
      </c>
      <c r="AI8" s="13">
        <v>9.2405000000000008</v>
      </c>
      <c r="AJ8" s="13">
        <f ca="1">$N$66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TRANSICAO!$U$9*CUSTOS!$R$3</f>
        <v>0</v>
      </c>
      <c r="V9" s="13">
        <f>TRANSICAO!$V$9*CUSTOS!$R$3</f>
        <v>0</v>
      </c>
      <c r="W9" s="13">
        <f>TRANSICAO!$W$9*CUSTOS!$R$3</f>
        <v>0</v>
      </c>
      <c r="X9" s="13">
        <f>TRANSICAO!$X$9*CUSTOS!$R$3</f>
        <v>0</v>
      </c>
      <c r="Y9" s="13">
        <f>TRANSICAO!$Y$9*CUSTOS!$R$3</f>
        <v>18.432099999999998</v>
      </c>
      <c r="Z9" s="13">
        <f>TRANSICAO!$Z$9*CUSTOS!$R$3</f>
        <v>0</v>
      </c>
      <c r="AA9" s="13">
        <f>TRANSICAO!$AA$9*CUSTOS!$R$3</f>
        <v>0</v>
      </c>
      <c r="AB9" s="13">
        <f>TRANSICAO!$AB$9*CUSTOS!$R$3</f>
        <v>0</v>
      </c>
      <c r="AC9" s="13">
        <f>TRANSICAO!$AC$9*CUSTOS!$R$3</f>
        <v>34.8782</v>
      </c>
      <c r="AD9" s="13">
        <f>TRANSICAO!$AD$9*CUSTOS!$R$3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>
        <v>1</v>
      </c>
    </row>
    <row r="10" spans="1:42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7.45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9.7459000000000007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0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0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9.2405000000000008</v>
      </c>
      <c r="AI11" s="13">
        <v>9.2405000000000008</v>
      </c>
      <c r="AJ11" s="13">
        <v>0</v>
      </c>
      <c r="AK11" s="13">
        <f t="shared" si="0"/>
        <v>0</v>
      </c>
      <c r="AL11" s="13"/>
      <c r="AM11" s="13"/>
      <c r="AP11" s="13">
        <v>1</v>
      </c>
    </row>
    <row r="12" spans="1:42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>
        <v>0</v>
      </c>
      <c r="M12" s="13">
        <v>1.04E-2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3">
        <f>TRANSICAO!$U$12*CUSTOS!$R$4</f>
        <v>0</v>
      </c>
      <c r="V12" s="13">
        <f>TRANSICAO!$V$12*CUSTOS!$R$4</f>
        <v>0</v>
      </c>
      <c r="W12" s="13">
        <f>TRANSICAO!$W$12*CUSTOS!$R$4</f>
        <v>0</v>
      </c>
      <c r="X12" s="13">
        <f>TRANSICAO!$X$12*CUSTOS!$R$4</f>
        <v>0</v>
      </c>
      <c r="Y12" s="13">
        <f>TRANSICAO!$Y$12*CUSTOS!$R$4</f>
        <v>0</v>
      </c>
      <c r="Z12" s="13">
        <f>TRANSICAO!$Z$12*CUSTOS!$R$4</f>
        <v>0</v>
      </c>
      <c r="AA12" s="13">
        <f>TRANSICAO!$AA$12*CUSTOS!$R$4</f>
        <v>0</v>
      </c>
      <c r="AB12" s="13">
        <f>TRANSICAO!$AB$12*CUSTOS!$R$4</f>
        <v>0</v>
      </c>
      <c r="AC12" s="13">
        <f>TRANSICAO!$AC$12*CUSTOS!$R$4</f>
        <v>4.3893999999999993</v>
      </c>
      <c r="AD12" s="13">
        <f>TRANSICAO!$AD$12*CUSTOS!$R$4</f>
        <v>0</v>
      </c>
      <c r="AE12" s="13">
        <v>0</v>
      </c>
      <c r="AF12" s="13">
        <v>0</v>
      </c>
      <c r="AG12" s="13"/>
      <c r="AH12" s="13">
        <v>0</v>
      </c>
      <c r="AI12" s="13">
        <v>0</v>
      </c>
      <c r="AJ12" s="13">
        <v>0</v>
      </c>
      <c r="AK12" s="13">
        <f t="shared" si="0"/>
        <v>0</v>
      </c>
      <c r="AL12" s="13"/>
      <c r="AM12" s="13"/>
      <c r="AP12" s="13"/>
    </row>
    <row r="13" spans="1:42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7.45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15.2197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0</v>
      </c>
      <c r="AI13" s="13">
        <v>0</v>
      </c>
      <c r="AJ13" s="13">
        <v>0</v>
      </c>
      <c r="AK13" s="13">
        <f t="shared" si="0"/>
        <v>0</v>
      </c>
      <c r="AL13" s="13"/>
      <c r="AM13" s="13"/>
      <c r="AP13" s="13">
        <v>1</v>
      </c>
    </row>
    <row r="14" spans="1:42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>
        <f>0.84</f>
        <v>0.84</v>
      </c>
      <c r="M14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14" s="13">
        <f ca="1">(+M14+O14+R14+U14+V14+W14+X14+Y14+Z14+AA14+AC14+AH14+AI14+AJ14+AK14)*CUSTOS!$M$5</f>
        <v>1.7747706546336155E-11</v>
      </c>
      <c r="O14" s="13">
        <v>1</v>
      </c>
      <c r="P14" s="13">
        <v>1</v>
      </c>
      <c r="Q14" s="13">
        <f>0.84</f>
        <v>0.84</v>
      </c>
      <c r="R14" s="13">
        <v>1</v>
      </c>
      <c r="S14" s="13">
        <v>1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443.46730000000002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1309.9142999999999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9.2405000000000008</v>
      </c>
      <c r="AI14" s="13">
        <v>9.2405000000000008</v>
      </c>
      <c r="AJ14" s="13">
        <f ca="1">$N$66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>
        <f>0.84</f>
        <v>0.84</v>
      </c>
      <c r="M15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15" s="13">
        <f ca="1">(+M15+O15+R15+U15+V15+W15+X15+Y15+Z15+AA15+AC15+AH15+AI15+AJ15+AK15)*CUSTOS!$M$5</f>
        <v>2.1389054633615284E-13</v>
      </c>
      <c r="O15" s="13">
        <v>1</v>
      </c>
      <c r="P15" s="13">
        <v>1</v>
      </c>
      <c r="Q15" s="13">
        <f>0.84</f>
        <v>0.84</v>
      </c>
      <c r="R15" s="13">
        <v>1</v>
      </c>
      <c r="S15" s="13">
        <v>1</v>
      </c>
      <c r="T15" s="13"/>
      <c r="U15" s="13">
        <f>TRANSICAO!$U$15*CUSTOS!$R$3</f>
        <v>0</v>
      </c>
      <c r="V15" s="13">
        <f>TRANSICAO!$V$15*CUSTOS!$R$3</f>
        <v>0</v>
      </c>
      <c r="W15" s="13">
        <f>TRANSICAO!$W$15*CUSTOS!$R$3</f>
        <v>0</v>
      </c>
      <c r="X15" s="13">
        <f>TRANSICAO!$X$15*CUSTOS!$R$3</f>
        <v>0</v>
      </c>
      <c r="Y15" s="13">
        <f>TRANSICAO!$Y$15*CUSTOS!$R$3</f>
        <v>0</v>
      </c>
      <c r="Z15" s="13">
        <f>TRANSICAO!$Z$15*CUSTOS!$R$3</f>
        <v>0</v>
      </c>
      <c r="AA15" s="13">
        <f>TRANSICAO!$AA$15*CUSTOS!$R$3</f>
        <v>0</v>
      </c>
      <c r="AB15" s="13">
        <f>TRANSICAO!$AB$15*CUSTOS!$R$3</f>
        <v>0</v>
      </c>
      <c r="AC15" s="13">
        <f>TRANSICAO!$AC$15*CUSTOS!$R$3</f>
        <v>0</v>
      </c>
      <c r="AD15" s="13">
        <f>TRANSICAO!$AD$15*CUSTOS!$R$3</f>
        <v>0</v>
      </c>
      <c r="AE15" s="13">
        <v>0</v>
      </c>
      <c r="AF15" s="13">
        <v>0</v>
      </c>
      <c r="AG15" s="13"/>
      <c r="AH15" s="13">
        <v>9.2405000000000008</v>
      </c>
      <c r="AI15" s="13">
        <v>9.2405000000000008</v>
      </c>
      <c r="AJ15" s="13">
        <f ca="1">$N$66</f>
        <v>0</v>
      </c>
      <c r="AK15" s="13">
        <f t="shared" ca="1" si="0"/>
        <v>0</v>
      </c>
      <c r="AL15" s="13"/>
      <c r="AM15" s="13"/>
      <c r="AP15" s="13">
        <v>1</v>
      </c>
    </row>
    <row r="16" spans="1:42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>
        <v>0</v>
      </c>
      <c r="M16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16" s="13">
        <f ca="1">(+M16+O16+R16+U16+V16+W16+X16+Y16+Z16+AA16+AC16+AH16+AI16+AJ16+AK16)*CUSTOS!$M$5</f>
        <v>1.7737706546336153E-11</v>
      </c>
      <c r="O16" s="13">
        <v>1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TRANSICAO!$U$16*CUSTOS!$R$3</f>
        <v>0</v>
      </c>
      <c r="V16" s="13">
        <f>TRANSICAO!$V$16*CUSTOS!$R$3</f>
        <v>0</v>
      </c>
      <c r="W16" s="13">
        <f>TRANSICAO!$W$16*CUSTOS!$R$3</f>
        <v>0</v>
      </c>
      <c r="X16" s="13">
        <f>TRANSICAO!$X$16*CUSTOS!$R$3</f>
        <v>0</v>
      </c>
      <c r="Y16" s="13">
        <f>TRANSICAO!$Y$16*CUSTOS!$R$3</f>
        <v>443.46730000000002</v>
      </c>
      <c r="Z16" s="13">
        <f>TRANSICAO!$Z$16*CUSTOS!$R$3</f>
        <v>0</v>
      </c>
      <c r="AA16" s="13">
        <f>TRANSICAO!$AA$16*CUSTOS!$R$3</f>
        <v>0</v>
      </c>
      <c r="AB16" s="13">
        <f>TRANSICAO!$AB$16*CUSTOS!$R$3</f>
        <v>0</v>
      </c>
      <c r="AC16" s="13">
        <f>TRANSICAO!$AC$16*CUSTOS!$R$3</f>
        <v>1309.9142999999999</v>
      </c>
      <c r="AD16" s="13">
        <f>TRANSICAO!$AD$16*CUSTOS!$R$3</f>
        <v>0</v>
      </c>
      <c r="AE16" s="13">
        <v>0</v>
      </c>
      <c r="AF16" s="13">
        <v>0</v>
      </c>
      <c r="AG16" s="13"/>
      <c r="AH16" s="13">
        <v>9.2405000000000008</v>
      </c>
      <c r="AI16" s="13">
        <v>9.2405000000000008</v>
      </c>
      <c r="AJ16" s="13">
        <f ca="1">$N$66</f>
        <v>0</v>
      </c>
      <c r="AK16" s="13">
        <f t="shared" ca="1" si="0"/>
        <v>0</v>
      </c>
      <c r="AL16" s="13"/>
      <c r="AM16" s="13"/>
      <c r="AP16" s="13">
        <v>1</v>
      </c>
    </row>
    <row r="17" spans="1:42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>
        <v>0</v>
      </c>
      <c r="M17" s="13">
        <f>IF(AND((+$I$7+$I$8+$I$14+$I$15+$I$16+$I$17)&lt;&gt;0,SUMPRODUCT($I$5:$I$54,$AC$5:$AC$54,$AP$5:$AP$54)&lt;&gt;0),$M$59*SUMPRODUCT($I$5:$I$17,$AC$5:$AC$17,$AP$5:$AP$17)/SUMPRODUCT($I$5:$I$54,$AC$5:$AC$54,$AP$5:$AP$54)/(+$I$7+$I$8+$I$14+$I$15+$I$16+$I$17),0)</f>
        <v>0.9080546336152826</v>
      </c>
      <c r="N17" s="13">
        <f ca="1">(+M17+O17+R17+U17+V17+W17+X17+Y17+Z17+AA17+AC17+AH17+AI17+AJ17+AK17)*CUSTOS!$M$5</f>
        <v>2.0389054633615283E-13</v>
      </c>
      <c r="O17" s="13">
        <v>1</v>
      </c>
      <c r="P17" s="13">
        <v>0</v>
      </c>
      <c r="Q17" s="13">
        <v>0</v>
      </c>
      <c r="R17" s="13">
        <v>0</v>
      </c>
      <c r="S17" s="13">
        <v>0</v>
      </c>
      <c r="T17" s="13"/>
      <c r="U17" s="13">
        <f>TRANSICAO!$U$17*CUSTOS!$R$3</f>
        <v>0</v>
      </c>
      <c r="V17" s="13">
        <f>TRANSICAO!$V$17*CUSTOS!$R$3</f>
        <v>0</v>
      </c>
      <c r="W17" s="13">
        <f>TRANSICAO!$W$17*CUSTOS!$R$3</f>
        <v>0</v>
      </c>
      <c r="X17" s="13">
        <f>TRANSICAO!$X$17*CUSTOS!$R$3</f>
        <v>0</v>
      </c>
      <c r="Y17" s="13">
        <f>TRANSICAO!$Y$17*CUSTOS!$R$3</f>
        <v>0</v>
      </c>
      <c r="Z17" s="13">
        <f>TRANSICAO!$Z$17*CUSTOS!$R$3</f>
        <v>0</v>
      </c>
      <c r="AA17" s="13">
        <f>TRANSICAO!$AA$17*CUSTOS!$R$3</f>
        <v>0</v>
      </c>
      <c r="AB17" s="13">
        <f>TRANSICAO!$AB$17*CUSTOS!$R$3</f>
        <v>0</v>
      </c>
      <c r="AC17" s="13">
        <f>TRANSICAO!$AC$17*CUSTOS!$R$3</f>
        <v>0</v>
      </c>
      <c r="AD17" s="13">
        <f>TRANSICAO!$AD$17*CUSTOS!$R$3</f>
        <v>0</v>
      </c>
      <c r="AE17" s="13">
        <v>0</v>
      </c>
      <c r="AF17" s="13">
        <v>0</v>
      </c>
      <c r="AG17" s="13"/>
      <c r="AH17" s="13">
        <v>9.2405000000000008</v>
      </c>
      <c r="AI17" s="13">
        <v>9.2405000000000008</v>
      </c>
      <c r="AJ17" s="13">
        <f ca="1">$N$66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>
        <v>0</v>
      </c>
      <c r="M18" s="13">
        <v>1.0699999999999999E-2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/>
      <c r="U18" s="13">
        <f>TRANSICAO!$U$18*CUSTOS!$T$4</f>
        <v>0</v>
      </c>
      <c r="V18" s="13">
        <f>TRANSICAO!$V$18*CUSTOS!$T$4</f>
        <v>0</v>
      </c>
      <c r="W18" s="13">
        <f>TRANSICAO!$W$18*CUSTOS!$T$4</f>
        <v>0</v>
      </c>
      <c r="X18" s="13">
        <f>TRANSICAO!$X$18*CUSTOS!$T$4</f>
        <v>0</v>
      </c>
      <c r="Y18" s="13">
        <f>TRANSICAO!$Y$18*CUSTOS!$T$4</f>
        <v>0</v>
      </c>
      <c r="Z18" s="13">
        <f>TRANSICAO!$Z$18*CUSTOS!$T$4</f>
        <v>0</v>
      </c>
      <c r="AA18" s="13">
        <f>TRANSICAO!$AA$18*CUSTOS!$T$4</f>
        <v>0</v>
      </c>
      <c r="AB18" s="13">
        <f>TRANSICAO!$AB$18*CUSTOS!$T$4</f>
        <v>0</v>
      </c>
      <c r="AC18" s="13">
        <f>TRANSICAO!$AC$18*CUSTOS!$T$4</f>
        <v>7.1022999999999996</v>
      </c>
      <c r="AD18" s="13">
        <f>TRANSICAO!$AD$18*CUSTOS!$T$4</f>
        <v>0</v>
      </c>
      <c r="AE18" s="13">
        <v>0</v>
      </c>
      <c r="AF18" s="13">
        <v>0</v>
      </c>
      <c r="AG18" s="13"/>
      <c r="AH18" s="13">
        <v>0</v>
      </c>
      <c r="AI18" s="13">
        <v>0</v>
      </c>
      <c r="AJ18" s="13">
        <v>0</v>
      </c>
      <c r="AK18" s="13">
        <f t="shared" si="0"/>
        <v>0</v>
      </c>
      <c r="AL18" s="13"/>
      <c r="AM18" s="13"/>
      <c r="AP18" s="13"/>
    </row>
    <row r="19" spans="1:42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>
        <v>0</v>
      </c>
      <c r="M19" s="13">
        <v>1.0699999999999999E-2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/>
      <c r="U19" s="13">
        <f>TRANSICAO!$U$19*CUSTOS!$T$4</f>
        <v>0</v>
      </c>
      <c r="V19" s="13">
        <f>TRANSICAO!$V$19*CUSTOS!$T$4</f>
        <v>0</v>
      </c>
      <c r="W19" s="13">
        <f>TRANSICAO!$W$19*CUSTOS!$T$4</f>
        <v>0</v>
      </c>
      <c r="X19" s="13">
        <f>TRANSICAO!$X$19*CUSTOS!$T$4</f>
        <v>0</v>
      </c>
      <c r="Y19" s="13">
        <f>TRANSICAO!$Y$19*CUSTOS!$T$4</f>
        <v>0</v>
      </c>
      <c r="Z19" s="13">
        <f>TRANSICAO!$Z$19*CUSTOS!$T$4</f>
        <v>0</v>
      </c>
      <c r="AA19" s="13">
        <f>TRANSICAO!$AA$19*CUSTOS!$T$4</f>
        <v>0</v>
      </c>
      <c r="AB19" s="13">
        <f>TRANSICAO!$AB$19*CUSTOS!$T$4</f>
        <v>0</v>
      </c>
      <c r="AC19" s="13">
        <f>TRANSICAO!$AC$19*CUSTOS!$T$4</f>
        <v>14.4498</v>
      </c>
      <c r="AD19" s="13">
        <f>TRANSICAO!$AD$19*CUSTOS!$T$4</f>
        <v>0</v>
      </c>
      <c r="AE19" s="13">
        <v>0</v>
      </c>
      <c r="AF19" s="13">
        <v>0</v>
      </c>
      <c r="AG19" s="13"/>
      <c r="AH19" s="13">
        <v>0</v>
      </c>
      <c r="AI19" s="13">
        <v>0</v>
      </c>
      <c r="AJ19" s="13">
        <v>0</v>
      </c>
      <c r="AK19" s="13">
        <f t="shared" si="0"/>
        <v>0</v>
      </c>
      <c r="AL19" s="13"/>
      <c r="AM19" s="13"/>
      <c r="AP19" s="13"/>
    </row>
    <row r="20" spans="1:42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>
        <f>1</f>
        <v>1</v>
      </c>
      <c r="M20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</f>
        <v>1.1016203338209198</v>
      </c>
      <c r="N20" s="13">
        <f ca="1">(+M20+O20+R20+U20+V20+W20+X20+Y20+Z20+AA20+AC20+AH20+AI20+AJ20+AK20)*CUSTOS!$M$5</f>
        <v>8.2535462033382093E-12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162.3563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612.03009999999995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23.933299999999999</v>
      </c>
      <c r="AI20" s="13">
        <v>23.933299999999999</v>
      </c>
      <c r="AJ20" s="13">
        <f ca="1">$N$67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>
        <f>1</f>
        <v>1</v>
      </c>
      <c r="M21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</f>
        <v>1.1016203338209198</v>
      </c>
      <c r="N21" s="13">
        <f ca="1">(+M21+O21+R21+U21+V21+W21+X21+Y21+Z21+AA21+AC21+AH21+AI21+AJ21+AK21)*CUSTOS!$M$5</f>
        <v>5.1560032033382082E-12</v>
      </c>
      <c r="O21" s="13">
        <v>1</v>
      </c>
      <c r="P21" s="13">
        <v>1</v>
      </c>
      <c r="Q21" s="13">
        <f>1</f>
        <v>1</v>
      </c>
      <c r="R21" s="13">
        <v>1</v>
      </c>
      <c r="S21" s="13"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97.413799999999995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367.2183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v>23.933299999999999</v>
      </c>
      <c r="AI21" s="13">
        <v>23.933299999999999</v>
      </c>
      <c r="AJ21" s="13">
        <f ca="1">$N$67</f>
        <v>0</v>
      </c>
      <c r="AK21" s="13">
        <f t="shared" ca="1" si="0"/>
        <v>0</v>
      </c>
      <c r="AL21" s="13"/>
      <c r="AM21" s="13"/>
      <c r="AP21" s="13">
        <v>1</v>
      </c>
    </row>
    <row r="22" spans="1:42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>
        <f>1</f>
        <v>1</v>
      </c>
      <c r="M22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</f>
        <v>1.1016203338209198</v>
      </c>
      <c r="N22" s="13">
        <f ca="1">(+M22+O22+R22+U22+V22+W22+X22+Y22+Z22+AA22+AC22+AH22+AI22+AJ22+AK22)*CUSTOS!$M$5</f>
        <v>2.0587512033382091E-12</v>
      </c>
      <c r="O22" s="13">
        <v>1</v>
      </c>
      <c r="P22" s="13">
        <v>1</v>
      </c>
      <c r="Q22" s="13">
        <f>1</f>
        <v>1</v>
      </c>
      <c r="R22" s="13">
        <v>1</v>
      </c>
      <c r="S22" s="13"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32.500999999999998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122.4059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v>23.933299999999999</v>
      </c>
      <c r="AI22" s="13">
        <v>23.933299999999999</v>
      </c>
      <c r="AJ22" s="13">
        <f ca="1">$N$67</f>
        <v>0</v>
      </c>
      <c r="AK22" s="13">
        <f t="shared" ca="1" si="0"/>
        <v>0</v>
      </c>
      <c r="AL22" s="13"/>
      <c r="AM22" s="13"/>
      <c r="AP22" s="13">
        <v>1</v>
      </c>
    </row>
    <row r="23" spans="1:42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>
        <f>1</f>
        <v>1</v>
      </c>
      <c r="M23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</f>
        <v>1.1016203338209198</v>
      </c>
      <c r="N23" s="13">
        <f ca="1">(+M23+O23+R23+U23+V23+W23+X23+Y23+Z23+AA23+AC23+AH23+AI23+AJ23+AK23)*CUSTOS!$M$5</f>
        <v>3.3775062033382086E-12</v>
      </c>
      <c r="O23" s="13">
        <v>1</v>
      </c>
      <c r="P23" s="13">
        <v>1</v>
      </c>
      <c r="Q23" s="13">
        <f>1</f>
        <v>1</v>
      </c>
      <c r="R23" s="13">
        <v>1</v>
      </c>
      <c r="S23" s="13"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60.104500000000002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226.67789999999999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v>23.933299999999999</v>
      </c>
      <c r="AI23" s="13">
        <v>23.933299999999999</v>
      </c>
      <c r="AJ23" s="13">
        <f ca="1">$N$67</f>
        <v>0</v>
      </c>
      <c r="AK23" s="13">
        <f t="shared" ca="1" si="0"/>
        <v>0</v>
      </c>
      <c r="AL23" s="13"/>
      <c r="AM23" s="13"/>
      <c r="AP23" s="13">
        <v>1</v>
      </c>
    </row>
    <row r="24" spans="1:42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>
        <v>0</v>
      </c>
      <c r="M24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CUSTOS!$M$24)</f>
        <v>1.1016203338209198</v>
      </c>
      <c r="N24" s="13">
        <f ca="1">(+M24+O24+R24+U24+V24+W24+X24+Y24+Z24+AA24+AC24+AH24+AI24+AJ24+AK24)*CUSTOS!$M$5</f>
        <v>3.3675062033382084E-12</v>
      </c>
      <c r="O24" s="13">
        <f>1 - CUSTOS!$M$24</f>
        <v>1</v>
      </c>
      <c r="P24" s="13">
        <v>0</v>
      </c>
      <c r="Q24" s="13">
        <v>0</v>
      </c>
      <c r="R24" s="13">
        <v>0</v>
      </c>
      <c r="S24" s="13">
        <f>1 - CUSTOS!$M$24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60.104500000000002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226.67789999999999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CUSTOS!$M$24)*23.9333</f>
        <v>23.933299999999999</v>
      </c>
      <c r="AI24" s="13">
        <f>(1 - CUSTOS!$M$24)*23.9333</f>
        <v>23.933299999999999</v>
      </c>
      <c r="AJ24" s="13">
        <f ca="1">$N$67*(1-CUSTOS!$M$24)</f>
        <v>0</v>
      </c>
      <c r="AK24" s="13">
        <f t="shared" ca="1" si="0"/>
        <v>0</v>
      </c>
      <c r="AL24" s="13"/>
      <c r="AM24" s="13"/>
      <c r="AP24" s="13">
        <f>IF((1 - CUSTOS!$M$24)&lt;&gt;0,1/(1 - CUSTOS!$M$24),1)</f>
        <v>1</v>
      </c>
    </row>
    <row r="25" spans="1:42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>
        <v>0</v>
      </c>
      <c r="M25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CUSTOS!$M$25)</f>
        <v>1.1016203338209198</v>
      </c>
      <c r="N25" s="13">
        <f ca="1">(+M25+O25+R25+U25+V25+W25+X25+Y25+Z25+AA25+AC25+AH25+AI25+AJ25+AK25)*CUSTOS!$M$5</f>
        <v>3.3675062033382084E-12</v>
      </c>
      <c r="O25" s="13">
        <f>1 - CUSTOS!$M$25</f>
        <v>1</v>
      </c>
      <c r="P25" s="13">
        <v>0</v>
      </c>
      <c r="Q25" s="13">
        <v>0</v>
      </c>
      <c r="R25" s="13">
        <v>0</v>
      </c>
      <c r="S25" s="13">
        <f>1 - CUSTOS!$M$25</f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60.104500000000002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226.67789999999999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f>(1 - CUSTOS!$M$25)*23.9333</f>
        <v>23.933299999999999</v>
      </c>
      <c r="AI25" s="13">
        <f>(1 - CUSTOS!$M$25)*23.9333</f>
        <v>23.933299999999999</v>
      </c>
      <c r="AJ25" s="13">
        <f ca="1">$N$67*(1-CUSTOS!$M$25)</f>
        <v>0</v>
      </c>
      <c r="AK25" s="13">
        <f t="shared" ca="1" si="0"/>
        <v>0</v>
      </c>
      <c r="AL25" s="13"/>
      <c r="AM25" s="13"/>
      <c r="AP25" s="13">
        <f>IF((1 - CUSTOS!$M$25)&lt;&gt;0,1/(1 - CUSTOS!$M$25),1)</f>
        <v>1</v>
      </c>
    </row>
    <row r="26" spans="1:42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>
        <v>0</v>
      </c>
      <c r="M26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CUSTOS!$M$26)</f>
        <v>1.1016203338209198</v>
      </c>
      <c r="N26" s="13">
        <f ca="1">(+M26+O26+R26+U26+V26+W26+X26+Y26+Z26+AA26+AC26+AH26+AI26+AJ26+AK26)*CUSTOS!$M$5</f>
        <v>3.3675062033382084E-12</v>
      </c>
      <c r="O26" s="13">
        <f>1 - CUSTOS!$M$26</f>
        <v>1</v>
      </c>
      <c r="P26" s="13">
        <v>0</v>
      </c>
      <c r="Q26" s="13">
        <v>0</v>
      </c>
      <c r="R26" s="13">
        <v>0</v>
      </c>
      <c r="S26" s="13">
        <f>1 - CUSTOS!$M$26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60.104500000000002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226.67789999999999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CUSTOS!$M$26)*23.9333</f>
        <v>23.933299999999999</v>
      </c>
      <c r="AI26" s="13">
        <f>(1 - CUSTOS!$M$26)*23.9333</f>
        <v>23.933299999999999</v>
      </c>
      <c r="AJ26" s="13">
        <f ca="1">$N$67*(1-CUSTOS!$M$26)</f>
        <v>0</v>
      </c>
      <c r="AK26" s="13">
        <f t="shared" ca="1" si="0"/>
        <v>0</v>
      </c>
      <c r="AL26" s="13"/>
      <c r="AM26" s="13"/>
      <c r="AP26" s="13">
        <f>IF((1 - CUSTOS!$M$26)&lt;&gt;0,1/(1 - CUSTOS!$M$26),1)</f>
        <v>1</v>
      </c>
    </row>
    <row r="27" spans="1:42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>
        <v>0</v>
      </c>
      <c r="M27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CUSTOS!$M$27)</f>
        <v>1.1016203338209198</v>
      </c>
      <c r="N27" s="13">
        <f ca="1">(+M27+O27+R27+U27+V27+W27+X27+Y27+Z27+AA27+AC27+AH27+AI27+AJ27+AK27)*CUSTOS!$M$5</f>
        <v>3.3675062033382084E-12</v>
      </c>
      <c r="O27" s="13">
        <f>1 - CUSTOS!$M$27</f>
        <v>1</v>
      </c>
      <c r="P27" s="13">
        <v>0</v>
      </c>
      <c r="Q27" s="13">
        <v>0</v>
      </c>
      <c r="R27" s="13">
        <v>0</v>
      </c>
      <c r="S27" s="13">
        <f>1 - CUSTOS!$M$27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60.104500000000002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226.67789999999999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CUSTOS!$M$27)*23.9333</f>
        <v>23.933299999999999</v>
      </c>
      <c r="AI27" s="13">
        <f>(1 - CUSTOS!$M$27)*23.9333</f>
        <v>23.933299999999999</v>
      </c>
      <c r="AJ27" s="13">
        <f ca="1">$N$67*(1-CUSTOS!$M$27)</f>
        <v>0</v>
      </c>
      <c r="AK27" s="13">
        <f t="shared" ca="1" si="0"/>
        <v>0</v>
      </c>
      <c r="AL27" s="13"/>
      <c r="AM27" s="13"/>
      <c r="AP27" s="13">
        <f>IF((1 - CUSTOS!$M$27)&lt;&gt;0,1/(1 - CUSTOS!$M$27),1)</f>
        <v>1</v>
      </c>
    </row>
    <row r="28" spans="1:42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>
        <f>1</f>
        <v>1</v>
      </c>
      <c r="M28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</f>
        <v>1.1016203338209198</v>
      </c>
      <c r="N28" s="13">
        <f ca="1">(+M28+O28+R28+U28+V28+W28+X28+Y28+Z28+AA28+AC28+AH28+AI28+AJ28+AK28)*CUSTOS!$M$5</f>
        <v>3.3775062033382086E-12</v>
      </c>
      <c r="O28" s="13">
        <v>1</v>
      </c>
      <c r="P28" s="13">
        <v>1</v>
      </c>
      <c r="Q28" s="13">
        <f>1</f>
        <v>1</v>
      </c>
      <c r="R28" s="13">
        <v>1</v>
      </c>
      <c r="S28" s="13"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60.104500000000002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226.67789999999999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v>23.933299999999999</v>
      </c>
      <c r="AI28" s="13">
        <v>23.933299999999999</v>
      </c>
      <c r="AJ28" s="13">
        <f ca="1">$N$67</f>
        <v>0</v>
      </c>
      <c r="AK28" s="13">
        <f t="shared" ca="1" si="0"/>
        <v>0</v>
      </c>
      <c r="AL28" s="13"/>
      <c r="AM28" s="13"/>
      <c r="AP28" s="13">
        <v>1</v>
      </c>
    </row>
    <row r="29" spans="1:42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>
        <v>0</v>
      </c>
      <c r="M29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CUSTOS!$M$24)</f>
        <v>1.1016203338209198</v>
      </c>
      <c r="N29" s="13">
        <f ca="1">(+M29+O29+R29+U29+V29+W29+X29+Y29+Z29+AA29+AC29+AH29+AI29+AJ29+AK29)*CUSTOS!$M$5</f>
        <v>3.3675062033382084E-12</v>
      </c>
      <c r="O29" s="13">
        <f>1 - CUSTOS!$M$24</f>
        <v>1</v>
      </c>
      <c r="P29" s="13">
        <v>0</v>
      </c>
      <c r="Q29" s="13">
        <v>0</v>
      </c>
      <c r="R29" s="13">
        <v>0</v>
      </c>
      <c r="S29" s="13">
        <f>1 - CUSTOS!$M$24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60.104500000000002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226.67789999999999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CUSTOS!$M$24)*23.9333</f>
        <v>23.933299999999999</v>
      </c>
      <c r="AI29" s="13">
        <f>(1 - CUSTOS!$M$24)*23.9333</f>
        <v>23.933299999999999</v>
      </c>
      <c r="AJ29" s="13">
        <f ca="1">$N$67*(1-CUSTOS!$M$24)</f>
        <v>0</v>
      </c>
      <c r="AK29" s="13">
        <f t="shared" ca="1" si="0"/>
        <v>0</v>
      </c>
      <c r="AL29" s="13"/>
      <c r="AM29" s="13"/>
      <c r="AP29" s="13">
        <f>IF((1 - CUSTOS!$M$24)&lt;&gt;0,1/(1 - CUSTOS!$M$24),1)</f>
        <v>1</v>
      </c>
    </row>
    <row r="30" spans="1:42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>
        <v>0</v>
      </c>
      <c r="M30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CUSTOS!$M$25)</f>
        <v>1.1016203338209198</v>
      </c>
      <c r="N30" s="13">
        <f ca="1">(+M30+O30+R30+U30+V30+W30+X30+Y30+Z30+AA30+AC30+AH30+AI30+AJ30+AK30)*CUSTOS!$M$5</f>
        <v>3.3675062033382084E-12</v>
      </c>
      <c r="O30" s="13">
        <f>1 - CUSTOS!$M$25</f>
        <v>1</v>
      </c>
      <c r="P30" s="13">
        <v>0</v>
      </c>
      <c r="Q30" s="13">
        <v>0</v>
      </c>
      <c r="R30" s="13">
        <v>0</v>
      </c>
      <c r="S30" s="13">
        <f>1 - CUSTOS!$M$25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60.104500000000002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226.67789999999999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CUSTOS!$M$25)*23.9333</f>
        <v>23.933299999999999</v>
      </c>
      <c r="AI30" s="13">
        <f>(1 - CUSTOS!$M$25)*23.9333</f>
        <v>23.933299999999999</v>
      </c>
      <c r="AJ30" s="13">
        <f ca="1">$N$67*(1-CUSTOS!$M$25)</f>
        <v>0</v>
      </c>
      <c r="AK30" s="13">
        <f t="shared" ca="1" si="0"/>
        <v>0</v>
      </c>
      <c r="AL30" s="13"/>
      <c r="AM30" s="13"/>
      <c r="AP30" s="13">
        <f>IF((1 - CUSTOS!$M$25)&lt;&gt;0,1/(1 - CUSTOS!$M$25),1)</f>
        <v>1</v>
      </c>
    </row>
    <row r="31" spans="1:42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>
        <v>0</v>
      </c>
      <c r="M31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CUSTOS!$M$26)</f>
        <v>1.1016203338209198</v>
      </c>
      <c r="N31" s="13">
        <f ca="1">(+M31+O31+R31+U31+V31+W31+X31+Y31+Z31+AA31+AC31+AH31+AI31+AJ31+AK31)*CUSTOS!$M$5</f>
        <v>3.3675062033382084E-12</v>
      </c>
      <c r="O31" s="13">
        <f>1 - CUSTOS!$M$26</f>
        <v>1</v>
      </c>
      <c r="P31" s="13">
        <v>0</v>
      </c>
      <c r="Q31" s="13">
        <v>0</v>
      </c>
      <c r="R31" s="13">
        <v>0</v>
      </c>
      <c r="S31" s="13">
        <f>1 - CUSTOS!$M$26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60.104500000000002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226.67789999999999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CUSTOS!$M$26)*23.9333</f>
        <v>23.933299999999999</v>
      </c>
      <c r="AI31" s="13">
        <f>(1 - CUSTOS!$M$26)*23.9333</f>
        <v>23.933299999999999</v>
      </c>
      <c r="AJ31" s="13">
        <f ca="1">$N$67*(1-CUSTOS!$M$26)</f>
        <v>0</v>
      </c>
      <c r="AK31" s="13">
        <f t="shared" ca="1" si="0"/>
        <v>0</v>
      </c>
      <c r="AL31" s="13"/>
      <c r="AM31" s="13"/>
      <c r="AP31" s="13">
        <f>IF((1 - CUSTOS!$M$26)&lt;&gt;0,1/(1 - CUSTOS!$M$26),1)</f>
        <v>1</v>
      </c>
    </row>
    <row r="32" spans="1:42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>
        <v>0</v>
      </c>
      <c r="M32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CUSTOS!$M$27)</f>
        <v>1.1016203338209198</v>
      </c>
      <c r="N32" s="13">
        <f ca="1">(+M32+O32+R32+U32+V32+W32+X32+Y32+Z32+AA32+AC32+AH32+AI32+AJ32+AK32)*CUSTOS!$M$5</f>
        <v>3.3675062033382084E-12</v>
      </c>
      <c r="O32" s="13">
        <f>1 - CUSTOS!$M$27</f>
        <v>1</v>
      </c>
      <c r="P32" s="13">
        <v>0</v>
      </c>
      <c r="Q32" s="13">
        <v>0</v>
      </c>
      <c r="R32" s="13">
        <v>0</v>
      </c>
      <c r="S32" s="13">
        <f>1 - CUSTOS!$M$27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60.104500000000002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226.67789999999999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CUSTOS!$M$27)*23.9333</f>
        <v>23.933299999999999</v>
      </c>
      <c r="AI32" s="13">
        <f>(1 - CUSTOS!$M$27)*23.9333</f>
        <v>23.933299999999999</v>
      </c>
      <c r="AJ32" s="13">
        <f ca="1">$N$67*(1-CUSTOS!$M$27)</f>
        <v>0</v>
      </c>
      <c r="AK32" s="13">
        <f t="shared" ca="1" si="0"/>
        <v>0</v>
      </c>
      <c r="AL32" s="13"/>
      <c r="AM32" s="13"/>
      <c r="AP32" s="13">
        <f>IF((1 - CUSTOS!$M$27)&lt;&gt;0,1/(1 - CUSTOS!$M$27),1)</f>
        <v>1</v>
      </c>
    </row>
    <row r="33" spans="1:42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>
        <f>1*(1 - CUSTOS!$M$28)</f>
        <v>1</v>
      </c>
      <c r="M33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CUSTOS!$M$28)</f>
        <v>1.1016203338209198</v>
      </c>
      <c r="N33" s="13">
        <f ca="1">(+M33+O33+R33+U33+V33+W33+X33+Y33+Z33+AA33+AC33+AH33+AI33+AJ33+AK33)*CUSTOS!$M$5</f>
        <v>9.2708042033382098E-12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207.41249999999999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668.69970000000001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CUSTOS!$M$28)*23.9333</f>
        <v>23.933299999999999</v>
      </c>
      <c r="AI33" s="13">
        <f>(1 - CUSTOS!$M$28)*23.9333</f>
        <v>23.933299999999999</v>
      </c>
      <c r="AJ33" s="13">
        <f ca="1">$N$67*(1-CUSTOS!$M$28)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>
        <f>1*(1 - CUSTOS!$M$28)</f>
        <v>1</v>
      </c>
      <c r="M34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CUSTOS!$M$28)</f>
        <v>1.1016203338209198</v>
      </c>
      <c r="N34" s="13">
        <f ca="1">(+M34+O34+R34+U34+V34+W34+X34+Y34+Z34+AA34+AC34+AH34+AI34+AJ34+AK34)*CUSTOS!$M$5</f>
        <v>5.7661162033382096E-12</v>
      </c>
      <c r="O34" s="13">
        <f>1 - CUSTOS!$M$28</f>
        <v>1</v>
      </c>
      <c r="P34" s="13">
        <f>1 - CUSTOS!$M$28</f>
        <v>1</v>
      </c>
      <c r="Q34" s="13">
        <f>1*(1 - CUSTOS!$M$28)</f>
        <v>1</v>
      </c>
      <c r="R34" s="13">
        <f>1 - CUSTOS!$M$28</f>
        <v>1</v>
      </c>
      <c r="S34" s="13">
        <f>1 - CUSTOS!$M$28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124.4237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401.21969999999999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CUSTOS!$M$28)*23.9333</f>
        <v>23.933299999999999</v>
      </c>
      <c r="AI34" s="13">
        <f>(1 - CUSTOS!$M$28)*23.9333</f>
        <v>23.933299999999999</v>
      </c>
      <c r="AJ34" s="13">
        <f ca="1">$N$67*(1-CUSTOS!$M$28)</f>
        <v>0</v>
      </c>
      <c r="AK34" s="13">
        <f t="shared" ca="1" si="0"/>
        <v>0</v>
      </c>
      <c r="AL34" s="13"/>
      <c r="AM34" s="13"/>
      <c r="AP34" s="13">
        <f>IF((1 - CUSTOS!$M$28)&lt;&gt;0,1/(1 - CUSTOS!$M$28),1)</f>
        <v>1</v>
      </c>
    </row>
    <row r="35" spans="1:42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>
        <f>1*(1 - CUSTOS!$M$28)</f>
        <v>1</v>
      </c>
      <c r="M35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CUSTOS!$M$28)</f>
        <v>1.1016203338209198</v>
      </c>
      <c r="N35" s="13">
        <f ca="1">(+M35+O35+R35+U35+V35+W35+X35+Y35+Z35+AA35+AC35+AH35+AI35+AJ35+AK35)*CUSTOS!$M$5</f>
        <v>2.2617282033382094E-12</v>
      </c>
      <c r="O35" s="13">
        <f>1 - CUSTOS!$M$28</f>
        <v>1</v>
      </c>
      <c r="P35" s="13">
        <f>1 - CUSTOS!$M$28</f>
        <v>1</v>
      </c>
      <c r="Q35" s="13">
        <f>1*(1 - CUSTOS!$M$28)</f>
        <v>1</v>
      </c>
      <c r="R35" s="13">
        <f>1 - CUSTOS!$M$28</f>
        <v>1</v>
      </c>
      <c r="S35" s="13">
        <f>1 - CUSTOS!$M$28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41.464700000000001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133.73990000000001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CUSTOS!$M$28)*23.9333</f>
        <v>23.933299999999999</v>
      </c>
      <c r="AI35" s="13">
        <f>(1 - CUSTOS!$M$28)*23.9333</f>
        <v>23.933299999999999</v>
      </c>
      <c r="AJ35" s="13">
        <f ca="1">$N$67*(1-CUSTOS!$M$28)</f>
        <v>0</v>
      </c>
      <c r="AK35" s="13">
        <f t="shared" ca="1" si="0"/>
        <v>0</v>
      </c>
      <c r="AL35" s="13"/>
      <c r="AM35" s="13"/>
      <c r="AP35" s="13">
        <f>IF((1 - CUSTOS!$M$28)&lt;&gt;0,1/(1 - CUSTOS!$M$28),1)</f>
        <v>1</v>
      </c>
    </row>
    <row r="36" spans="1:42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>
        <f>1*(1 - CUSTOS!$M$28)</f>
        <v>1</v>
      </c>
      <c r="M36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CUSTOS!$M$28)</f>
        <v>1.1016203338209198</v>
      </c>
      <c r="N36" s="13">
        <f ca="1">(+M36+O36+R36+U36+V36+W36+X36+Y36+Z36+AA36+AC36+AH36+AI36+AJ36+AK36)*CUSTOS!$M$5</f>
        <v>3.3775062033382086E-12</v>
      </c>
      <c r="O36" s="13">
        <f>1 - CUSTOS!$M$28</f>
        <v>1</v>
      </c>
      <c r="P36" s="13">
        <f>1 - CUSTOS!$M$28</f>
        <v>1</v>
      </c>
      <c r="Q36" s="13">
        <f>1*(1 - CUSTOS!$M$28)</f>
        <v>1</v>
      </c>
      <c r="R36" s="13">
        <f>1 - CUSTOS!$M$28</f>
        <v>1</v>
      </c>
      <c r="S36" s="13">
        <f>1 - CUSTOS!$M$28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60.104500000000002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226.67789999999999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CUSTOS!$M$28)*23.9333</f>
        <v>23.933299999999999</v>
      </c>
      <c r="AI36" s="13">
        <f>(1 - CUSTOS!$M$28)*23.9333</f>
        <v>23.933299999999999</v>
      </c>
      <c r="AJ36" s="13">
        <f ca="1">$N$67*(1-CUSTOS!$M$28)</f>
        <v>0</v>
      </c>
      <c r="AK36" s="13">
        <f t="shared" ca="1" si="0"/>
        <v>0</v>
      </c>
      <c r="AL36" s="13"/>
      <c r="AM36" s="13"/>
      <c r="AP36" s="13">
        <f>IF((1 - CUSTOS!$M$28)&lt;&gt;0,1/(1 - CUSTOS!$M$28),1)</f>
        <v>1</v>
      </c>
    </row>
    <row r="37" spans="1:42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>
        <f>1*(1 - CUSTOS!$M$29)</f>
        <v>1</v>
      </c>
      <c r="M37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CUSTOS!$M$29)</f>
        <v>1.1016203338209198</v>
      </c>
      <c r="N37" s="13">
        <f ca="1">(+M37+O37+R37+U37+V37+W37+X37+Y37+Z37+AA37+AC37+AH37+AI37+AJ37+AK37)*CUSTOS!$M$5</f>
        <v>9.2708042033382098E-12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207.41249999999999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668.69970000000001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CUSTOS!$M$29)*23.9333</f>
        <v>23.933299999999999</v>
      </c>
      <c r="AI37" s="13">
        <f>(1 - CUSTOS!$M$29)*23.9333</f>
        <v>23.933299999999999</v>
      </c>
      <c r="AJ37" s="13">
        <f ca="1">$N$67*(1-CUSTOS!$M$29)</f>
        <v>0</v>
      </c>
      <c r="AK37" s="13">
        <f t="shared" ref="AK37:AK54" ca="1" si="1">AJ37</f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>
        <f>1*(1 - CUSTOS!$M$29)</f>
        <v>1</v>
      </c>
      <c r="M38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CUSTOS!$M$29)</f>
        <v>1.1016203338209198</v>
      </c>
      <c r="N38" s="13">
        <f ca="1">(+M38+O38+R38+U38+V38+W38+X38+Y38+Z38+AA38+AC38+AH38+AI38+AJ38+AK38)*CUSTOS!$M$5</f>
        <v>5.7661162033382096E-12</v>
      </c>
      <c r="O38" s="13">
        <f>1 - CUSTOS!$M$29</f>
        <v>1</v>
      </c>
      <c r="P38" s="13">
        <f>1 - CUSTOS!$M$29</f>
        <v>1</v>
      </c>
      <c r="Q38" s="13">
        <f>1*(1 - CUSTOS!$M$29)</f>
        <v>1</v>
      </c>
      <c r="R38" s="13">
        <f>1 - CUSTOS!$M$29</f>
        <v>1</v>
      </c>
      <c r="S38" s="13">
        <f>1 - CUSTOS!$M$29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124.4237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401.21969999999999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CUSTOS!$M$29)*23.9333</f>
        <v>23.933299999999999</v>
      </c>
      <c r="AI38" s="13">
        <f>(1 - CUSTOS!$M$29)*23.9333</f>
        <v>23.933299999999999</v>
      </c>
      <c r="AJ38" s="13">
        <f ca="1">$N$67*(1-CUSTOS!$M$29)</f>
        <v>0</v>
      </c>
      <c r="AK38" s="13">
        <f t="shared" ca="1" si="1"/>
        <v>0</v>
      </c>
      <c r="AL38" s="13"/>
      <c r="AM38" s="13"/>
      <c r="AP38" s="13">
        <f>IF((1 - CUSTOS!$M$29)&lt;&gt;0,1/(1 - CUSTOS!$M$29),1)</f>
        <v>1</v>
      </c>
    </row>
    <row r="39" spans="1:42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>
        <f>1*(1 - CUSTOS!$M$29)</f>
        <v>1</v>
      </c>
      <c r="M39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CUSTOS!$M$29)</f>
        <v>1.1016203338209198</v>
      </c>
      <c r="N39" s="13">
        <f ca="1">(+M39+O39+R39+U39+V39+W39+X39+Y39+Z39+AA39+AC39+AH39+AI39+AJ39+AK39)*CUSTOS!$M$5</f>
        <v>2.2617282033382094E-12</v>
      </c>
      <c r="O39" s="13">
        <f>1 - CUSTOS!$M$29</f>
        <v>1</v>
      </c>
      <c r="P39" s="13">
        <f>1 - CUSTOS!$M$29</f>
        <v>1</v>
      </c>
      <c r="Q39" s="13">
        <f>1*(1 - CUSTOS!$M$29)</f>
        <v>1</v>
      </c>
      <c r="R39" s="13">
        <f>1 - CUSTOS!$M$29</f>
        <v>1</v>
      </c>
      <c r="S39" s="13">
        <f>1 - CUSTOS!$M$29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41.464700000000001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133.73990000000001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CUSTOS!$M$29)*23.9333</f>
        <v>23.933299999999999</v>
      </c>
      <c r="AI39" s="13">
        <f>(1 - CUSTOS!$M$29)*23.9333</f>
        <v>23.933299999999999</v>
      </c>
      <c r="AJ39" s="13">
        <f ca="1">$N$67*(1-CUSTOS!$M$29)</f>
        <v>0</v>
      </c>
      <c r="AK39" s="13">
        <f t="shared" ca="1" si="1"/>
        <v>0</v>
      </c>
      <c r="AL39" s="13"/>
      <c r="AM39" s="13"/>
      <c r="AP39" s="13">
        <f>IF((1 - CUSTOS!$M$29)&lt;&gt;0,1/(1 - CUSTOS!$M$29),1)</f>
        <v>1</v>
      </c>
    </row>
    <row r="40" spans="1:42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>
        <f>1*(1 - CUSTOS!$M$29)</f>
        <v>1</v>
      </c>
      <c r="M40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CUSTOS!$M$29)</f>
        <v>1.1016203338209198</v>
      </c>
      <c r="N40" s="13">
        <f ca="1">(+M40+O40+R40+U40+V40+W40+X40+Y40+Z40+AA40+AC40+AH40+AI40+AJ40+AK40)*CUSTOS!$M$5</f>
        <v>3.3775062033382086E-12</v>
      </c>
      <c r="O40" s="13">
        <f>1 - CUSTOS!$M$29</f>
        <v>1</v>
      </c>
      <c r="P40" s="13">
        <f>1 - CUSTOS!$M$29</f>
        <v>1</v>
      </c>
      <c r="Q40" s="13">
        <f>1*(1 - CUSTOS!$M$29)</f>
        <v>1</v>
      </c>
      <c r="R40" s="13">
        <f>1 - CUSTOS!$M$29</f>
        <v>1</v>
      </c>
      <c r="S40" s="13">
        <f>1 - CUSTOS!$M$29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60.104500000000002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226.67789999999999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CUSTOS!$M$29)*23.9333</f>
        <v>23.933299999999999</v>
      </c>
      <c r="AI40" s="13">
        <f>(1 - CUSTOS!$M$29)*23.9333</f>
        <v>23.933299999999999</v>
      </c>
      <c r="AJ40" s="13">
        <f ca="1">$N$67*(1-CUSTOS!$M$29)</f>
        <v>0</v>
      </c>
      <c r="AK40" s="13">
        <f t="shared" ca="1" si="1"/>
        <v>0</v>
      </c>
      <c r="AL40" s="13"/>
      <c r="AM40" s="13"/>
      <c r="AP40" s="13">
        <f>IF((1 - CUSTOS!$M$29)&lt;&gt;0,1/(1 - CUSTOS!$M$29),1)</f>
        <v>1</v>
      </c>
    </row>
    <row r="41" spans="1:42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>
        <f>1*(1 - CUSTOS!$M$30)</f>
        <v>1</v>
      </c>
      <c r="M41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CUSTOS!$M$30)</f>
        <v>1.1016203338209198</v>
      </c>
      <c r="N41" s="13">
        <f ca="1">(+M41+O41+R41+U41+V41+W41+X41+Y41+Z41+AA41+AC41+AH41+AI41+AJ41+AK41)*CUSTOS!$M$5</f>
        <v>9.2708042033382098E-12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207.41249999999999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668.69970000000001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CUSTOS!$M$30)*23.9333</f>
        <v>23.933299999999999</v>
      </c>
      <c r="AI41" s="13">
        <f>(1 - CUSTOS!$M$30)*23.9333</f>
        <v>23.933299999999999</v>
      </c>
      <c r="AJ41" s="13">
        <f ca="1">$N$67*(1-CUSTOS!$M$30)</f>
        <v>0</v>
      </c>
      <c r="AK41" s="13">
        <f t="shared" ca="1" si="1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>
        <f>1*(1 - CUSTOS!$M$30)</f>
        <v>1</v>
      </c>
      <c r="M42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CUSTOS!$M$30)</f>
        <v>1.1016203338209198</v>
      </c>
      <c r="N42" s="13">
        <f ca="1">(+M42+O42+R42+U42+V42+W42+X42+Y42+Z42+AA42+AC42+AH42+AI42+AJ42+AK42)*CUSTOS!$M$5</f>
        <v>5.7661162033382096E-12</v>
      </c>
      <c r="O42" s="13">
        <f>1 - CUSTOS!$M$30</f>
        <v>1</v>
      </c>
      <c r="P42" s="13">
        <f>1 - CUSTOS!$M$30</f>
        <v>1</v>
      </c>
      <c r="Q42" s="13">
        <f>1*(1 - CUSTOS!$M$30)</f>
        <v>1</v>
      </c>
      <c r="R42" s="13">
        <f>1 - CUSTOS!$M$30</f>
        <v>1</v>
      </c>
      <c r="S42" s="13">
        <f>1 - CUSTOS!$M$30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124.4237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401.21969999999999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CUSTOS!$M$30)*23.9333</f>
        <v>23.933299999999999</v>
      </c>
      <c r="AI42" s="13">
        <f>(1 - CUSTOS!$M$30)*23.9333</f>
        <v>23.933299999999999</v>
      </c>
      <c r="AJ42" s="13">
        <f ca="1">$N$67*(1-CUSTOS!$M$30)</f>
        <v>0</v>
      </c>
      <c r="AK42" s="13">
        <f t="shared" ca="1" si="1"/>
        <v>0</v>
      </c>
      <c r="AL42" s="13"/>
      <c r="AM42" s="13"/>
      <c r="AP42" s="13">
        <f>IF((1 - CUSTOS!$M$30)&lt;&gt;0,1/(1 - CUSTOS!$M$30),1)</f>
        <v>1</v>
      </c>
    </row>
    <row r="43" spans="1:42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>
        <f>1*(1 - CUSTOS!$M$30)</f>
        <v>1</v>
      </c>
      <c r="M43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CUSTOS!$M$30)</f>
        <v>1.1016203338209198</v>
      </c>
      <c r="N43" s="13">
        <f ca="1">(+M43+O43+R43+U43+V43+W43+X43+Y43+Z43+AA43+AC43+AH43+AI43+AJ43+AK43)*CUSTOS!$M$5</f>
        <v>2.2617282033382094E-12</v>
      </c>
      <c r="O43" s="13">
        <f>1 - CUSTOS!$M$30</f>
        <v>1</v>
      </c>
      <c r="P43" s="13">
        <f>1 - CUSTOS!$M$30</f>
        <v>1</v>
      </c>
      <c r="Q43" s="13">
        <f>1*(1 - CUSTOS!$M$30)</f>
        <v>1</v>
      </c>
      <c r="R43" s="13">
        <f>1 - CUSTOS!$M$30</f>
        <v>1</v>
      </c>
      <c r="S43" s="13">
        <f>1 - CUSTOS!$M$30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41.464700000000001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133.73990000000001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CUSTOS!$M$30)*23.9333</f>
        <v>23.933299999999999</v>
      </c>
      <c r="AI43" s="13">
        <f>(1 - CUSTOS!$M$30)*23.9333</f>
        <v>23.933299999999999</v>
      </c>
      <c r="AJ43" s="13">
        <f ca="1">$N$67*(1-CUSTOS!$M$30)</f>
        <v>0</v>
      </c>
      <c r="AK43" s="13">
        <f t="shared" ca="1" si="1"/>
        <v>0</v>
      </c>
      <c r="AL43" s="13"/>
      <c r="AM43" s="13"/>
      <c r="AP43" s="13">
        <f>IF((1 - CUSTOS!$M$30)&lt;&gt;0,1/(1 - CUSTOS!$M$30),1)</f>
        <v>1</v>
      </c>
    </row>
    <row r="44" spans="1:42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>
        <f>1*(1 - CUSTOS!$M$30)</f>
        <v>1</v>
      </c>
      <c r="M44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CUSTOS!$M$30)</f>
        <v>1.1016203338209198</v>
      </c>
      <c r="N44" s="13">
        <f ca="1">(+M44+O44+R44+U44+V44+W44+X44+Y44+Z44+AA44+AC44+AH44+AI44+AJ44+AK44)*CUSTOS!$M$5</f>
        <v>3.3775062033382086E-12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60.104500000000002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226.67789999999999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CUSTOS!$M$30)*23.9333</f>
        <v>23.933299999999999</v>
      </c>
      <c r="AI44" s="13">
        <f>(1 - CUSTOS!$M$30)*23.9333</f>
        <v>23.933299999999999</v>
      </c>
      <c r="AJ44" s="13">
        <f ca="1">$N$67*(1-CUSTOS!$M$30)</f>
        <v>0</v>
      </c>
      <c r="AK44" s="13">
        <f t="shared" ca="1" si="1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>
        <f>1*(1 - CUSTOS!$M$28)</f>
        <v>1</v>
      </c>
      <c r="M45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CUSTOS!$M$28)</f>
        <v>1.1016203338209198</v>
      </c>
      <c r="N45" s="13">
        <f ca="1">(+M45+O45+R45+U45+V45+W45+X45+Y45+Z45+AA45+AC45+AH45+AI45+AJ45+AK45)*CUSTOS!$M$5</f>
        <v>3.3775062033382086E-12</v>
      </c>
      <c r="O45" s="13">
        <f>1 - CUSTOS!$M$28</f>
        <v>1</v>
      </c>
      <c r="P45" s="13">
        <f>1 - CUSTOS!$M$28</f>
        <v>1</v>
      </c>
      <c r="Q45" s="13">
        <f>1*(1 - CUSTOS!$M$28)</f>
        <v>1</v>
      </c>
      <c r="R45" s="13">
        <f>1 - CUSTOS!$M$28</f>
        <v>1</v>
      </c>
      <c r="S45" s="13">
        <f>1 - CUSTOS!$M$28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60.104500000000002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226.67789999999999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CUSTOS!$M$28)*23.9333</f>
        <v>23.933299999999999</v>
      </c>
      <c r="AI45" s="13">
        <f>(1 - CUSTOS!$M$28)*23.9333</f>
        <v>23.933299999999999</v>
      </c>
      <c r="AJ45" s="13">
        <f ca="1">$N$67*(1-CUSTOS!$M$28)</f>
        <v>0</v>
      </c>
      <c r="AK45" s="13">
        <f t="shared" ca="1" si="1"/>
        <v>0</v>
      </c>
      <c r="AL45" s="13"/>
      <c r="AM45" s="13"/>
      <c r="AP45" s="13">
        <f>IF((1 - CUSTOS!$M$28)&lt;&gt;0,1/(1 - CUSTOS!$M$28),1)</f>
        <v>1</v>
      </c>
    </row>
    <row r="46" spans="1:42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>
        <f>1*(1 - CUSTOS!$M$29)</f>
        <v>1</v>
      </c>
      <c r="M46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CUSTOS!$M$29)</f>
        <v>1.1016203338209198</v>
      </c>
      <c r="N46" s="13">
        <f ca="1">(+M46+O46+R46+U46+V46+W46+X46+Y46+Z46+AA46+AC46+AH46+AI46+AJ46+AK46)*CUSTOS!$M$5</f>
        <v>3.3775062033382086E-12</v>
      </c>
      <c r="O46" s="13">
        <f>1 - CUSTOS!$M$29</f>
        <v>1</v>
      </c>
      <c r="P46" s="13">
        <f>1 - CUSTOS!$M$29</f>
        <v>1</v>
      </c>
      <c r="Q46" s="13">
        <f>1*(1 - CUSTOS!$M$29)</f>
        <v>1</v>
      </c>
      <c r="R46" s="13">
        <f>1 - CUSTOS!$M$29</f>
        <v>1</v>
      </c>
      <c r="S46" s="13">
        <f>1 - CUSTOS!$M$29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60.104500000000002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226.67789999999999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CUSTOS!$M$29)*23.9333</f>
        <v>23.933299999999999</v>
      </c>
      <c r="AI46" s="13">
        <f>(1 - CUSTOS!$M$29)*23.9333</f>
        <v>23.933299999999999</v>
      </c>
      <c r="AJ46" s="13">
        <f ca="1">$N$67*(1-CUSTOS!$M$29)</f>
        <v>0</v>
      </c>
      <c r="AK46" s="13">
        <f t="shared" ca="1" si="1"/>
        <v>0</v>
      </c>
      <c r="AL46" s="13"/>
      <c r="AM46" s="13"/>
      <c r="AP46" s="13">
        <f>IF((1 - CUSTOS!$M$29)&lt;&gt;0,1/(1 - CUSTOS!$M$29),1)</f>
        <v>1</v>
      </c>
    </row>
    <row r="47" spans="1:42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>
        <f>1*(1 - CUSTOS!$M$30)</f>
        <v>1</v>
      </c>
      <c r="M47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CUSTOS!$M$30)</f>
        <v>1.1016203338209198</v>
      </c>
      <c r="N47" s="13">
        <f ca="1">(+M47+O47+R47+U47+V47+W47+X47+Y47+Z47+AA47+AC47+AH47+AI47+AJ47+AK47)*CUSTOS!$M$5</f>
        <v>3.3775062033382086E-12</v>
      </c>
      <c r="O47" s="13">
        <f>1 - CUSTOS!$M$30</f>
        <v>1</v>
      </c>
      <c r="P47" s="13">
        <f>1 - CUSTOS!$M$30</f>
        <v>1</v>
      </c>
      <c r="Q47" s="13">
        <f>1*(1 - CUSTOS!$M$30)</f>
        <v>1</v>
      </c>
      <c r="R47" s="13">
        <f>1 - CUSTOS!$M$30</f>
        <v>1</v>
      </c>
      <c r="S47" s="13">
        <f>1 - CUSTOS!$M$30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60.104500000000002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226.67789999999999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CUSTOS!$M$30)*23.9333</f>
        <v>23.933299999999999</v>
      </c>
      <c r="AI47" s="13">
        <f>(1 - CUSTOS!$M$30)*23.9333</f>
        <v>23.933299999999999</v>
      </c>
      <c r="AJ47" s="13">
        <f ca="1">$N$67*(1-CUSTOS!$M$30)</f>
        <v>0</v>
      </c>
      <c r="AK47" s="13">
        <f t="shared" ca="1" si="1"/>
        <v>0</v>
      </c>
      <c r="AL47" s="13"/>
      <c r="AM47" s="13"/>
      <c r="AP47" s="13">
        <f>IF((1 - CUSTOS!$M$30)&lt;&gt;0,1/(1 - CUSTOS!$M$30),1)</f>
        <v>1</v>
      </c>
    </row>
    <row r="48" spans="1:42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>
        <f>1*(1 - CUSTOS!$M$31)</f>
        <v>1</v>
      </c>
      <c r="M48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CUSTOS!$M$31)</f>
        <v>1.1016203338209198</v>
      </c>
      <c r="N48" s="13">
        <f ca="1">(+M48+O48+R48+U48+V48+W48+X48+Y48+Z48+AA48+AC48+AH48+AI48+AJ48+AK48)*CUSTOS!$M$5</f>
        <v>1.0404192203338209E-11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207.41249999999999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782.0385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CUSTOS!$M$31)*23.9333</f>
        <v>23.933299999999999</v>
      </c>
      <c r="AI48" s="13">
        <f>(1 - CUSTOS!$M$31)*23.9333</f>
        <v>23.933299999999999</v>
      </c>
      <c r="AJ48" s="13">
        <f ca="1">$N$67*(1-CUSTOS!$M$31)</f>
        <v>0</v>
      </c>
      <c r="AK48" s="13">
        <f t="shared" ca="1" si="1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>
        <f>1*(1 - CUSTOS!$M$31)</f>
        <v>1</v>
      </c>
      <c r="M49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CUSTOS!$M$31)</f>
        <v>1.1016203338209198</v>
      </c>
      <c r="N49" s="13">
        <f ca="1">(+M49+O49+R49+U49+V49+W49+X49+Y49+Z49+AA49+AC49+AH49+AI49+AJ49+AK49)*CUSTOS!$M$5</f>
        <v>6.4461502033382102E-12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124.4237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469.22309999999999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CUSTOS!$M$31)*23.9333</f>
        <v>23.933299999999999</v>
      </c>
      <c r="AI49" s="13">
        <f>(1 - CUSTOS!$M$31)*23.9333</f>
        <v>23.933299999999999</v>
      </c>
      <c r="AJ49" s="13">
        <f ca="1">$N$67*(1-CUSTOS!$M$31)</f>
        <v>0</v>
      </c>
      <c r="AK49" s="13">
        <f t="shared" ca="1" si="1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>
        <f>1*(1 - CUSTOS!$M$31)</f>
        <v>1</v>
      </c>
      <c r="M50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CUSTOS!$M$31)</f>
        <v>1.1016203338209198</v>
      </c>
      <c r="N50" s="13">
        <f ca="1">(+M50+O50+R50+U50+V50+W50+X50+Y50+Z50+AA50+AC50+AH50+AI50+AJ50+AK50)*CUSTOS!$M$5</f>
        <v>2.4884082033382094E-12</v>
      </c>
      <c r="O50" s="13">
        <f>1 - CUSTOS!$M$31</f>
        <v>1</v>
      </c>
      <c r="P50" s="13">
        <f>1 - CUSTOS!$M$31</f>
        <v>1</v>
      </c>
      <c r="Q50" s="13">
        <f>1*(1 - CUSTOS!$M$31)</f>
        <v>1</v>
      </c>
      <c r="R50" s="13">
        <f>1 - CUSTOS!$M$31</f>
        <v>1</v>
      </c>
      <c r="S50" s="13">
        <f>1 - CUSTOS!$M$31</f>
        <v>1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41.464700000000001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156.40790000000001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CUSTOS!$M$31)*23.9333</f>
        <v>23.933299999999999</v>
      </c>
      <c r="AI50" s="13">
        <f>(1 - CUSTOS!$M$31)*23.9333</f>
        <v>23.933299999999999</v>
      </c>
      <c r="AJ50" s="13">
        <f ca="1">$N$67*(1-CUSTOS!$M$31)</f>
        <v>0</v>
      </c>
      <c r="AK50" s="13">
        <f t="shared" ca="1" si="1"/>
        <v>0</v>
      </c>
      <c r="AL50" s="13"/>
      <c r="AM50" s="13"/>
      <c r="AP50" s="13">
        <f>IF((1 - CUSTOS!$M$31)&lt;&gt;0,1/(1 - CUSTOS!$M$31),1)</f>
        <v>1</v>
      </c>
    </row>
    <row r="51" spans="1:42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>
        <f>1*(1 - CUSTOS!$M$31)</f>
        <v>1</v>
      </c>
      <c r="M51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CUSTOS!$M$31)</f>
        <v>1.1016203338209198</v>
      </c>
      <c r="N51" s="13">
        <f ca="1">(+M51+O51+R51+U51+V51+W51+X51+Y51+Z51+AA51+AC51+AH51+AI51+AJ51+AK51)*CUSTOS!$M$5</f>
        <v>3.3775062033382086E-12</v>
      </c>
      <c r="O51" s="13">
        <f>1 - CUSTOS!$M$31</f>
        <v>1</v>
      </c>
      <c r="P51" s="13">
        <f>1 - CUSTOS!$M$31</f>
        <v>1</v>
      </c>
      <c r="Q51" s="13">
        <f>1*(1 - CUSTOS!$M$31)</f>
        <v>1</v>
      </c>
      <c r="R51" s="13">
        <f>1 - CUSTOS!$M$31</f>
        <v>1</v>
      </c>
      <c r="S51" s="13">
        <f>1 - CUSTOS!$M$31</f>
        <v>1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60.104500000000002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226.67789999999999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CUSTOS!$M$31)*23.9333</f>
        <v>23.933299999999999</v>
      </c>
      <c r="AI51" s="13">
        <f>(1 - CUSTOS!$M$31)*23.9333</f>
        <v>23.933299999999999</v>
      </c>
      <c r="AJ51" s="13">
        <f ca="1">$N$67*(1-CUSTOS!$M$31)</f>
        <v>0</v>
      </c>
      <c r="AK51" s="13">
        <f t="shared" ca="1" si="1"/>
        <v>0</v>
      </c>
      <c r="AL51" s="13"/>
      <c r="AM51" s="13"/>
      <c r="AP51" s="13">
        <f>IF((1 - CUSTOS!$M$31)&lt;&gt;0,1/(1 - CUSTOS!$M$31),1)</f>
        <v>1</v>
      </c>
    </row>
    <row r="52" spans="1:42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>
        <f>1*(1 - CUSTOS!$M$31)</f>
        <v>1</v>
      </c>
      <c r="M52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CUSTOS!$M$31)</f>
        <v>1.1016203338209198</v>
      </c>
      <c r="N52" s="13">
        <f ca="1">(+M52+O52+R52+U52+V52+W52+X52+Y52+Z52+AA52+AC52+AH52+AI52+AJ52+AK52)*CUSTOS!$M$5</f>
        <v>3.3775062033382086E-12</v>
      </c>
      <c r="O52" s="13">
        <f>1 - CUSTOS!$M$31</f>
        <v>1</v>
      </c>
      <c r="P52" s="13">
        <f>1 - CUSTOS!$M$31</f>
        <v>1</v>
      </c>
      <c r="Q52" s="13">
        <f>1*(1 - CUSTOS!$M$31)</f>
        <v>1</v>
      </c>
      <c r="R52" s="13">
        <f>1 - CUSTOS!$M$31</f>
        <v>1</v>
      </c>
      <c r="S52" s="13">
        <f>1 - CUSTOS!$M$31</f>
        <v>1</v>
      </c>
      <c r="T52" s="13"/>
      <c r="U52" s="13">
        <f>TRANSICAO!$U$52*CUSTOS!$T$3</f>
        <v>0</v>
      </c>
      <c r="V52" s="13">
        <f>TRANSICAO!$V$52*CUSTOS!$T$3</f>
        <v>0</v>
      </c>
      <c r="W52" s="13">
        <f>TRANSICAO!$W$52*CUSTOS!$T$3</f>
        <v>0</v>
      </c>
      <c r="X52" s="13">
        <f>TRANSICAO!$X$52*CUSTOS!$T$3</f>
        <v>0</v>
      </c>
      <c r="Y52" s="13">
        <f>TRANSICAO!$Y$52*CUSTOS!$T$3</f>
        <v>60.104500000000002</v>
      </c>
      <c r="Z52" s="13">
        <f>TRANSICAO!$Z$52*CUSTOS!$T$3</f>
        <v>0</v>
      </c>
      <c r="AA52" s="13">
        <f>TRANSICAO!$AA$52*CUSTOS!$T$3</f>
        <v>0</v>
      </c>
      <c r="AB52" s="13">
        <f>TRANSICAO!$AB$52*CUSTOS!$T$3</f>
        <v>0</v>
      </c>
      <c r="AC52" s="13">
        <f>TRANSICAO!$AC$52*CUSTOS!$T$3</f>
        <v>226.67789999999999</v>
      </c>
      <c r="AD52" s="13">
        <f>TRANSICAO!$AD$52*CUSTOS!$T$3</f>
        <v>0</v>
      </c>
      <c r="AE52" s="13">
        <v>0</v>
      </c>
      <c r="AF52" s="13">
        <v>0</v>
      </c>
      <c r="AG52" s="13"/>
      <c r="AH52" s="13">
        <f>(1 - CUSTOS!$M$31)*23.9333</f>
        <v>23.933299999999999</v>
      </c>
      <c r="AI52" s="13">
        <f>(1 - CUSTOS!$M$31)*23.9333</f>
        <v>23.933299999999999</v>
      </c>
      <c r="AJ52" s="13">
        <f ca="1">$N$67*(1-CUSTOS!$M$31)</f>
        <v>0</v>
      </c>
      <c r="AK52" s="13">
        <f t="shared" ca="1" si="1"/>
        <v>0</v>
      </c>
      <c r="AL52" s="13"/>
      <c r="AM52" s="13"/>
      <c r="AP52" s="13">
        <f>IF((1 - CUSTOS!$M$31)&lt;&gt;0,1/(1 - CUSTOS!$M$31),1)</f>
        <v>1</v>
      </c>
    </row>
    <row r="53" spans="1:42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>
        <f>1*(1 - CUSTOS!$M$32)</f>
        <v>0.55000000000000004</v>
      </c>
      <c r="M53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CUSTOS!$M$32)</f>
        <v>0.60589118360150596</v>
      </c>
      <c r="N53" s="13">
        <f ca="1">(+M53+O53+R53+U53+V53+W53+X53+Y53+Z53+AA53+AC53+AH53+AI53+AJ53+AK53)*CUSTOS!$M$5</f>
        <v>1.8576284118360154E-12</v>
      </c>
      <c r="O53" s="13">
        <f>1 - CUSTOS!$M$32</f>
        <v>0.55000000000000004</v>
      </c>
      <c r="P53" s="13">
        <f>1 - CUSTOS!$M$32</f>
        <v>0.55000000000000004</v>
      </c>
      <c r="Q53" s="13">
        <f>1*(1 - CUSTOS!$M$32)</f>
        <v>0.55000000000000004</v>
      </c>
      <c r="R53" s="13">
        <f>1 - CUSTOS!$M$32</f>
        <v>0.55000000000000004</v>
      </c>
      <c r="S53" s="13">
        <f>1 - CUSTOS!$M$32</f>
        <v>0.55000000000000004</v>
      </c>
      <c r="T53" s="13"/>
      <c r="U53" s="13">
        <f>TRANSICAO!$U$53*CUSTOS!$T$3</f>
        <v>0</v>
      </c>
      <c r="V53" s="13">
        <f>TRANSICAO!$V$53*CUSTOS!$T$3</f>
        <v>0</v>
      </c>
      <c r="W53" s="13">
        <f>TRANSICAO!$W$53*CUSTOS!$T$3</f>
        <v>0</v>
      </c>
      <c r="X53" s="13">
        <f>TRANSICAO!$X$53*CUSTOS!$T$3</f>
        <v>0</v>
      </c>
      <c r="Y53" s="13">
        <f>TRANSICAO!$Y$53*CUSTOS!$T$3</f>
        <v>33.057475000000004</v>
      </c>
      <c r="Z53" s="13">
        <f>TRANSICAO!$Z$53*CUSTOS!$T$3</f>
        <v>0</v>
      </c>
      <c r="AA53" s="13">
        <f>TRANSICAO!$AA$53*CUSTOS!$T$3</f>
        <v>0</v>
      </c>
      <c r="AB53" s="13">
        <f>TRANSICAO!$AB$53*CUSTOS!$T$3</f>
        <v>0</v>
      </c>
      <c r="AC53" s="13">
        <f>TRANSICAO!$AC$53*CUSTOS!$T$3</f>
        <v>124.67284500000001</v>
      </c>
      <c r="AD53" s="13">
        <f>TRANSICAO!$AD$53*CUSTOS!$T$3</f>
        <v>0</v>
      </c>
      <c r="AE53" s="13">
        <v>0</v>
      </c>
      <c r="AF53" s="13">
        <v>0</v>
      </c>
      <c r="AG53" s="13"/>
      <c r="AH53" s="13">
        <f>(1 - CUSTOS!$M$32)*23.9333</f>
        <v>13.163315000000001</v>
      </c>
      <c r="AI53" s="13">
        <f>(1 - CUSTOS!$M$32)*23.9333</f>
        <v>13.163315000000001</v>
      </c>
      <c r="AJ53" s="13">
        <f ca="1">$N$67*(1-CUSTOS!$M$32)</f>
        <v>0</v>
      </c>
      <c r="AK53" s="13">
        <f t="shared" ca="1" si="1"/>
        <v>0</v>
      </c>
      <c r="AL53" s="13"/>
      <c r="AM53" s="13"/>
      <c r="AP53" s="13">
        <f>IF((1 - CUSTOS!$M$32)&lt;&gt;0,1/(1 - CUSTOS!$M$32),1)</f>
        <v>1.8181818181818181</v>
      </c>
    </row>
    <row r="54" spans="1:42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>
        <f>1*(1 - CUSTOS!$M$33)</f>
        <v>0.6</v>
      </c>
      <c r="M54" s="13">
        <f>IF(AND((+$I$20+$I$21+$I$22+$I$23+$I$24+$I$25+$I$26+$I$27+$I$28+$I$29+$I$30+$I$31+$I$32+$I$33+$I$34+$I$35+$I$36+$I$37+$I$38+$I$39+$I$40+$I$41+$I$42+$I$43+$I$44+$I$45+$I$46+$I$47+$I$48+$I$49+$I$50+$I$51+$I$52+$I$53+$I$54)&lt;&gt;0,SUMPRODUCT($I$5:$I$54,$AC$5:$AC$54,$AP$5:$AP$54)&lt;&gt;0),$M$59*SUMPRODUCT($I$20:$I$54,$AC$20:$AC$54,$AP$20:$AP$54)/SUMPRODUCT($I$5:$I$54,$AC$5:$AC$54,$AP$5:$AP$54)/(+$I$20+$I$21+$I$22+$I$23+$I$24+$I$25+$I$26+$I$27+$I$28+$I$29+$I$30+$I$31+$I$32+$I$33+$I$34+$I$35+$I$36+$I$37+$I$38+$I$39+$I$40+$I$41+$I$42+$I$43+$I$44+$I$45+$I$46+$I$47+$I$48+$I$49+$I$50+$I$51+$I$52+$I$53+$I$54),0)*(1 - CUSTOS!$M$33)</f>
        <v>0.66097220029255188</v>
      </c>
      <c r="N54" s="13">
        <f ca="1">(+M54+O54+R54+U54+V54+W54+X54+Y54+Z54+AA54+AC54+AH54+AI54+AJ54+AK54)*CUSTOS!$M$5</f>
        <v>2.0265037220029255E-12</v>
      </c>
      <c r="O54" s="13">
        <f>1 - CUSTOS!$M$33</f>
        <v>0.6</v>
      </c>
      <c r="P54" s="13">
        <f>1 - CUSTOS!$M$33</f>
        <v>0.6</v>
      </c>
      <c r="Q54" s="13">
        <f>1*(1 - CUSTOS!$M$33)</f>
        <v>0.6</v>
      </c>
      <c r="R54" s="13">
        <f>1 - CUSTOS!$M$33</f>
        <v>0.6</v>
      </c>
      <c r="S54" s="13">
        <f>1 - CUSTOS!$M$33</f>
        <v>0.6</v>
      </c>
      <c r="T54" s="13"/>
      <c r="U54" s="13">
        <f>TRANSICAO!$U$54*CUSTOS!$T$3</f>
        <v>0</v>
      </c>
      <c r="V54" s="13">
        <f>TRANSICAO!$V$54*CUSTOS!$T$3</f>
        <v>0</v>
      </c>
      <c r="W54" s="13">
        <f>TRANSICAO!$W$54*CUSTOS!$T$3</f>
        <v>0</v>
      </c>
      <c r="X54" s="13">
        <f>TRANSICAO!$X$54*CUSTOS!$T$3</f>
        <v>0</v>
      </c>
      <c r="Y54" s="13">
        <f>TRANSICAO!$Y$54*CUSTOS!$T$3</f>
        <v>36.0627</v>
      </c>
      <c r="Z54" s="13">
        <f>TRANSICAO!$Z$54*CUSTOS!$T$3</f>
        <v>0</v>
      </c>
      <c r="AA54" s="13">
        <f>TRANSICAO!$AA$54*CUSTOS!$T$3</f>
        <v>0</v>
      </c>
      <c r="AB54" s="13">
        <f>TRANSICAO!$AB$54*CUSTOS!$T$3</f>
        <v>0</v>
      </c>
      <c r="AC54" s="13">
        <f>TRANSICAO!$AC$54*CUSTOS!$T$3</f>
        <v>136.00673999999998</v>
      </c>
      <c r="AD54" s="13">
        <f>TRANSICAO!$AD$54*CUSTOS!$T$3</f>
        <v>0</v>
      </c>
      <c r="AE54" s="13">
        <v>0</v>
      </c>
      <c r="AF54" s="13">
        <v>0</v>
      </c>
      <c r="AG54" s="13"/>
      <c r="AH54" s="13">
        <f>(1 - CUSTOS!$M$33)*23.9333</f>
        <v>14.359979999999998</v>
      </c>
      <c r="AI54" s="13">
        <f>(1 - CUSTOS!$M$33)*23.9333</f>
        <v>14.359979999999998</v>
      </c>
      <c r="AJ54" s="13">
        <f ca="1">$N$67*(1-CUSTOS!$M$33)</f>
        <v>0</v>
      </c>
      <c r="AK54" s="13">
        <f t="shared" ca="1" si="1"/>
        <v>0</v>
      </c>
      <c r="AL54" s="13"/>
      <c r="AM54" s="13"/>
      <c r="AP54" s="13">
        <f>IF((1 - CUSTOS!$M$33)&lt;&gt;0,1/(1 - CUSTOS!$M$33),1)</f>
        <v>1.6666666666666667</v>
      </c>
    </row>
    <row r="56" spans="1:42" ht="11.25" customHeight="1" x14ac:dyDescent="0.25">
      <c r="K56" s="16" t="s">
        <v>568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42" ht="11.25" customHeight="1" x14ac:dyDescent="0.25">
      <c r="K57" s="16" t="s">
        <v>569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42" ht="11.25" customHeight="1" x14ac:dyDescent="0.25">
      <c r="K58" s="16" t="s">
        <v>570</v>
      </c>
      <c r="L58" s="13">
        <f>IF(ISERROR(+SUMPRODUCT($L$5:$L$8,$I$5:$I$8)+SUMPRODUCT($L$9:$L$11,$I$9:$I$11)+SUMPRODUCT($L$12:$L$12,$I$12:$I$12)+SUMPRODUCT($L$13:$L$17,$I$13:$I$17)+SUMPRODUCT($L$18:$L$19,$I$18:$I$19)+SUMPRODUCT($L$20:$L$22,$I$20:$I$22)+SUMPRODUCT($L$23:$L$27,$I$23:$I$27)+SUMPRODUCT($L$28:$L$32,$I$28:$I$32)+SUMPRODUCT($L$33:$L$35,$I$33:$I$35)+SUMPRODUCT($L$36:$L$36,$I$36:$I$36)+SUMPRODUCT($L$37:$L$39,$I$37:$I$39)+SUMPRODUCT($L$40:$L$40,$I$40:$I$40)+SUMPRODUCT($L$41:$L$43,$I$41:$I$43)+SUMPRODUCT($L$44:$L$44,$I$44:$I$44)+SUMPRODUCT($L$45:$L$47,$I$45:$I$47)+SUMPRODUCT($L$48:$L$50,$I$48:$I$50)+SUMPRODUCT($L$51:$L$51,$I$51:$I$51)+SUMPRODUCT($L$52:$L$52,$I$52:$I$52)+SUMPRODUCT($L$53:$L$54,$I$53:$I$54)),0,+SUMPRODUCT($L$5:$L$8,$I$5:$I$8)+SUMPRODUCT($L$9:$L$11,$I$9:$I$11)+SUMPRODUCT($L$12:$L$12,$I$12:$I$12)+SUMPRODUCT($L$13:$L$17,$I$13:$I$17)+SUMPRODUCT($L$18:$L$19,$I$18:$I$19)+SUMPRODUCT($L$20:$L$22,$I$20:$I$22)+SUMPRODUCT($L$23:$L$27,$I$23:$I$27)+SUMPRODUCT($L$28:$L$32,$I$28:$I$32)+SUMPRODUCT($L$33:$L$35,$I$33:$I$35)+SUMPRODUCT($L$36:$L$36,$I$36:$I$36)+SUMPRODUCT($L$37:$L$39,$I$37:$I$39)+SUMPRODUCT($L$40:$L$40,$I$40:$I$40)+SUMPRODUCT($L$41:$L$43,$I$41:$I$43)+SUMPRODUCT($L$44:$L$44,$I$44:$I$44)+SUMPRODUCT($L$45:$L$47,$I$45:$I$47)+SUMPRODUCT($L$48:$L$50,$I$48:$I$50)+SUMPRODUCT($L$51:$L$51,$I$51:$I$51)+SUMPRODUCT($L$52:$L$52,$I$52:$I$52)+SUMPRODUCT($L$53:$L$54,$I$53:$I$54))</f>
        <v>122856.69127999998</v>
      </c>
      <c r="M58" s="13">
        <f>IF(ISERROR(+SUMPRODUCT($M$5:$M$8,$I$5:$I$8)+SUMPRODUCT($M$9:$M$11,$I$9:$I$11)+SUMPRODUCT($M$12:$M$12,$I$12:$I$12)+SUMPRODUCT($M$13:$M$17,$I$13:$I$17)+SUMPRODUCT($M$18:$M$19,$I$18:$I$19)+SUMPRODUCT($M$20:$M$22,$I$20:$I$22)+SUMPRODUCT($M$23:$M$27,$I$23:$I$27)+SUMPRODUCT($M$28:$M$32,$I$28:$I$32)+SUMPRODUCT($M$33:$M$35,$I$33:$I$35)+SUMPRODUCT($M$36:$M$36,$I$36:$I$36)+SUMPRODUCT($M$37:$M$39,$I$37:$I$39)+SUMPRODUCT($M$40:$M$40,$I$40:$I$40)+SUMPRODUCT($M$41:$M$43,$I$41:$I$43)+SUMPRODUCT($M$44:$M$44,$I$44:$I$44)+SUMPRODUCT($M$45:$M$47,$I$45:$I$47)+SUMPRODUCT($M$48:$M$50,$I$48:$I$50)+SUMPRODUCT($M$51:$M$51,$I$51:$I$51)+SUMPRODUCT($M$52:$M$52,$I$52:$I$52)+SUMPRODUCT($M$53:$M$54,$I$53:$I$54)),0,+SUMPRODUCT($M$5:$M$8,$I$5:$I$8)+SUMPRODUCT($M$9:$M$11,$I$9:$I$11)+SUMPRODUCT($M$12:$M$12,$I$12:$I$12)+SUMPRODUCT($M$13:$M$17,$I$13:$I$17)+SUMPRODUCT($M$18:$M$19,$I$18:$I$19)+SUMPRODUCT($M$20:$M$22,$I$20:$I$22)+SUMPRODUCT($M$23:$M$27,$I$23:$I$27)+SUMPRODUCT($M$28:$M$32,$I$28:$I$32)+SUMPRODUCT($M$33:$M$35,$I$33:$I$35)+SUMPRODUCT($M$36:$M$36,$I$36:$I$36)+SUMPRODUCT($M$37:$M$39,$I$37:$I$39)+SUMPRODUCT($M$40:$M$40,$I$40:$I$40)+SUMPRODUCT($M$41:$M$43,$I$41:$I$43)+SUMPRODUCT($M$44:$M$44,$I$44:$I$44)+SUMPRODUCT($M$45:$M$47,$I$45:$I$47)+SUMPRODUCT($M$48:$M$50,$I$48:$I$50)+SUMPRODUCT($M$51:$M$51,$I$51:$I$51)+SUMPRODUCT($M$52:$M$52,$I$52:$I$52)+SUMPRODUCT($M$53:$M$54,$I$53:$I$54))</f>
        <v>136628.66886443432</v>
      </c>
      <c r="N58" s="13">
        <f ca="1">IF(ISERROR(+SUMPRODUCT($N$5:$N$8,$I$5:$I$8)+SUMPRODUCT($N$9:$N$11,$I$9:$I$11)+SUMPRODUCT($N$12:$N$12,$I$12:$I$12)+SUMPRODUCT($N$13:$N$17,$I$13:$I$17)+SUMPRODUCT($N$18:$N$19,$I$18:$I$19)+SUMPRODUCT($N$20:$N$22,$I$20:$I$22)+SUMPRODUCT($N$23:$N$27,$I$23:$I$27)+SUMPRODUCT($N$28:$N$32,$I$28:$I$32)+SUMPRODUCT($N$33:$N$35,$I$33:$I$35)+SUMPRODUCT($N$36:$N$36,$I$36:$I$36)+SUMPRODUCT($N$37:$N$39,$I$37:$I$39)+SUMPRODUCT($N$40:$N$40,$I$40:$I$40)+SUMPRODUCT($N$41:$N$43,$I$41:$I$43)+SUMPRODUCT($N$44:$N$44,$I$44:$I$44)+SUMPRODUCT($N$45:$N$47,$I$45:$I$47)+SUMPRODUCT($N$48:$N$50,$I$48:$I$50)+SUMPRODUCT($N$51:$N$51,$I$51:$I$51)+SUMPRODUCT($N$52:$N$52,$I$52:$I$52)+SUMPRODUCT($N$53:$N$54,$I$53:$I$54)),0,+SUMPRODUCT($N$5:$N$8,$I$5:$I$8)+SUMPRODUCT($N$9:$N$11,$I$9:$I$11)+SUMPRODUCT($N$12:$N$12,$I$12:$I$12)+SUMPRODUCT($N$13:$N$17,$I$13:$I$17)+SUMPRODUCT($N$18:$N$19,$I$18:$I$19)+SUMPRODUCT($N$20:$N$22,$I$20:$I$22)+SUMPRODUCT($N$23:$N$27,$I$23:$I$27)+SUMPRODUCT($N$28:$N$32,$I$28:$I$32)+SUMPRODUCT($N$33:$N$35,$I$33:$I$35)+SUMPRODUCT($N$36:$N$36,$I$36:$I$36)+SUMPRODUCT($N$37:$N$39,$I$37:$I$39)+SUMPRODUCT($N$40:$N$40,$I$40:$I$40)+SUMPRODUCT($N$41:$N$43,$I$41:$I$43)+SUMPRODUCT($N$44:$N$44,$I$44:$I$44)+SUMPRODUCT($N$45:$N$47,$I$45:$I$47)+SUMPRODUCT($N$48:$N$50,$I$48:$I$50)+SUMPRODUCT($N$51:$N$51,$I$51:$I$51)+SUMPRODUCT($N$52:$N$52,$I$52:$I$52)+SUMPRODUCT($N$53:$N$54,$I$53:$I$54))</f>
        <v>3.537865155859783E-7</v>
      </c>
      <c r="O58" s="13">
        <f>IF(ISERROR(+SUMPRODUCT($O$5:$O$8,$I$5:$I$8)+SUMPRODUCT($O$9:$O$11,$I$9:$I$11)+SUMPRODUCT($O$12:$O$12,$I$12:$I$12)+SUMPRODUCT($O$13:$O$17,$I$13:$I$17)+SUMPRODUCT($O$18:$O$19,$I$18:$I$19)+SUMPRODUCT($O$20:$O$22,$I$20:$I$22)+SUMPRODUCT($O$23:$O$27,$I$23:$I$27)+SUMPRODUCT($O$28:$O$32,$I$28:$I$32)+SUMPRODUCT($O$33:$O$35,$I$33:$I$35)+SUMPRODUCT($O$36:$O$36,$I$36:$I$36)+SUMPRODUCT($O$37:$O$39,$I$37:$I$39)+SUMPRODUCT($O$40:$O$40,$I$40:$I$40)+SUMPRODUCT($O$41:$O$43,$I$41:$I$43)+SUMPRODUCT($O$44:$O$44,$I$44:$I$44)+SUMPRODUCT($O$45:$O$47,$I$45:$I$47)+SUMPRODUCT($O$48:$O$50,$I$48:$I$50)+SUMPRODUCT($O$51:$O$51,$I$51:$I$51)+SUMPRODUCT($O$52:$O$52,$I$52:$I$52)+SUMPRODUCT($O$53:$O$54,$I$53:$I$54)),0,+SUMPRODUCT($O$5:$O$8,$I$5:$I$8)+SUMPRODUCT($O$9:$O$11,$I$9:$I$11)+SUMPRODUCT($O$12:$O$12,$I$12:$I$12)+SUMPRODUCT($O$13:$O$17,$I$13:$I$17)+SUMPRODUCT($O$18:$O$19,$I$18:$I$19)+SUMPRODUCT($O$20:$O$22,$I$20:$I$22)+SUMPRODUCT($O$23:$O$27,$I$23:$I$27)+SUMPRODUCT($O$28:$O$32,$I$28:$I$32)+SUMPRODUCT($O$33:$O$35,$I$33:$I$35)+SUMPRODUCT($O$36:$O$36,$I$36:$I$36)+SUMPRODUCT($O$37:$O$39,$I$37:$I$39)+SUMPRODUCT($O$40:$O$40,$I$40:$I$40)+SUMPRODUCT($O$41:$O$43,$I$41:$I$43)+SUMPRODUCT($O$44:$O$44,$I$44:$I$44)+SUMPRODUCT($O$45:$O$47,$I$45:$I$47)+SUMPRODUCT($O$48:$O$50,$I$48:$I$50)+SUMPRODUCT($O$51:$O$51,$I$51:$I$51)+SUMPRODUCT($O$52:$O$52,$I$52:$I$52)+SUMPRODUCT($O$53:$O$54,$I$53:$I$54))</f>
        <v>131694.6838</v>
      </c>
      <c r="P58" s="13">
        <f>IF(ISERROR(+SUMPRODUCT($P$5:$P$8,$I$5:$I$8)+SUMPRODUCT($P$9:$P$11,$I$9:$I$11)+SUMPRODUCT($P$12:$P$12,$I$12:$I$12)+SUMPRODUCT($P$13:$P$17,$I$13:$I$17)+SUMPRODUCT($P$18:$P$19,$I$18:$I$19)+SUMPRODUCT($P$20:$P$22,$I$20:$I$22)+SUMPRODUCT($P$23:$P$27,$I$23:$I$27)+SUMPRODUCT($P$28:$P$32,$I$28:$I$32)+SUMPRODUCT($P$33:$P$35,$I$33:$I$35)+SUMPRODUCT($P$36:$P$36,$I$36:$I$36)+SUMPRODUCT($P$37:$P$39,$I$37:$I$39)+SUMPRODUCT($P$40:$P$40,$I$40:$I$40)+SUMPRODUCT($P$41:$P$43,$I$41:$I$43)+SUMPRODUCT($P$44:$P$44,$I$44:$I$44)+SUMPRODUCT($P$45:$P$47,$I$45:$I$47)+SUMPRODUCT($P$48:$P$50,$I$48:$I$50)+SUMPRODUCT($P$51:$P$51,$I$51:$I$51)+SUMPRODUCT($P$52:$P$52,$I$52:$I$52)+SUMPRODUCT($P$53:$P$54,$I$53:$I$54)),0,+SUMPRODUCT($P$5:$P$8,$I$5:$I$8)+SUMPRODUCT($P$9:$P$11,$I$9:$I$11)+SUMPRODUCT($P$12:$P$12,$I$12:$I$12)+SUMPRODUCT($P$13:$P$17,$I$13:$I$17)+SUMPRODUCT($P$18:$P$19,$I$18:$I$19)+SUMPRODUCT($P$20:$P$22,$I$20:$I$22)+SUMPRODUCT($P$23:$P$27,$I$23:$I$27)+SUMPRODUCT($P$28:$P$32,$I$28:$I$32)+SUMPRODUCT($P$33:$P$35,$I$33:$I$35)+SUMPRODUCT($P$36:$P$36,$I$36:$I$36)+SUMPRODUCT($P$37:$P$39,$I$37:$I$39)+SUMPRODUCT($P$40:$P$40,$I$40:$I$40)+SUMPRODUCT($P$41:$P$43,$I$41:$I$43)+SUMPRODUCT($P$44:$P$44,$I$44:$I$44)+SUMPRODUCT($P$45:$P$47,$I$45:$I$47)+SUMPRODUCT($P$48:$P$50,$I$48:$I$50)+SUMPRODUCT($P$51:$P$51,$I$51:$I$51)+SUMPRODUCT($P$52:$P$52,$I$52:$I$52)+SUMPRODUCT($P$53:$P$54,$I$53:$I$54))</f>
        <v>130288.9948</v>
      </c>
      <c r="Q58" s="13">
        <f>IF(ISERROR(+SUMPRODUCT($Q$5:$Q$8,$I$5:$I$8)+SUMPRODUCT($Q$9:$Q$11,$I$9:$I$11)+SUMPRODUCT($Q$12:$Q$12,$I$12:$I$12)+SUMPRODUCT($Q$13:$Q$17,$I$13:$I$17)+SUMPRODUCT($Q$18:$Q$19,$I$18:$I$19)+SUMPRODUCT($Q$20:$Q$22,$I$20:$I$22)+SUMPRODUCT($Q$23:$Q$27,$I$23:$I$27)+SUMPRODUCT($Q$28:$Q$32,$I$28:$I$32)+SUMPRODUCT($Q$33:$Q$35,$I$33:$I$35)+SUMPRODUCT($Q$36:$Q$36,$I$36:$I$36)+SUMPRODUCT($Q$37:$Q$39,$I$37:$I$39)+SUMPRODUCT($Q$40:$Q$40,$I$40:$I$40)+SUMPRODUCT($Q$41:$Q$43,$I$41:$I$43)+SUMPRODUCT($Q$44:$Q$44,$I$44:$I$44)+SUMPRODUCT($Q$45:$Q$47,$I$45:$I$47)+SUMPRODUCT($Q$48:$Q$50,$I$48:$I$50)+SUMPRODUCT($Q$51:$Q$51,$I$51:$I$51)+SUMPRODUCT($Q$52:$Q$52,$I$52:$I$52)+SUMPRODUCT($Q$53:$Q$54,$I$53:$I$54)),0,+SUMPRODUCT($Q$5:$Q$8,$I$5:$I$8)+SUMPRODUCT($Q$9:$Q$11,$I$9:$I$11)+SUMPRODUCT($Q$12:$Q$12,$I$12:$I$12)+SUMPRODUCT($Q$13:$Q$17,$I$13:$I$17)+SUMPRODUCT($Q$18:$Q$19,$I$18:$I$19)+SUMPRODUCT($Q$20:$Q$22,$I$20:$I$22)+SUMPRODUCT($Q$23:$Q$27,$I$23:$I$27)+SUMPRODUCT($Q$28:$Q$32,$I$28:$I$32)+SUMPRODUCT($Q$33:$Q$35,$I$33:$I$35)+SUMPRODUCT($Q$36:$Q$36,$I$36:$I$36)+SUMPRODUCT($Q$37:$Q$39,$I$37:$I$39)+SUMPRODUCT($Q$40:$Q$40,$I$40:$I$40)+SUMPRODUCT($Q$41:$Q$43,$I$41:$I$43)+SUMPRODUCT($Q$44:$Q$44,$I$44:$I$44)+SUMPRODUCT($Q$45:$Q$47,$I$45:$I$47)+SUMPRODUCT($Q$48:$Q$50,$I$48:$I$50)+SUMPRODUCT($Q$51:$Q$51,$I$51:$I$51)+SUMPRODUCT($Q$52:$Q$52,$I$52:$I$52)+SUMPRODUCT($Q$53:$Q$54,$I$53:$I$54))</f>
        <v>122856.69127999998</v>
      </c>
      <c r="R58" s="13">
        <f>IF(ISERROR(+SUMPRODUCT($R$5:$R$8,$I$5:$I$8)+SUMPRODUCT($R$9:$R$11,$I$9:$I$11)+SUMPRODUCT($R$12:$R$12,$I$12:$I$12)+SUMPRODUCT($R$13:$R$17,$I$13:$I$17)+SUMPRODUCT($R$18:$R$19,$I$18:$I$19)+SUMPRODUCT($R$20:$R$22,$I$20:$I$22)+SUMPRODUCT($R$23:$R$27,$I$23:$I$27)+SUMPRODUCT($R$28:$R$32,$I$28:$I$32)+SUMPRODUCT($R$33:$R$35,$I$33:$I$35)+SUMPRODUCT($R$36:$R$36,$I$36:$I$36)+SUMPRODUCT($R$37:$R$39,$I$37:$I$39)+SUMPRODUCT($R$40:$R$40,$I$40:$I$40)+SUMPRODUCT($R$41:$R$43,$I$41:$I$43)+SUMPRODUCT($R$44:$R$44,$I$44:$I$44)+SUMPRODUCT($R$45:$R$47,$I$45:$I$47)+SUMPRODUCT($R$48:$R$50,$I$48:$I$50)+SUMPRODUCT($R$51:$R$51,$I$51:$I$51)+SUMPRODUCT($R$52:$R$52,$I$52:$I$52)+SUMPRODUCT($R$53:$R$54,$I$53:$I$54)),0,+SUMPRODUCT($R$5:$R$8,$I$5:$I$8)+SUMPRODUCT($R$9:$R$11,$I$9:$I$11)+SUMPRODUCT($R$12:$R$12,$I$12:$I$12)+SUMPRODUCT($R$13:$R$17,$I$13:$I$17)+SUMPRODUCT($R$18:$R$19,$I$18:$I$19)+SUMPRODUCT($R$20:$R$22,$I$20:$I$22)+SUMPRODUCT($R$23:$R$27,$I$23:$I$27)+SUMPRODUCT($R$28:$R$32,$I$28:$I$32)+SUMPRODUCT($R$33:$R$35,$I$33:$I$35)+SUMPRODUCT($R$36:$R$36,$I$36:$I$36)+SUMPRODUCT($R$37:$R$39,$I$37:$I$39)+SUMPRODUCT($R$40:$R$40,$I$40:$I$40)+SUMPRODUCT($R$41:$R$43,$I$41:$I$43)+SUMPRODUCT($R$44:$R$44,$I$44:$I$44)+SUMPRODUCT($R$45:$R$47,$I$45:$I$47)+SUMPRODUCT($R$48:$R$50,$I$48:$I$50)+SUMPRODUCT($R$51:$R$51,$I$51:$I$51)+SUMPRODUCT($R$52:$R$52,$I$52:$I$52)+SUMPRODUCT($R$53:$R$54,$I$53:$I$54))</f>
        <v>130288.9948</v>
      </c>
      <c r="S58" s="13">
        <f>IF(ISERROR(+SUMPRODUCT($S$5:$S$8,$I$5:$I$8)+SUMPRODUCT($S$9:$S$11,$I$9:$I$11)+SUMPRODUCT($S$12:$S$12,$I$12:$I$12)+SUMPRODUCT($S$13:$S$17,$I$13:$I$17)+SUMPRODUCT($S$18:$S$19,$I$18:$I$19)+SUMPRODUCT($S$20:$S$22,$I$20:$I$22)+SUMPRODUCT($S$23:$S$27,$I$23:$I$27)+SUMPRODUCT($S$28:$S$32,$I$28:$I$32)+SUMPRODUCT($S$33:$S$35,$I$33:$I$35)+SUMPRODUCT($S$36:$S$36,$I$36:$I$36)+SUMPRODUCT($S$37:$S$39,$I$37:$I$39)+SUMPRODUCT($S$40:$S$40,$I$40:$I$40)+SUMPRODUCT($S$41:$S$43,$I$41:$I$43)+SUMPRODUCT($S$44:$S$44,$I$44:$I$44)+SUMPRODUCT($S$45:$S$47,$I$45:$I$47)+SUMPRODUCT($S$48:$S$50,$I$48:$I$50)+SUMPRODUCT($S$51:$S$51,$I$51:$I$51)+SUMPRODUCT($S$52:$S$52,$I$52:$I$52)+SUMPRODUCT($S$53:$S$54,$I$53:$I$54)),0,+SUMPRODUCT($S$5:$S$8,$I$5:$I$8)+SUMPRODUCT($S$9:$S$11,$I$9:$I$11)+SUMPRODUCT($S$12:$S$12,$I$12:$I$12)+SUMPRODUCT($S$13:$S$17,$I$13:$I$17)+SUMPRODUCT($S$18:$S$19,$I$18:$I$19)+SUMPRODUCT($S$20:$S$22,$I$20:$I$22)+SUMPRODUCT($S$23:$S$27,$I$23:$I$27)+SUMPRODUCT($S$28:$S$32,$I$28:$I$32)+SUMPRODUCT($S$33:$S$35,$I$33:$I$35)+SUMPRODUCT($S$36:$S$36,$I$36:$I$36)+SUMPRODUCT($S$37:$S$39,$I$37:$I$39)+SUMPRODUCT($S$40:$S$40,$I$40:$I$40)+SUMPRODUCT($S$41:$S$43,$I$41:$I$43)+SUMPRODUCT($S$44:$S$44,$I$44:$I$44)+SUMPRODUCT($S$45:$S$47,$I$45:$I$47)+SUMPRODUCT($S$48:$S$50,$I$48:$I$50)+SUMPRODUCT($S$51:$S$51,$I$51:$I$51)+SUMPRODUCT($S$52:$S$52,$I$52:$I$52)+SUMPRODUCT($S$53:$S$54,$I$53:$I$54))</f>
        <v>131628.3358</v>
      </c>
      <c r="T58" s="13"/>
      <c r="U58" s="13">
        <f>IF(ISERROR(+SUMPRODUCT($U$5:$U$8,$I$5:$I$8)+SUMPRODUCT($U$9:$U$11,$I$9:$I$11)+SUMPRODUCT($U$12:$U$12,$I$12:$I$12)+SUMPRODUCT($U$13:$U$17,$I$13:$I$17)+SUMPRODUCT($U$18:$U$19,$I$18:$I$19)+SUMPRODUCT($U$20:$U$22,$I$20:$I$22)+SUMPRODUCT($U$23:$U$27,$I$23:$I$27)+SUMPRODUCT($U$28:$U$32,$I$28:$I$32)+SUMPRODUCT($U$33:$U$35,$I$33:$I$35)+SUMPRODUCT($U$36:$U$36,$I$36:$I$36)+SUMPRODUCT($U$37:$U$39,$I$37:$I$39)+SUMPRODUCT($U$40:$U$40,$I$40:$I$40)+SUMPRODUCT($U$41:$U$43,$I$41:$I$43)+SUMPRODUCT($U$44:$U$44,$I$44:$I$44)+SUMPRODUCT($U$45:$U$47,$I$45:$I$47)+SUMPRODUCT($U$48:$U$50,$I$48:$I$50)+SUMPRODUCT($U$51:$U$51,$I$51:$I$51)+SUMPRODUCT($U$52:$U$52,$I$52:$I$52)+SUMPRODUCT($U$53:$U$54,$I$53:$I$54)),0,+SUMPRODUCT($U$5:$U$8,$I$5:$I$8)+SUMPRODUCT($U$9:$U$11,$I$9:$I$11)+SUMPRODUCT($U$12:$U$12,$I$12:$I$12)+SUMPRODUCT($U$13:$U$17,$I$13:$I$17)+SUMPRODUCT($U$18:$U$19,$I$18:$I$19)+SUMPRODUCT($U$20:$U$22,$I$20:$I$22)+SUMPRODUCT($U$23:$U$27,$I$23:$I$27)+SUMPRODUCT($U$28:$U$32,$I$28:$I$32)+SUMPRODUCT($U$33:$U$35,$I$33:$I$35)+SUMPRODUCT($U$36:$U$36,$I$36:$I$36)+SUMPRODUCT($U$37:$U$39,$I$37:$I$39)+SUMPRODUCT($U$40:$U$40,$I$40:$I$40)+SUMPRODUCT($U$41:$U$43,$I$41:$I$43)+SUMPRODUCT($U$44:$U$44,$I$44:$I$44)+SUMPRODUCT($U$45:$U$47,$I$45:$I$47)+SUMPRODUCT($U$48:$U$50,$I$48:$I$50)+SUMPRODUCT($U$51:$U$51,$I$51:$I$51)+SUMPRODUCT($U$52:$U$52,$I$52:$I$52)+SUMPRODUCT($U$53:$U$54,$I$53:$I$54))</f>
        <v>0</v>
      </c>
      <c r="V58" s="13">
        <f>IF(ISERROR(+SUMPRODUCT($V$5:$V$8,$I$5:$I$8)+SUMPRODUCT($V$9:$V$11,$I$9:$I$11)+SUMPRODUCT($V$12:$V$12,$I$12:$I$12)+SUMPRODUCT($V$13:$V$17,$I$13:$I$17)+SUMPRODUCT($V$18:$V$19,$I$18:$I$19)+SUMPRODUCT($V$20:$V$22,$I$20:$I$22)+SUMPRODUCT($V$23:$V$27,$I$23:$I$27)+SUMPRODUCT($V$28:$V$32,$I$28:$I$32)+SUMPRODUCT($V$33:$V$35,$I$33:$I$35)+SUMPRODUCT($V$36:$V$36,$I$36:$I$36)+SUMPRODUCT($V$37:$V$39,$I$37:$I$39)+SUMPRODUCT($V$40:$V$40,$I$40:$I$40)+SUMPRODUCT($V$41:$V$43,$I$41:$I$43)+SUMPRODUCT($V$44:$V$44,$I$44:$I$44)+SUMPRODUCT($V$45:$V$47,$I$45:$I$47)+SUMPRODUCT($V$48:$V$50,$I$48:$I$50)+SUMPRODUCT($V$51:$V$51,$I$51:$I$51)+SUMPRODUCT($V$52:$V$52,$I$52:$I$52)+SUMPRODUCT($V$53:$V$54,$I$53:$I$54)),0,+SUMPRODUCT($V$5:$V$8,$I$5:$I$8)+SUMPRODUCT($V$9:$V$11,$I$9:$I$11)+SUMPRODUCT($V$12:$V$12,$I$12:$I$12)+SUMPRODUCT($V$13:$V$17,$I$13:$I$17)+SUMPRODUCT($V$18:$V$19,$I$18:$I$19)+SUMPRODUCT($V$20:$V$22,$I$20:$I$22)+SUMPRODUCT($V$23:$V$27,$I$23:$I$27)+SUMPRODUCT($V$28:$V$32,$I$28:$I$32)+SUMPRODUCT($V$33:$V$35,$I$33:$I$35)+SUMPRODUCT($V$36:$V$36,$I$36:$I$36)+SUMPRODUCT($V$37:$V$39,$I$37:$I$39)+SUMPRODUCT($V$40:$V$40,$I$40:$I$40)+SUMPRODUCT($V$41:$V$43,$I$41:$I$43)+SUMPRODUCT($V$44:$V$44,$I$44:$I$44)+SUMPRODUCT($V$45:$V$47,$I$45:$I$47)+SUMPRODUCT($V$48:$V$50,$I$48:$I$50)+SUMPRODUCT($V$51:$V$51,$I$51:$I$51)+SUMPRODUCT($V$52:$V$52,$I$52:$I$52)+SUMPRODUCT($V$53:$V$54,$I$53:$I$54))</f>
        <v>0</v>
      </c>
      <c r="W58" s="13">
        <f>IF(ISERROR(+SUMPRODUCT($W$5:$W$8,$I$5:$I$8)+SUMPRODUCT($W$9:$W$11,$I$9:$I$11)+SUMPRODUCT($W$12:$W$12,$I$12:$I$12)+SUMPRODUCT($W$13:$W$17,$I$13:$I$17)+SUMPRODUCT($W$18:$W$19,$I$18:$I$19)+SUMPRODUCT($W$20:$W$22,$I$20:$I$22)+SUMPRODUCT($W$23:$W$27,$I$23:$I$27)+SUMPRODUCT($W$28:$W$32,$I$28:$I$32)+SUMPRODUCT($W$33:$W$35,$I$33:$I$35)+SUMPRODUCT($W$36:$W$36,$I$36:$I$36)+SUMPRODUCT($W$37:$W$39,$I$37:$I$39)+SUMPRODUCT($W$40:$W$40,$I$40:$I$40)+SUMPRODUCT($W$41:$W$43,$I$41:$I$43)+SUMPRODUCT($W$44:$W$44,$I$44:$I$44)+SUMPRODUCT($W$45:$W$47,$I$45:$I$47)+SUMPRODUCT($W$48:$W$50,$I$48:$I$50)+SUMPRODUCT($W$51:$W$51,$I$51:$I$51)+SUMPRODUCT($W$52:$W$52,$I$52:$I$52)+SUMPRODUCT($W$53:$W$54,$I$53:$I$54)),0,+SUMPRODUCT($W$5:$W$8,$I$5:$I$8)+SUMPRODUCT($W$9:$W$11,$I$9:$I$11)+SUMPRODUCT($W$12:$W$12,$I$12:$I$12)+SUMPRODUCT($W$13:$W$17,$I$13:$I$17)+SUMPRODUCT($W$18:$W$19,$I$18:$I$19)+SUMPRODUCT($W$20:$W$22,$I$20:$I$22)+SUMPRODUCT($W$23:$W$27,$I$23:$I$27)+SUMPRODUCT($W$28:$W$32,$I$28:$I$32)+SUMPRODUCT($W$33:$W$35,$I$33:$I$35)+SUMPRODUCT($W$36:$W$36,$I$36:$I$36)+SUMPRODUCT($W$37:$W$39,$I$37:$I$39)+SUMPRODUCT($W$40:$W$40,$I$40:$I$40)+SUMPRODUCT($W$41:$W$43,$I$41:$I$43)+SUMPRODUCT($W$44:$W$44,$I$44:$I$44)+SUMPRODUCT($W$45:$W$47,$I$45:$I$47)+SUMPRODUCT($W$48:$W$50,$I$48:$I$50)+SUMPRODUCT($W$51:$W$51,$I$51:$I$51)+SUMPRODUCT($W$52:$W$52,$I$52:$I$52)+SUMPRODUCT($W$53:$W$54,$I$53:$I$54))</f>
        <v>0</v>
      </c>
      <c r="X58" s="13">
        <f>IF(ISERROR(+SUMPRODUCT($X$5:$X$8,$I$5:$I$8)+SUMPRODUCT($X$9:$X$11,$I$9:$I$11)+SUMPRODUCT($X$12:$X$12,$I$12:$I$12)+SUMPRODUCT($X$13:$X$17,$I$13:$I$17)+SUMPRODUCT($X$18:$X$19,$I$18:$I$19)+SUMPRODUCT($X$20:$X$22,$I$20:$I$22)+SUMPRODUCT($X$23:$X$27,$I$23:$I$27)+SUMPRODUCT($X$28:$X$32,$I$28:$I$32)+SUMPRODUCT($X$33:$X$35,$I$33:$I$35)+SUMPRODUCT($X$36:$X$36,$I$36:$I$36)+SUMPRODUCT($X$37:$X$39,$I$37:$I$39)+SUMPRODUCT($X$40:$X$40,$I$40:$I$40)+SUMPRODUCT($X$41:$X$43,$I$41:$I$43)+SUMPRODUCT($X$44:$X$44,$I$44:$I$44)+SUMPRODUCT($X$45:$X$47,$I$45:$I$47)+SUMPRODUCT($X$48:$X$50,$I$48:$I$50)+SUMPRODUCT($X$51:$X$51,$I$51:$I$51)+SUMPRODUCT($X$52:$X$52,$I$52:$I$52)+SUMPRODUCT($X$53:$X$54,$I$53:$I$54)),0,+SUMPRODUCT($X$5:$X$8,$I$5:$I$8)+SUMPRODUCT($X$9:$X$11,$I$9:$I$11)+SUMPRODUCT($X$12:$X$12,$I$12:$I$12)+SUMPRODUCT($X$13:$X$17,$I$13:$I$17)+SUMPRODUCT($X$18:$X$19,$I$18:$I$19)+SUMPRODUCT($X$20:$X$22,$I$20:$I$22)+SUMPRODUCT($X$23:$X$27,$I$23:$I$27)+SUMPRODUCT($X$28:$X$32,$I$28:$I$32)+SUMPRODUCT($X$33:$X$35,$I$33:$I$35)+SUMPRODUCT($X$36:$X$36,$I$36:$I$36)+SUMPRODUCT($X$37:$X$39,$I$37:$I$39)+SUMPRODUCT($X$40:$X$40,$I$40:$I$40)+SUMPRODUCT($X$41:$X$43,$I$41:$I$43)+SUMPRODUCT($X$44:$X$44,$I$44:$I$44)+SUMPRODUCT($X$45:$X$47,$I$45:$I$47)+SUMPRODUCT($X$48:$X$50,$I$48:$I$50)+SUMPRODUCT($X$51:$X$51,$I$51:$I$51)+SUMPRODUCT($X$52:$X$52,$I$52:$I$52)+SUMPRODUCT($X$53:$X$54,$I$53:$I$54))</f>
        <v>0</v>
      </c>
      <c r="Y58" s="13">
        <f>IF(ISERROR(+SUMPRODUCT($Y$5:$Y$8,$I$5:$I$8)+SUMPRODUCT($Y$9:$Y$11,$I$9:$I$11)+SUMPRODUCT($Y$12:$Y$12,$I$12:$I$12)+SUMPRODUCT($Y$13:$Y$17,$I$13:$I$17)+SUMPRODUCT($Y$18:$Y$19,$I$18:$I$19)+SUMPRODUCT($Y$20:$Y$22,$I$20:$I$22)+SUMPRODUCT($Y$23:$Y$27,$I$23:$I$27)+SUMPRODUCT($Y$28:$Y$32,$I$28:$I$32)+SUMPRODUCT($Y$33:$Y$35,$I$33:$I$35)+SUMPRODUCT($Y$36:$Y$36,$I$36:$I$36)+SUMPRODUCT($Y$37:$Y$39,$I$37:$I$39)+SUMPRODUCT($Y$40:$Y$40,$I$40:$I$40)+SUMPRODUCT($Y$41:$Y$43,$I$41:$I$43)+SUMPRODUCT($Y$44:$Y$44,$I$44:$I$44)+SUMPRODUCT($Y$45:$Y$47,$I$45:$I$47)+SUMPRODUCT($Y$48:$Y$50,$I$48:$I$50)+SUMPRODUCT($Y$51:$Y$51,$I$51:$I$51)+SUMPRODUCT($Y$52:$Y$52,$I$52:$I$52)+SUMPRODUCT($Y$53:$Y$54,$I$53:$I$54)),0,+SUMPRODUCT($Y$5:$Y$8,$I$5:$I$8)+SUMPRODUCT($Y$9:$Y$11,$I$9:$I$11)+SUMPRODUCT($Y$12:$Y$12,$I$12:$I$12)+SUMPRODUCT($Y$13:$Y$17,$I$13:$I$17)+SUMPRODUCT($Y$18:$Y$19,$I$18:$I$19)+SUMPRODUCT($Y$20:$Y$22,$I$20:$I$22)+SUMPRODUCT($Y$23:$Y$27,$I$23:$I$27)+SUMPRODUCT($Y$28:$Y$32,$I$28:$I$32)+SUMPRODUCT($Y$33:$Y$35,$I$33:$I$35)+SUMPRODUCT($Y$36:$Y$36,$I$36:$I$36)+SUMPRODUCT($Y$37:$Y$39,$I$37:$I$39)+SUMPRODUCT($Y$40:$Y$40,$I$40:$I$40)+SUMPRODUCT($Y$41:$Y$43,$I$41:$I$43)+SUMPRODUCT($Y$44:$Y$44,$I$44:$I$44)+SUMPRODUCT($Y$45:$Y$47,$I$45:$I$47)+SUMPRODUCT($Y$48:$Y$50,$I$48:$I$50)+SUMPRODUCT($Y$51:$Y$51,$I$51:$I$51)+SUMPRODUCT($Y$52:$Y$52,$I$52:$I$52)+SUMPRODUCT($Y$53:$Y$54,$I$53:$I$54))</f>
        <v>8855524.0642712023</v>
      </c>
      <c r="Z58" s="13">
        <f>IF(ISERROR(+SUMPRODUCT($Z$5:$Z$8,$I$5:$I$8)+SUMPRODUCT($Z$9:$Z$11,$I$9:$I$11)+SUMPRODUCT($Z$12:$Z$12,$I$12:$I$12)+SUMPRODUCT($Z$13:$Z$17,$I$13:$I$17)+SUMPRODUCT($Z$18:$Z$19,$I$18:$I$19)+SUMPRODUCT($Z$20:$Z$22,$I$20:$I$22)+SUMPRODUCT($Z$23:$Z$27,$I$23:$I$27)+SUMPRODUCT($Z$28:$Z$32,$I$28:$I$32)+SUMPRODUCT($Z$33:$Z$35,$I$33:$I$35)+SUMPRODUCT($Z$36:$Z$36,$I$36:$I$36)+SUMPRODUCT($Z$37:$Z$39,$I$37:$I$39)+SUMPRODUCT($Z$40:$Z$40,$I$40:$I$40)+SUMPRODUCT($Z$41:$Z$43,$I$41:$I$43)+SUMPRODUCT($Z$44:$Z$44,$I$44:$I$44)+SUMPRODUCT($Z$45:$Z$47,$I$45:$I$47)+SUMPRODUCT($Z$48:$Z$50,$I$48:$I$50)+SUMPRODUCT($Z$51:$Z$51,$I$51:$I$51)+SUMPRODUCT($Z$52:$Z$52,$I$52:$I$52)+SUMPRODUCT($Z$53:$Z$54,$I$53:$I$54)),0,+SUMPRODUCT($Z$5:$Z$8,$I$5:$I$8)+SUMPRODUCT($Z$9:$Z$11,$I$9:$I$11)+SUMPRODUCT($Z$12:$Z$12,$I$12:$I$12)+SUMPRODUCT($Z$13:$Z$17,$I$13:$I$17)+SUMPRODUCT($Z$18:$Z$19,$I$18:$I$19)+SUMPRODUCT($Z$20:$Z$22,$I$20:$I$22)+SUMPRODUCT($Z$23:$Z$27,$I$23:$I$27)+SUMPRODUCT($Z$28:$Z$32,$I$28:$I$32)+SUMPRODUCT($Z$33:$Z$35,$I$33:$I$35)+SUMPRODUCT($Z$36:$Z$36,$I$36:$I$36)+SUMPRODUCT($Z$37:$Z$39,$I$37:$I$39)+SUMPRODUCT($Z$40:$Z$40,$I$40:$I$40)+SUMPRODUCT($Z$41:$Z$43,$I$41:$I$43)+SUMPRODUCT($Z$44:$Z$44,$I$44:$I$44)+SUMPRODUCT($Z$45:$Z$47,$I$45:$I$47)+SUMPRODUCT($Z$48:$Z$50,$I$48:$I$50)+SUMPRODUCT($Z$51:$Z$51,$I$51:$I$51)+SUMPRODUCT($Z$52:$Z$52,$I$52:$I$52)+SUMPRODUCT($Z$53:$Z$54,$I$53:$I$54))</f>
        <v>0</v>
      </c>
      <c r="AA58" s="13">
        <f>IF(ISERROR(+SUMPRODUCT($AA$5:$AA$8,$I$5:$I$8)+SUMPRODUCT($AA$9:$AA$11,$I$9:$I$11)+SUMPRODUCT($AA$12:$AA$12,$I$12:$I$12)+SUMPRODUCT($AA$13:$AA$17,$I$13:$I$17)+SUMPRODUCT($AA$18:$AA$19,$I$18:$I$19)+SUMPRODUCT($AA$20:$AA$22,$I$20:$I$22)+SUMPRODUCT($AA$23:$AA$27,$I$23:$I$27)+SUMPRODUCT($AA$28:$AA$32,$I$28:$I$32)+SUMPRODUCT($AA$33:$AA$35,$I$33:$I$35)+SUMPRODUCT($AA$36:$AA$36,$I$36:$I$36)+SUMPRODUCT($AA$37:$AA$39,$I$37:$I$39)+SUMPRODUCT($AA$40:$AA$40,$I$40:$I$40)+SUMPRODUCT($AA$41:$AA$43,$I$41:$I$43)+SUMPRODUCT($AA$44:$AA$44,$I$44:$I$44)+SUMPRODUCT($AA$45:$AA$47,$I$45:$I$47)+SUMPRODUCT($AA$48:$AA$50,$I$48:$I$50)+SUMPRODUCT($AA$51:$AA$51,$I$51:$I$51)+SUMPRODUCT($AA$52:$AA$52,$I$52:$I$52)+SUMPRODUCT($AA$53:$AA$54,$I$53:$I$54)),0,+SUMPRODUCT($AA$5:$AA$8,$I$5:$I$8)+SUMPRODUCT($AA$9:$AA$11,$I$9:$I$11)+SUMPRODUCT($AA$12:$AA$12,$I$12:$I$12)+SUMPRODUCT($AA$13:$AA$17,$I$13:$I$17)+SUMPRODUCT($AA$18:$AA$19,$I$18:$I$19)+SUMPRODUCT($AA$20:$AA$22,$I$20:$I$22)+SUMPRODUCT($AA$23:$AA$27,$I$23:$I$27)+SUMPRODUCT($AA$28:$AA$32,$I$28:$I$32)+SUMPRODUCT($AA$33:$AA$35,$I$33:$I$35)+SUMPRODUCT($AA$36:$AA$36,$I$36:$I$36)+SUMPRODUCT($AA$37:$AA$39,$I$37:$I$39)+SUMPRODUCT($AA$40:$AA$40,$I$40:$I$40)+SUMPRODUCT($AA$41:$AA$43,$I$41:$I$43)+SUMPRODUCT($AA$44:$AA$44,$I$44:$I$44)+SUMPRODUCT($AA$45:$AA$47,$I$45:$I$47)+SUMPRODUCT($AA$48:$AA$50,$I$48:$I$50)+SUMPRODUCT($AA$51:$AA$51,$I$51:$I$51)+SUMPRODUCT($AA$52:$AA$52,$I$52:$I$52)+SUMPRODUCT($AA$53:$AA$54,$I$53:$I$54))</f>
        <v>0</v>
      </c>
      <c r="AB58" s="13"/>
      <c r="AC58" s="13">
        <f>IF(ISERROR(+SUMPRODUCT($AC$5:$AC$8,$I$5:$I$8)+SUMPRODUCT($AC$9:$AC$11,$I$9:$I$11)+SUMPRODUCT($AC$12:$AC$12,$I$12:$I$12)+SUMPRODUCT($AC$13:$AC$17,$I$13:$I$17)+SUMPRODUCT($AC$18:$AC$19,$I$18:$I$19)+SUMPRODUCT($AC$20:$AC$22,$I$20:$I$22)+SUMPRODUCT($AC$23:$AC$27,$I$23:$I$27)+SUMPRODUCT($AC$28:$AC$32,$I$28:$I$32)+SUMPRODUCT($AC$33:$AC$35,$I$33:$I$35)+SUMPRODUCT($AC$36:$AC$36,$I$36:$I$36)+SUMPRODUCT($AC$37:$AC$39,$I$37:$I$39)+SUMPRODUCT($AC$40:$AC$40,$I$40:$I$40)+SUMPRODUCT($AC$41:$AC$43,$I$41:$I$43)+SUMPRODUCT($AC$44:$AC$44,$I$44:$I$44)+SUMPRODUCT($AC$45:$AC$47,$I$45:$I$47)+SUMPRODUCT($AC$48:$AC$50,$I$48:$I$50)+SUMPRODUCT($AC$51:$AC$51,$I$51:$I$51)+SUMPRODUCT($AC$52:$AC$52,$I$52:$I$52)+SUMPRODUCT($AC$53:$AC$54,$I$53:$I$54)),0,+SUMPRODUCT($AC$5:$AC$8,$I$5:$I$8)+SUMPRODUCT($AC$9:$AC$11,$I$9:$I$11)+SUMPRODUCT($AC$12:$AC$12,$I$12:$I$12)+SUMPRODUCT($AC$13:$AC$17,$I$13:$I$17)+SUMPRODUCT($AC$18:$AC$19,$I$18:$I$19)+SUMPRODUCT($AC$20:$AC$22,$I$20:$I$22)+SUMPRODUCT($AC$23:$AC$27,$I$23:$I$27)+SUMPRODUCT($AC$28:$AC$32,$I$28:$I$32)+SUMPRODUCT($AC$33:$AC$35,$I$33:$I$35)+SUMPRODUCT($AC$36:$AC$36,$I$36:$I$36)+SUMPRODUCT($AC$37:$AC$39,$I$37:$I$39)+SUMPRODUCT($AC$40:$AC$40,$I$40:$I$40)+SUMPRODUCT($AC$41:$AC$43,$I$41:$I$43)+SUMPRODUCT($AC$44:$AC$44,$I$44:$I$44)+SUMPRODUCT($AC$45:$AC$47,$I$45:$I$47)+SUMPRODUCT($AC$48:$AC$50,$I$48:$I$50)+SUMPRODUCT($AC$51:$AC$51,$I$51:$I$51)+SUMPRODUCT($AC$52:$AC$52,$I$52:$I$52)+SUMPRODUCT($AC$53:$AC$54,$I$53:$I$54))</f>
        <v>28233910.429053333</v>
      </c>
      <c r="AD58" s="13"/>
      <c r="AE58" s="13">
        <f>IF(ISERROR(+SUMPRODUCT($AE$5:$AE$8,$I$5:$I$8)+SUMPRODUCT($AE$9:$AE$11,$I$9:$I$11)+SUMPRODUCT($AE$12:$AE$12,$I$12:$I$12)+SUMPRODUCT($AE$13:$AE$17,$I$13:$I$17)+SUMPRODUCT($AE$18:$AE$19,$I$18:$I$19)+SUMPRODUCT($AE$20:$AE$22,$I$20:$I$22)+SUMPRODUCT($AE$23:$AE$27,$I$23:$I$27)+SUMPRODUCT($AE$28:$AE$32,$I$28:$I$32)+SUMPRODUCT($AE$33:$AE$35,$I$33:$I$35)+SUMPRODUCT($AE$36:$AE$36,$I$36:$I$36)+SUMPRODUCT($AE$37:$AE$39,$I$37:$I$39)+SUMPRODUCT($AE$40:$AE$40,$I$40:$I$40)+SUMPRODUCT($AE$41:$AE$43,$I$41:$I$43)+SUMPRODUCT($AE$44:$AE$44,$I$44:$I$44)+SUMPRODUCT($AE$45:$AE$47,$I$45:$I$47)+SUMPRODUCT($AE$48:$AE$50,$I$48:$I$50)+SUMPRODUCT($AE$51:$AE$51,$I$51:$I$51)+SUMPRODUCT($AE$52:$AE$52,$I$52:$I$52)+SUMPRODUCT($AE$53:$AE$54,$I$53:$I$54)),0,+SUMPRODUCT($AE$5:$AE$8,$I$5:$I$8)+SUMPRODUCT($AE$9:$AE$11,$I$9:$I$11)+SUMPRODUCT($AE$12:$AE$12,$I$12:$I$12)+SUMPRODUCT($AE$13:$AE$17,$I$13:$I$17)+SUMPRODUCT($AE$18:$AE$19,$I$18:$I$19)+SUMPRODUCT($AE$20:$AE$22,$I$20:$I$22)+SUMPRODUCT($AE$23:$AE$27,$I$23:$I$27)+SUMPRODUCT($AE$28:$AE$32,$I$28:$I$32)+SUMPRODUCT($AE$33:$AE$35,$I$33:$I$35)+SUMPRODUCT($AE$36:$AE$36,$I$36:$I$36)+SUMPRODUCT($AE$37:$AE$39,$I$37:$I$39)+SUMPRODUCT($AE$40:$AE$40,$I$40:$I$40)+SUMPRODUCT($AE$41:$AE$43,$I$41:$I$43)+SUMPRODUCT($AE$44:$AE$44,$I$44:$I$44)+SUMPRODUCT($AE$45:$AE$47,$I$45:$I$47)+SUMPRODUCT($AE$48:$AE$50,$I$48:$I$50)+SUMPRODUCT($AE$51:$AE$51,$I$51:$I$51)+SUMPRODUCT($AE$52:$AE$52,$I$52:$I$52)+SUMPRODUCT($AE$53:$AE$54,$I$53:$I$54))</f>
        <v>0</v>
      </c>
      <c r="AF58" s="13">
        <f>IF(ISERROR(+SUMPRODUCT($AF$5:$AF$8,$I$5:$I$8)+SUMPRODUCT($AF$9:$AF$11,$I$9:$I$11)+SUMPRODUCT($AF$12:$AF$12,$I$12:$I$12)+SUMPRODUCT($AF$13:$AF$17,$I$13:$I$17)+SUMPRODUCT($AF$18:$AF$19,$I$18:$I$19)+SUMPRODUCT($AF$20:$AF$22,$I$20:$I$22)+SUMPRODUCT($AF$23:$AF$27,$I$23:$I$27)+SUMPRODUCT($AF$28:$AF$32,$I$28:$I$32)+SUMPRODUCT($AF$33:$AF$35,$I$33:$I$35)+SUMPRODUCT($AF$36:$AF$36,$I$36:$I$36)+SUMPRODUCT($AF$37:$AF$39,$I$37:$I$39)+SUMPRODUCT($AF$40:$AF$40,$I$40:$I$40)+SUMPRODUCT($AF$41:$AF$43,$I$41:$I$43)+SUMPRODUCT($AF$44:$AF$44,$I$44:$I$44)+SUMPRODUCT($AF$45:$AF$47,$I$45:$I$47)+SUMPRODUCT($AF$48:$AF$50,$I$48:$I$50)+SUMPRODUCT($AF$51:$AF$51,$I$51:$I$51)+SUMPRODUCT($AF$52:$AF$52,$I$52:$I$52)+SUMPRODUCT($AF$53:$AF$54,$I$53:$I$54)),0,+SUMPRODUCT($AF$5:$AF$8,$I$5:$I$8)+SUMPRODUCT($AF$9:$AF$11,$I$9:$I$11)+SUMPRODUCT($AF$12:$AF$12,$I$12:$I$12)+SUMPRODUCT($AF$13:$AF$17,$I$13:$I$17)+SUMPRODUCT($AF$18:$AF$19,$I$18:$I$19)+SUMPRODUCT($AF$20:$AF$22,$I$20:$I$22)+SUMPRODUCT($AF$23:$AF$27,$I$23:$I$27)+SUMPRODUCT($AF$28:$AF$32,$I$28:$I$32)+SUMPRODUCT($AF$33:$AF$35,$I$33:$I$35)+SUMPRODUCT($AF$36:$AF$36,$I$36:$I$36)+SUMPRODUCT($AF$37:$AF$39,$I$37:$I$39)+SUMPRODUCT($AF$40:$AF$40,$I$40:$I$40)+SUMPRODUCT($AF$41:$AF$43,$I$41:$I$43)+SUMPRODUCT($AF$44:$AF$44,$I$44:$I$44)+SUMPRODUCT($AF$45:$AF$47,$I$45:$I$47)+SUMPRODUCT($AF$48:$AF$50,$I$48:$I$50)+SUMPRODUCT($AF$51:$AF$51,$I$51:$I$51)+SUMPRODUCT($AF$52:$AF$52,$I$52:$I$52)+SUMPRODUCT($AF$53:$AF$54,$I$53:$I$54))</f>
        <v>0</v>
      </c>
      <c r="AG58" s="13"/>
      <c r="AH58" s="13">
        <f>IF(ISERROR(+SUMPRODUCT($AH$5:$AH$8,$I$5:$I$8)+SUMPRODUCT($AH$9:$AH$11,$I$9:$I$11)+SUMPRODUCT($AH$12:$AH$12,$I$12:$I$12)+SUMPRODUCT($AH$13:$AH$17,$I$13:$I$17)+SUMPRODUCT($AH$18:$AH$19,$I$18:$I$19)+SUMPRODUCT($AH$20:$AH$22,$I$20:$I$22)+SUMPRODUCT($AH$23:$AH$27,$I$23:$I$27)+SUMPRODUCT($AH$28:$AH$32,$I$28:$I$32)+SUMPRODUCT($AH$33:$AH$35,$I$33:$I$35)+SUMPRODUCT($AH$36:$AH$36,$I$36:$I$36)+SUMPRODUCT($AH$37:$AH$39,$I$37:$I$39)+SUMPRODUCT($AH$40:$AH$40,$I$40:$I$40)+SUMPRODUCT($AH$41:$AH$43,$I$41:$I$43)+SUMPRODUCT($AH$44:$AH$44,$I$44:$I$44)+SUMPRODUCT($AH$45:$AH$47,$I$45:$I$47)+SUMPRODUCT($AH$48:$AH$50,$I$48:$I$50)+SUMPRODUCT($AH$51:$AH$51,$I$51:$I$51)+SUMPRODUCT($AH$52:$AH$52,$I$52:$I$52)+SUMPRODUCT($AH$53:$AH$54,$I$53:$I$54)),0,+SUMPRODUCT($AH$5:$AH$8,$I$5:$I$8)+SUMPRODUCT($AH$9:$AH$11,$I$9:$I$11)+SUMPRODUCT($AH$12:$AH$12,$I$12:$I$12)+SUMPRODUCT($AH$13:$AH$17,$I$13:$I$17)+SUMPRODUCT($AH$18:$AH$19,$I$18:$I$19)+SUMPRODUCT($AH$20:$AH$22,$I$20:$I$22)+SUMPRODUCT($AH$23:$AH$27,$I$23:$I$27)+SUMPRODUCT($AH$28:$AH$32,$I$28:$I$32)+SUMPRODUCT($AH$33:$AH$35,$I$33:$I$35)+SUMPRODUCT($AH$36:$AH$36,$I$36:$I$36)+SUMPRODUCT($AH$37:$AH$39,$I$37:$I$39)+SUMPRODUCT($AH$40:$AH$40,$I$40:$I$40)+SUMPRODUCT($AH$41:$AH$43,$I$41:$I$43)+SUMPRODUCT($AH$44:$AH$44,$I$44:$I$44)+SUMPRODUCT($AH$45:$AH$47,$I$45:$I$47)+SUMPRODUCT($AH$48:$AH$50,$I$48:$I$50)+SUMPRODUCT($AH$51:$AH$51,$I$51:$I$51)+SUMPRODUCT($AH$52:$AH$52,$I$52:$I$52)+SUMPRODUCT($AH$53:$AH$54,$I$53:$I$54))</f>
        <v>2526095.80183654</v>
      </c>
      <c r="AI58" s="13">
        <f>IF(ISERROR(+SUMPRODUCT($AI$5:$AI$8,$I$5:$I$8)+SUMPRODUCT($AI$9:$AI$11,$I$9:$I$11)+SUMPRODUCT($AI$12:$AI$12,$I$12:$I$12)+SUMPRODUCT($AI$13:$AI$17,$I$13:$I$17)+SUMPRODUCT($AI$18:$AI$19,$I$18:$I$19)+SUMPRODUCT($AI$20:$AI$22,$I$20:$I$22)+SUMPRODUCT($AI$23:$AI$27,$I$23:$I$27)+SUMPRODUCT($AI$28:$AI$32,$I$28:$I$32)+SUMPRODUCT($AI$33:$AI$35,$I$33:$I$35)+SUMPRODUCT($AI$36:$AI$36,$I$36:$I$36)+SUMPRODUCT($AI$37:$AI$39,$I$37:$I$39)+SUMPRODUCT($AI$40:$AI$40,$I$40:$I$40)+SUMPRODUCT($AI$41:$AI$43,$I$41:$I$43)+SUMPRODUCT($AI$44:$AI$44,$I$44:$I$44)+SUMPRODUCT($AI$45:$AI$47,$I$45:$I$47)+SUMPRODUCT($AI$48:$AI$50,$I$48:$I$50)+SUMPRODUCT($AI$51:$AI$51,$I$51:$I$51)+SUMPRODUCT($AI$52:$AI$52,$I$52:$I$52)+SUMPRODUCT($AI$53:$AI$54,$I$53:$I$54)),0,+SUMPRODUCT($AI$5:$AI$8,$I$5:$I$8)+SUMPRODUCT($AI$9:$AI$11,$I$9:$I$11)+SUMPRODUCT($AI$12:$AI$12,$I$12:$I$12)+SUMPRODUCT($AI$13:$AI$17,$I$13:$I$17)+SUMPRODUCT($AI$18:$AI$19,$I$18:$I$19)+SUMPRODUCT($AI$20:$AI$22,$I$20:$I$22)+SUMPRODUCT($AI$23:$AI$27,$I$23:$I$27)+SUMPRODUCT($AI$28:$AI$32,$I$28:$I$32)+SUMPRODUCT($AI$33:$AI$35,$I$33:$I$35)+SUMPRODUCT($AI$36:$AI$36,$I$36:$I$36)+SUMPRODUCT($AI$37:$AI$39,$I$37:$I$39)+SUMPRODUCT($AI$40:$AI$40,$I$40:$I$40)+SUMPRODUCT($AI$41:$AI$43,$I$41:$I$43)+SUMPRODUCT($AI$44:$AI$44,$I$44:$I$44)+SUMPRODUCT($AI$45:$AI$47,$I$45:$I$47)+SUMPRODUCT($AI$48:$AI$50,$I$48:$I$50)+SUMPRODUCT($AI$51:$AI$51,$I$51:$I$51)+SUMPRODUCT($AI$52:$AI$52,$I$52:$I$52)+SUMPRODUCT($AI$53:$AI$54,$I$53:$I$54))</f>
        <v>2526095.80183654</v>
      </c>
      <c r="AJ58" s="13">
        <f ca="1">IF(ISERROR(+SUMPRODUCT($AJ$5:$AJ$8,$I$5:$I$8)+SUMPRODUCT($AJ$9:$AJ$11,$I$9:$I$11)+SUMPRODUCT($AJ$12:$AJ$12,$I$12:$I$12)+SUMPRODUCT($AJ$13:$AJ$17,$I$13:$I$17)+SUMPRODUCT($AJ$18:$AJ$19,$I$18:$I$19)+SUMPRODUCT($AJ$20:$AJ$22,$I$20:$I$22)+SUMPRODUCT($AJ$23:$AJ$27,$I$23:$I$27)+SUMPRODUCT($AJ$28:$AJ$32,$I$28:$I$32)+SUMPRODUCT($AJ$33:$AJ$35,$I$33:$I$35)+SUMPRODUCT($AJ$36:$AJ$36,$I$36:$I$36)+SUMPRODUCT($AJ$37:$AJ$39,$I$37:$I$39)+SUMPRODUCT($AJ$40:$AJ$40,$I$40:$I$40)+SUMPRODUCT($AJ$41:$AJ$43,$I$41:$I$43)+SUMPRODUCT($AJ$44:$AJ$44,$I$44:$I$44)+SUMPRODUCT($AJ$45:$AJ$47,$I$45:$I$47)+SUMPRODUCT($AJ$48:$AJ$50,$I$48:$I$50)+SUMPRODUCT($AJ$51:$AJ$51,$I$51:$I$51)+SUMPRODUCT($AJ$52:$AJ$52,$I$52:$I$52)+SUMPRODUCT($AJ$53:$AJ$54,$I$53:$I$54)),0,+SUMPRODUCT($AJ$5:$AJ$8,$I$5:$I$8)+SUMPRODUCT($AJ$9:$AJ$11,$I$9:$I$11)+SUMPRODUCT($AJ$12:$AJ$12,$I$12:$I$12)+SUMPRODUCT($AJ$13:$AJ$17,$I$13:$I$17)+SUMPRODUCT($AJ$18:$AJ$19,$I$18:$I$19)+SUMPRODUCT($AJ$20:$AJ$22,$I$20:$I$22)+SUMPRODUCT($AJ$23:$AJ$27,$I$23:$I$27)+SUMPRODUCT($AJ$28:$AJ$32,$I$28:$I$32)+SUMPRODUCT($AJ$33:$AJ$35,$I$33:$I$35)+SUMPRODUCT($AJ$36:$AJ$36,$I$36:$I$36)+SUMPRODUCT($AJ$37:$AJ$39,$I$37:$I$39)+SUMPRODUCT($AJ$40:$AJ$40,$I$40:$I$40)+SUMPRODUCT($AJ$41:$AJ$43,$I$41:$I$43)+SUMPRODUCT($AJ$44:$AJ$44,$I$44:$I$44)+SUMPRODUCT($AJ$45:$AJ$47,$I$45:$I$47)+SUMPRODUCT($AJ$48:$AJ$50,$I$48:$I$50)+SUMPRODUCT($AJ$51:$AJ$51,$I$51:$I$51)+SUMPRODUCT($AJ$52:$AJ$52,$I$52:$I$52)+SUMPRODUCT($AJ$53:$AJ$54,$I$53:$I$54))</f>
        <v>0</v>
      </c>
      <c r="AK58" s="13">
        <f ca="1">IF(ISERROR(+SUMPRODUCT($AK$5:$AK$8,$I$5:$I$8)+SUMPRODUCT($AK$9:$AK$11,$I$9:$I$11)+SUMPRODUCT($AK$12:$AK$12,$I$12:$I$12)+SUMPRODUCT($AK$13:$AK$17,$I$13:$I$17)+SUMPRODUCT($AK$18:$AK$19,$I$18:$I$19)+SUMPRODUCT($AK$20:$AK$22,$I$20:$I$22)+SUMPRODUCT($AK$23:$AK$27,$I$23:$I$27)+SUMPRODUCT($AK$28:$AK$32,$I$28:$I$32)+SUMPRODUCT($AK$33:$AK$35,$I$33:$I$35)+SUMPRODUCT($AK$36:$AK$36,$I$36:$I$36)+SUMPRODUCT($AK$37:$AK$39,$I$37:$I$39)+SUMPRODUCT($AK$40:$AK$40,$I$40:$I$40)+SUMPRODUCT($AK$41:$AK$43,$I$41:$I$43)+SUMPRODUCT($AK$44:$AK$44,$I$44:$I$44)+SUMPRODUCT($AK$45:$AK$47,$I$45:$I$47)+SUMPRODUCT($AK$48:$AK$50,$I$48:$I$50)+SUMPRODUCT($AK$51:$AK$51,$I$51:$I$51)+SUMPRODUCT($AK$52:$AK$52,$I$52:$I$52)+SUMPRODUCT($AK$53:$AK$54,$I$53:$I$54)),0,+SUMPRODUCT($AK$5:$AK$8,$I$5:$I$8)+SUMPRODUCT($AK$9:$AK$11,$I$9:$I$11)+SUMPRODUCT($AK$12:$AK$12,$I$12:$I$12)+SUMPRODUCT($AK$13:$AK$17,$I$13:$I$17)+SUMPRODUCT($AK$18:$AK$19,$I$18:$I$19)+SUMPRODUCT($AK$20:$AK$22,$I$20:$I$22)+SUMPRODUCT($AK$23:$AK$27,$I$23:$I$27)+SUMPRODUCT($AK$28:$AK$32,$I$28:$I$32)+SUMPRODUCT($AK$33:$AK$35,$I$33:$I$35)+SUMPRODUCT($AK$36:$AK$36,$I$36:$I$36)+SUMPRODUCT($AK$37:$AK$39,$I$37:$I$39)+SUMPRODUCT($AK$40:$AK$40,$I$40:$I$40)+SUMPRODUCT($AK$41:$AK$43,$I$41:$I$43)+SUMPRODUCT($AK$44:$AK$44,$I$44:$I$44)+SUMPRODUCT($AK$45:$AK$47,$I$45:$I$47)+SUMPRODUCT($AK$48:$AK$50,$I$48:$I$50)+SUMPRODUCT($AK$51:$AK$51,$I$51:$I$51)+SUMPRODUCT($AK$52:$AK$52,$I$52:$I$52)+SUMPRODUCT($AK$53:$AK$54,$I$53:$I$54))</f>
        <v>0</v>
      </c>
      <c r="AL58" s="13"/>
      <c r="AM58" s="13"/>
    </row>
    <row r="59" spans="1:42" ht="11.25" customHeight="1" x14ac:dyDescent="0.25">
      <c r="K59" s="16" t="s">
        <v>506</v>
      </c>
      <c r="L59" s="13">
        <f>CUSTOS!$D$2</f>
        <v>0</v>
      </c>
      <c r="M59" s="13">
        <f>CUSTOS!$D$3</f>
        <v>138327.52127755724</v>
      </c>
      <c r="N59" s="13">
        <f>CUSTOS!$D$4</f>
        <v>0</v>
      </c>
      <c r="O59" s="13">
        <f>CUSTOS!$D$5</f>
        <v>0</v>
      </c>
      <c r="P59" s="13">
        <f>CUSTOS!$D$6</f>
        <v>0</v>
      </c>
      <c r="Q59" s="13">
        <f>CUSTOS!$D$7</f>
        <v>11160366.718520008</v>
      </c>
      <c r="R59" s="13">
        <f>CUSTOS!$D$8</f>
        <v>1869898.6226700018</v>
      </c>
      <c r="S59" s="13">
        <f>CUSTOS!$D$9</f>
        <v>0</v>
      </c>
      <c r="T59" s="13">
        <f>CUSTOS!$D$10</f>
        <v>13168592.862467568</v>
      </c>
      <c r="U59" s="13">
        <f>CUSTOS!$D$11</f>
        <v>0</v>
      </c>
      <c r="V59" s="13">
        <f>IF(SUM(V56:V58)&lt;&gt;0,CUSTOS!$D$12+CUSTOS!$D$16+CUSTOS!$D$17-'TR TUSD'!$Z$57-'TR TUSD'!$AA$57,0)</f>
        <v>0</v>
      </c>
      <c r="W59" s="13">
        <f>CUSTOS!$D$13</f>
        <v>0</v>
      </c>
      <c r="X59" s="13">
        <f>CUSTOS!$D$14</f>
        <v>0</v>
      </c>
      <c r="Y59" s="13">
        <f>IF(SUM(V56:V58)=0,CUSTOS!$D$15+CUSTOS!$D$16+CUSTOS!$D$17-'TR TUSD'!$Z$57-'TR TUSD'!$AA$57,CUSTOS!$D$15)</f>
        <v>10332345.225399999</v>
      </c>
      <c r="Z59" s="13">
        <f>Z57</f>
        <v>0</v>
      </c>
      <c r="AA59" s="13">
        <f>AA57</f>
        <v>0</v>
      </c>
      <c r="AB59" s="13">
        <f>CUSTOS!$D$18</f>
        <v>10332345.225399999</v>
      </c>
      <c r="AC59" s="13">
        <f>CUSTOS!$D$19</f>
        <v>33091403.650000002</v>
      </c>
      <c r="AD59" s="13">
        <f>CUSTOS!$D$20</f>
        <v>33091403.650000002</v>
      </c>
      <c r="AE59" s="13">
        <f>CUSTOS!$D$21</f>
        <v>0</v>
      </c>
      <c r="AF59" s="13">
        <f>CUSTOS!$D$22</f>
        <v>0</v>
      </c>
      <c r="AG59" s="13">
        <f>CUSTOS!$D$23</f>
        <v>0</v>
      </c>
      <c r="AH59" s="13">
        <f>CUSTOS!$D$24</f>
        <v>2551548.7992662448</v>
      </c>
      <c r="AI59" s="13">
        <f>CUSTOS!$D$25</f>
        <v>70031.767433898334</v>
      </c>
      <c r="AJ59" s="13">
        <f>CUSTOS!$D$26</f>
        <v>0</v>
      </c>
      <c r="AK59" s="13">
        <f>CUSTOS!$D$27</f>
        <v>0</v>
      </c>
      <c r="AL59" s="13">
        <f>CUSTOS!$D$28</f>
        <v>2621580.5667001433</v>
      </c>
      <c r="AM59" s="13">
        <f>CUSTOS!$D$29</f>
        <v>59213922.30456771</v>
      </c>
    </row>
    <row r="60" spans="1:42" ht="11.25" customHeight="1" x14ac:dyDescent="0.25">
      <c r="K60" s="16" t="s">
        <v>507</v>
      </c>
      <c r="L60" s="13">
        <f>CUSTOS!$E$2</f>
        <v>0</v>
      </c>
      <c r="M60" s="13">
        <f>CUSTOS!$E$3</f>
        <v>4316.3568754170165</v>
      </c>
      <c r="N60" s="13">
        <f>CUSTOS!$E$4</f>
        <v>0</v>
      </c>
      <c r="O60" s="13">
        <f>CUSTOS!$E$5</f>
        <v>0</v>
      </c>
      <c r="P60" s="13">
        <f>CUSTOS!$E$6</f>
        <v>0</v>
      </c>
      <c r="Q60" s="13">
        <f>CUSTOS!$E$7</f>
        <v>292134.43826547445</v>
      </c>
      <c r="R60" s="13">
        <f>CUSTOS!$E$8</f>
        <v>46610.774725681258</v>
      </c>
      <c r="S60" s="13">
        <f>CUSTOS!$E$9</f>
        <v>0</v>
      </c>
      <c r="T60" s="13">
        <f>CUSTOS!$E$10</f>
        <v>343061.56986657274</v>
      </c>
      <c r="U60" s="13">
        <f>CUSTOS!$E$11</f>
        <v>0</v>
      </c>
      <c r="V60" s="13">
        <f>CUSTOS!$E$12</f>
        <v>0</v>
      </c>
      <c r="W60" s="13">
        <f>CUSTOS!$E$13</f>
        <v>0</v>
      </c>
      <c r="X60" s="13">
        <f>CUSTOS!$E$14</f>
        <v>0</v>
      </c>
      <c r="Y60" s="13">
        <f>CUSTOS!$E$15</f>
        <v>354650.42408493307</v>
      </c>
      <c r="Z60" s="13">
        <f>CUSTOS!$E$16</f>
        <v>0</v>
      </c>
      <c r="AA60" s="13">
        <f>CUSTOS!$E$17</f>
        <v>0</v>
      </c>
      <c r="AB60" s="13">
        <f>CUSTOS!$E$18</f>
        <v>354650.42408493307</v>
      </c>
      <c r="AC60" s="13">
        <f>CUSTOS!$E$19</f>
        <v>-10296897.942699337</v>
      </c>
      <c r="AD60" s="13">
        <f>CUSTOS!$E$20</f>
        <v>-10296897.942699337</v>
      </c>
      <c r="AE60" s="13">
        <f>CUSTOS!$E$21</f>
        <v>0</v>
      </c>
      <c r="AF60" s="13">
        <f>CUSTOS!$E$22</f>
        <v>0</v>
      </c>
      <c r="AG60" s="13">
        <f>CUSTOS!$E$23</f>
        <v>0</v>
      </c>
      <c r="AH60" s="13">
        <f>CUSTOS!$E$24</f>
        <v>-176827.84844471671</v>
      </c>
      <c r="AI60" s="13">
        <f>CUSTOS!$E$25</f>
        <v>-4853.3528975335275</v>
      </c>
      <c r="AJ60" s="13">
        <f>CUSTOS!$E$26</f>
        <v>0</v>
      </c>
      <c r="AK60" s="13">
        <f>CUSTOS!$E$27</f>
        <v>0</v>
      </c>
      <c r="AL60" s="13">
        <f>CUSTOS!$E$28</f>
        <v>-181681.20134225025</v>
      </c>
      <c r="AM60" s="13">
        <f>CUSTOS!$E$29</f>
        <v>-9780867.1500900835</v>
      </c>
    </row>
    <row r="61" spans="1:42" ht="11.25" customHeight="1" x14ac:dyDescent="0.25">
      <c r="K61" s="16" t="s">
        <v>508</v>
      </c>
      <c r="L61" s="13">
        <f>CUSTOS!$F$2</f>
        <v>0</v>
      </c>
      <c r="M61" s="13">
        <f>CUSTOS!$F$3</f>
        <v>0</v>
      </c>
      <c r="N61" s="13">
        <f>CUSTOS!$F$4</f>
        <v>0</v>
      </c>
      <c r="O61" s="13">
        <f>CUSTOS!$F$5</f>
        <v>0</v>
      </c>
      <c r="P61" s="13">
        <f>CUSTOS!$F$6</f>
        <v>0</v>
      </c>
      <c r="Q61" s="13">
        <f>CUSTOS!$F$7</f>
        <v>0</v>
      </c>
      <c r="R61" s="13">
        <f>CUSTOS!$F$8</f>
        <v>0</v>
      </c>
      <c r="S61" s="13">
        <f>CUSTOS!$F$9</f>
        <v>0</v>
      </c>
      <c r="T61" s="13">
        <f>CUSTOS!$F$10</f>
        <v>0</v>
      </c>
      <c r="U61" s="13">
        <f>CUSTOS!$F$11</f>
        <v>0</v>
      </c>
      <c r="V61" s="13">
        <f>CUSTOS!$F$12</f>
        <v>0</v>
      </c>
      <c r="W61" s="13">
        <f>CUSTOS!$F$13</f>
        <v>0</v>
      </c>
      <c r="X61" s="13">
        <f>CUSTOS!$F$14</f>
        <v>0</v>
      </c>
      <c r="Y61" s="13">
        <f>CUSTOS!$F$15</f>
        <v>0</v>
      </c>
      <c r="Z61" s="13">
        <f>CUSTOS!$F$16</f>
        <v>0</v>
      </c>
      <c r="AA61" s="13">
        <f>CUSTOS!$F$17</f>
        <v>0</v>
      </c>
      <c r="AB61" s="13">
        <f>CUSTOS!$F$18</f>
        <v>0</v>
      </c>
      <c r="AC61" s="13">
        <f>CUSTOS!$F$19</f>
        <v>0</v>
      </c>
      <c r="AD61" s="13">
        <f>CUSTOS!$F$20</f>
        <v>0</v>
      </c>
      <c r="AE61" s="13">
        <f>CUSTOS!$F$21</f>
        <v>0</v>
      </c>
      <c r="AF61" s="13">
        <f>CUSTOS!$F$22</f>
        <v>0</v>
      </c>
      <c r="AG61" s="13">
        <f>CUSTOS!$F$23</f>
        <v>0</v>
      </c>
      <c r="AH61" s="13">
        <f>CUSTOS!$F$24</f>
        <v>0</v>
      </c>
      <c r="AI61" s="13">
        <f>CUSTOS!$F$25</f>
        <v>0</v>
      </c>
      <c r="AJ61" s="13">
        <f>CUSTOS!$F$26</f>
        <v>0</v>
      </c>
      <c r="AK61" s="13">
        <f>CUSTOS!$F$27</f>
        <v>0</v>
      </c>
      <c r="AL61" s="13">
        <f>CUSTOS!$F$28</f>
        <v>0</v>
      </c>
      <c r="AM61" s="13">
        <f>CUSTOS!$F$29</f>
        <v>0</v>
      </c>
    </row>
    <row r="62" spans="1:42" ht="11.25" customHeight="1" x14ac:dyDescent="0.25">
      <c r="K62" s="16" t="s">
        <v>571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/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/>
      <c r="AC62" s="13">
        <v>0</v>
      </c>
      <c r="AD62" s="13"/>
      <c r="AE62" s="13">
        <v>0</v>
      </c>
      <c r="AF62" s="13">
        <v>0</v>
      </c>
      <c r="AG62" s="13"/>
      <c r="AH62" s="13">
        <v>0</v>
      </c>
      <c r="AI62" s="13">
        <v>0</v>
      </c>
      <c r="AJ62" s="13">
        <v>0</v>
      </c>
      <c r="AK62" s="13">
        <v>0</v>
      </c>
      <c r="AL62" s="13"/>
      <c r="AM62" s="13"/>
    </row>
    <row r="63" spans="1:42" ht="11.25" customHeight="1" x14ac:dyDescent="0.25">
      <c r="K63" s="16" t="s">
        <v>572</v>
      </c>
      <c r="L63" s="13">
        <f t="shared" ref="L63:S63" si="2">IF((L58+L56)&lt;&gt;0,(L59-L57-L62)/(L58+L56),0)</f>
        <v>0</v>
      </c>
      <c r="M63" s="13">
        <f t="shared" si="2"/>
        <v>1.0124340844951696</v>
      </c>
      <c r="N63" s="13">
        <f t="shared" ca="1" si="2"/>
        <v>0</v>
      </c>
      <c r="O63" s="13">
        <f t="shared" si="2"/>
        <v>0</v>
      </c>
      <c r="P63" s="13">
        <f t="shared" si="2"/>
        <v>0</v>
      </c>
      <c r="Q63" s="13">
        <f t="shared" si="2"/>
        <v>90.840528116491939</v>
      </c>
      <c r="R63" s="13">
        <f t="shared" si="2"/>
        <v>14.351930687165005</v>
      </c>
      <c r="S63" s="13">
        <f t="shared" si="2"/>
        <v>0</v>
      </c>
      <c r="T63" s="13"/>
      <c r="U63" s="13">
        <f>IF(U58&lt;&gt;0,(U59-U57-U56-U62)/U58,0)</f>
        <v>0</v>
      </c>
      <c r="V63" s="13">
        <f>IF(V58&lt;&gt;0,(V59-V57-V56-V62)/V58,0)</f>
        <v>0</v>
      </c>
      <c r="W63" s="13">
        <f>IF(W58&lt;&gt;0,(W59-W57-W56-W62)/W58,0)</f>
        <v>0</v>
      </c>
      <c r="X63" s="13">
        <f>IF(X58&lt;&gt;0,(X59-X57-X56-X62)/X58,0)</f>
        <v>0</v>
      </c>
      <c r="Y63" s="13">
        <f>IF(Y58&lt;&gt;0,(Y59-Y57-Y56-Y62)/Y58,0)</f>
        <v>1.1667683527717156</v>
      </c>
      <c r="Z63" s="13"/>
      <c r="AA63" s="13"/>
      <c r="AB63" s="13"/>
      <c r="AC63" s="13">
        <f>IF(AC58&lt;&gt;0,(AC59-AC57-AC56-AC62)/AC58,0)</f>
        <v>1.1720446493996171</v>
      </c>
      <c r="AD63" s="13"/>
      <c r="AE63" s="13">
        <f>IF((AE58+AE56)&lt;&gt;0,(AE59-AE57-AE62)/(AE58+AE56),0)</f>
        <v>0</v>
      </c>
      <c r="AF63" s="13">
        <f>IF((AF58+AF56)&lt;&gt;0,(AF59-AF57-AF62)/(AF58+AF56),0)</f>
        <v>0</v>
      </c>
      <c r="AG63" s="13"/>
      <c r="AH63" s="13">
        <f>IF(AH58&lt;&gt;0,(AH59-AH57-AH56-AH62)/AH58,0)</f>
        <v>1.0100760222202181</v>
      </c>
      <c r="AI63" s="13">
        <f>IF(AI58&lt;&gt;0,(AI59-AI57-AI56-AI62)/AI58,0)</f>
        <v>2.7723322046211921E-2</v>
      </c>
      <c r="AJ63" s="13">
        <f ca="1">IF((AJ58+AJ56)&lt;&gt;0,(AJ59-AJ57-AJ62)/(AJ58+AJ56),0)</f>
        <v>0</v>
      </c>
      <c r="AK63" s="13">
        <f ca="1">IF((AK58+AK56)&lt;&gt;0,(AK59-AK57-AK62)/(AK58+AK56),0)</f>
        <v>0</v>
      </c>
      <c r="AL63" s="13"/>
      <c r="AM63" s="13"/>
    </row>
    <row r="65" spans="11:16" ht="11.25" customHeight="1" x14ac:dyDescent="0.25">
      <c r="K65" s="19" t="s">
        <v>576</v>
      </c>
      <c r="L65" s="19" t="s">
        <v>577</v>
      </c>
      <c r="M65" s="19" t="s">
        <v>578</v>
      </c>
      <c r="N65" s="19" t="s">
        <v>579</v>
      </c>
      <c r="O65" s="19" t="s">
        <v>580</v>
      </c>
      <c r="P65" s="19" t="s">
        <v>581</v>
      </c>
    </row>
    <row r="66" spans="11:16" ht="11.25" customHeight="1" x14ac:dyDescent="0.25">
      <c r="K66" s="18" t="s">
        <v>35</v>
      </c>
      <c r="L66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BE'!$I$14+(+'TUSD BE'!$L$15+'TUSD BE'!$M$15+'TUSD BE'!$N$15+'TUSD BE'!$O$15+'TUSD BE'!$P$15+'TUSD BE'!$Q$15+'TUSD BE'!$R$15+'TUSD BE'!$S$15+'TUSD BE'!$U$15+'TUSD BE'!$V$15+'TUSD BE'!$W$15+'TUSD BE'!$X$15+'TUSD BE'!$Y$15+'TUSD BE'!$Z$15+'TUSD BE'!$AA$15+'TUSD BE'!$AC$15+'TUSD BE'!$AH$15+'TUSD BE'!$AI$15)*'TUSD BE'!$I$15+(+'TUSD BE'!$L$16+'TUSD BE'!$M$16+'TUSD BE'!$N$16+'TUSD BE'!$O$16+'TUSD BE'!$P$16+'TUSD BE'!$Q$16+'TUSD BE'!$R$16+'TUSD BE'!$S$16+'TUSD BE'!$U$16+'TUSD BE'!$V$16+'TUSD BE'!$W$16+'TUSD BE'!$X$16+'TUSD BE'!$Y$16+'TUSD BE'!$Z$16+'TUSD BE'!$AA$16+'TUSD BE'!$AC$16+'TUSD BE'!$AH$16+'TUSD BE'!$AI$16)*'TUSD BE'!$I$16+(+'TUSD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</f>
        <v>16739115.14067108</v>
      </c>
      <c r="M66" s="18">
        <f>+'TUSD BE'!$I$7+'TUSD BE'!$I$8+'TUSD BE'!$I$14+'TUSD BE'!$I$15+'TUSD BE'!$I$16+'TUSD BE'!$I$17</f>
        <v>46518.244999999995</v>
      </c>
      <c r="N66" s="18">
        <f ca="1">IF(AND($L$73&lt;&gt;0,M66&lt;&gt;0),(L66/$L$73*$AJ$59)/M66,0)</f>
        <v>0</v>
      </c>
      <c r="O66" s="18"/>
      <c r="P66" s="18"/>
    </row>
    <row r="67" spans="11:16" ht="11.25" customHeight="1" x14ac:dyDescent="0.25">
      <c r="K67" s="18" t="s">
        <v>92</v>
      </c>
      <c r="L67" s="18">
        <f ca="1">+$L$68+$L$69+$L$70+$L$71+$L$72</f>
        <v>39632282.58296667</v>
      </c>
      <c r="M67" s="18">
        <f>+$M$68+$M$69+$M$70+$M$71+$M$72</f>
        <v>87222.802999999985</v>
      </c>
      <c r="N67" s="18">
        <f ca="1">IF(AND($L$73&lt;&gt;0,M67&lt;&gt;0),(L67/$L$73*$AJ$59)/M67,0)</f>
        <v>0</v>
      </c>
      <c r="O67" s="18"/>
      <c r="P67" s="18"/>
    </row>
    <row r="68" spans="11:16" ht="11.25" customHeight="1" x14ac:dyDescent="0.25">
      <c r="K68" s="18" t="s">
        <v>92</v>
      </c>
      <c r="L68" s="18"/>
      <c r="M68" s="18"/>
      <c r="N68" s="18">
        <f ca="1">IF(AND($L$73&lt;&gt;0,M68&lt;&gt;0),(L68/$L$73*$AJ$59)/M68,0)</f>
        <v>0</v>
      </c>
      <c r="O68" s="18"/>
      <c r="P68" s="18"/>
    </row>
    <row r="69" spans="11:16" ht="11.25" customHeight="1" x14ac:dyDescent="0.25">
      <c r="K69" s="18" t="s">
        <v>22</v>
      </c>
      <c r="L69" s="18">
        <f ca="1">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</f>
        <v>16179353.423031678</v>
      </c>
      <c r="M69" s="18">
        <f>+'TUSD BE'!$I$20+'TUSD BE'!$I$21+'TUSD BE'!$I$22+'TUSD BE'!$I$23+'TUSD BE'!$I$24+'TUSD BE'!$I$25+'TUSD BE'!$I$26+'TUSD BE'!$I$27+'TUSD BE'!$I$28+'TUSD BE'!$I$29+'TUSD BE'!$I$30+'TUSD BE'!$I$31+'TUSD BE'!$I$32</f>
        <v>34950.698000000004</v>
      </c>
      <c r="N69" s="18"/>
      <c r="O69" s="18"/>
      <c r="P69" s="18"/>
    </row>
    <row r="70" spans="11:16" ht="11.25" customHeight="1" x14ac:dyDescent="0.25">
      <c r="K70" s="18" t="s">
        <v>40</v>
      </c>
      <c r="L70" s="18">
        <f ca="1">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</f>
        <v>13147146.940516286</v>
      </c>
      <c r="M70" s="18">
        <f>+'TUSD BE'!$I$33+'TUSD BE'!$I$34+'TUSD BE'!$I$35+'TUSD BE'!$I$36+'TUSD BE'!$I$37+'TUSD BE'!$I$38+'TUSD BE'!$I$39+'TUSD BE'!$I$40+'TUSD BE'!$I$41+'TUSD BE'!$I$42+'TUSD BE'!$I$43+'TUSD BE'!$I$44+'TUSD BE'!$I$45+'TUSD BE'!$I$46+'TUSD BE'!$I$47</f>
        <v>28155.339999999997</v>
      </c>
      <c r="N70" s="18"/>
      <c r="O70" s="18"/>
      <c r="P70" s="18"/>
    </row>
    <row r="71" spans="11:16" ht="11.25" customHeight="1" x14ac:dyDescent="0.25">
      <c r="K71" s="18" t="s">
        <v>33</v>
      </c>
      <c r="L71" s="18">
        <f ca="1">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BE'!$I$51+(+'TUSD BE'!$L$52+'TUSD BE'!$M$52+'TUSD BE'!$N$52+'TUSD BE'!$O$52+'TUSD BE'!$P$52+'TUSD BE'!$Q$52+'TUSD BE'!$R$52+'TUSD BE'!$S$52+'TUSD BE'!$U$52+'TUSD BE'!$V$52+'TUSD BE'!$W$52+'TUSD BE'!$X$52+'TUSD BE'!$Y$52+'TUSD BE'!$Z$52+'TUSD BE'!$AA$52+'TUSD BE'!$AC$52+'TUSD BE'!$AH$52+'TUSD BE'!$AI$52)*'TUSD BE'!$I$52</f>
        <v>9137887.0936891194</v>
      </c>
      <c r="M71" s="18">
        <f>+'TUSD BE'!$I$48+'TUSD BE'!$I$49+'TUSD BE'!$I$50+'TUSD BE'!$I$51+'TUSD BE'!$I$52</f>
        <v>19569.288999999997</v>
      </c>
      <c r="N71" s="18"/>
      <c r="O71" s="18"/>
      <c r="P71" s="18"/>
    </row>
    <row r="72" spans="11:16" ht="11.25" customHeight="1" x14ac:dyDescent="0.25">
      <c r="K72" s="18" t="s">
        <v>43</v>
      </c>
      <c r="L72" s="18">
        <f ca="1">+(+'TUSD BE'!$L$53+'TUSD BE'!$M$53+'TUSD BE'!$N$53+'TUSD BE'!$O$53+'TUSD BE'!$P$53+'TUSD BE'!$Q$53+'TUSD BE'!$R$53+'TUSD BE'!$S$53+'TUSD BE'!$U$53+'TUSD BE'!$V$53+'TUSD BE'!$W$53+'TUSD BE'!$X$53+'TUSD BE'!$Y$53+'TUSD BE'!$Z$53+'TUSD BE'!$AA$53+'TUSD BE'!$AC$53+'TUSD BE'!$AH$53+'TUSD BE'!$AI$53)*'TUSD BE'!$I$53+(+'TUSD BE'!$L$54+'TUSD BE'!$M$54+'TUSD BE'!$N$54+'TUSD BE'!$O$54+'TUSD BE'!$P$54+'TUSD BE'!$Q$54+'TUSD BE'!$R$54+'TUSD BE'!$S$54+'TUSD BE'!$U$54+'TUSD BE'!$V$54+'TUSD BE'!$W$54+'TUSD BE'!$X$54+'TUSD BE'!$Y$54+'TUSD BE'!$Z$54+'TUSD BE'!$AA$54+'TUSD BE'!$AC$54+'TUSD BE'!$AH$54+'TUSD BE'!$AI$54)*'TUSD BE'!$I$54</f>
        <v>1167895.1257295841</v>
      </c>
      <c r="M72" s="18">
        <f>+'TUSD BE'!$I$53+'TUSD BE'!$I$54</f>
        <v>4547.4760000000006</v>
      </c>
      <c r="N72" s="18"/>
      <c r="O72" s="18"/>
      <c r="P72" s="18"/>
    </row>
    <row r="73" spans="11:16" ht="11.25" customHeight="1" x14ac:dyDescent="0.25">
      <c r="K73" s="18"/>
      <c r="L73" s="18">
        <f ca="1">SUM($L$66:$L$72,-$L$67)</f>
        <v>56371397.723637745</v>
      </c>
      <c r="M73" s="18">
        <f>SUM($M$66:$M$72,-$M$67)</f>
        <v>133741.04799999998</v>
      </c>
      <c r="N73" s="18"/>
      <c r="O73" s="18"/>
      <c r="P73" s="18"/>
    </row>
  </sheetData>
  <mergeCells count="78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8:E50"/>
    <mergeCell ref="F48:F50"/>
    <mergeCell ref="A53:A54"/>
    <mergeCell ref="B53:B54"/>
    <mergeCell ref="C53:C54"/>
    <mergeCell ref="B45:B47"/>
    <mergeCell ref="C45:C47"/>
    <mergeCell ref="A48:A52"/>
    <mergeCell ref="B48:B50"/>
    <mergeCell ref="C48:C50"/>
    <mergeCell ref="D48:D50"/>
    <mergeCell ref="F37:F39"/>
    <mergeCell ref="B41:B43"/>
    <mergeCell ref="C41:C43"/>
    <mergeCell ref="D41:D43"/>
    <mergeCell ref="E41:E43"/>
    <mergeCell ref="F41:F43"/>
    <mergeCell ref="A33:A47"/>
    <mergeCell ref="B33:B35"/>
    <mergeCell ref="C33:C35"/>
    <mergeCell ref="D33:D35"/>
    <mergeCell ref="E33:E35"/>
    <mergeCell ref="F33:F35"/>
    <mergeCell ref="B37:B39"/>
    <mergeCell ref="C37:C39"/>
    <mergeCell ref="D37:D39"/>
    <mergeCell ref="E37:E39"/>
    <mergeCell ref="F20:F22"/>
    <mergeCell ref="B23:B27"/>
    <mergeCell ref="C23:C27"/>
    <mergeCell ref="B28:B32"/>
    <mergeCell ref="C28:C32"/>
    <mergeCell ref="A20:A32"/>
    <mergeCell ref="B20:B22"/>
    <mergeCell ref="C20:C22"/>
    <mergeCell ref="D20:D22"/>
    <mergeCell ref="E20:E22"/>
    <mergeCell ref="F13:F15"/>
    <mergeCell ref="E16:E17"/>
    <mergeCell ref="F16:F17"/>
    <mergeCell ref="A18:A19"/>
    <mergeCell ref="B18:B19"/>
    <mergeCell ref="C18:C19"/>
    <mergeCell ref="D18:D19"/>
    <mergeCell ref="A5:A17"/>
    <mergeCell ref="B5:B8"/>
    <mergeCell ref="C5:C8"/>
    <mergeCell ref="D5:D8"/>
    <mergeCell ref="E5:E7"/>
    <mergeCell ref="B13:B17"/>
    <mergeCell ref="C13:C17"/>
    <mergeCell ref="D13:D17"/>
    <mergeCell ref="E13:E15"/>
    <mergeCell ref="F5:F7"/>
    <mergeCell ref="B9:B11"/>
    <mergeCell ref="C9:C11"/>
    <mergeCell ref="D9:D11"/>
    <mergeCell ref="E9:E11"/>
    <mergeCell ref="F9:F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05A0-1CA2-4AA6-9FBE-7F31AB9DCF50}">
  <sheetPr codeName="Planilha9"/>
  <dimension ref="A1:AP61"/>
  <sheetViews>
    <sheetView showGridLines="0" topLeftCell="N1" workbookViewId="0">
      <selection activeCell="AM56" sqref="AM56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573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P1" s="99" t="s">
        <v>567</v>
      </c>
    </row>
    <row r="2" spans="1:42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P2" s="101"/>
    </row>
    <row r="3" spans="1:42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/>
      <c r="U3" s="99" t="s">
        <v>474</v>
      </c>
      <c r="V3" s="99"/>
      <c r="W3" s="99"/>
      <c r="X3" s="99"/>
      <c r="Y3" s="99"/>
      <c r="Z3" s="99"/>
      <c r="AA3" s="99"/>
      <c r="AB3" s="99"/>
      <c r="AC3" s="99" t="s">
        <v>482</v>
      </c>
      <c r="AD3" s="99"/>
      <c r="AE3" s="99" t="s">
        <v>484</v>
      </c>
      <c r="AF3" s="99"/>
      <c r="AG3" s="99"/>
      <c r="AH3" s="99" t="s">
        <v>487</v>
      </c>
      <c r="AI3" s="99"/>
      <c r="AJ3" s="99"/>
      <c r="AK3" s="99"/>
      <c r="AL3" s="99"/>
      <c r="AM3" s="99" t="s">
        <v>473</v>
      </c>
      <c r="AP3" s="101"/>
    </row>
    <row r="4" spans="1:42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473</v>
      </c>
      <c r="U4" s="10" t="s">
        <v>475</v>
      </c>
      <c r="V4" s="10" t="s">
        <v>476</v>
      </c>
      <c r="W4" s="10" t="s">
        <v>477</v>
      </c>
      <c r="X4" s="10" t="s">
        <v>478</v>
      </c>
      <c r="Y4" s="10" t="s">
        <v>479</v>
      </c>
      <c r="Z4" s="10" t="s">
        <v>480</v>
      </c>
      <c r="AA4" s="10" t="s">
        <v>481</v>
      </c>
      <c r="AB4" s="10" t="s">
        <v>473</v>
      </c>
      <c r="AC4" s="10" t="s">
        <v>483</v>
      </c>
      <c r="AD4" s="10" t="s">
        <v>473</v>
      </c>
      <c r="AE4" s="10" t="s">
        <v>485</v>
      </c>
      <c r="AF4" s="10" t="s">
        <v>486</v>
      </c>
      <c r="AG4" s="10" t="s">
        <v>473</v>
      </c>
      <c r="AH4" s="10" t="s">
        <v>488</v>
      </c>
      <c r="AI4" s="10" t="s">
        <v>489</v>
      </c>
      <c r="AJ4" s="10" t="s">
        <v>490</v>
      </c>
      <c r="AK4" s="10" t="s">
        <v>491</v>
      </c>
      <c r="AL4" s="10" t="s">
        <v>473</v>
      </c>
      <c r="AM4" s="102"/>
      <c r="AP4" s="101"/>
    </row>
    <row r="5" spans="1:42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>
        <f>'TR TUSD'!$L$5*'TR TUSD'!$L$63</f>
        <v>0</v>
      </c>
      <c r="M5" s="13">
        <f>'TR TUSD'!$M$5*'TR TUSD'!$M$63</f>
        <v>0</v>
      </c>
      <c r="N5" s="13">
        <f ca="1">'TR TUSD'!$N$5*'TR TUSD'!$N$63</f>
        <v>0</v>
      </c>
      <c r="O5" s="13">
        <f>'TR TUSD'!$O$5*'TR TUSD'!$O$63</f>
        <v>0</v>
      </c>
      <c r="P5" s="13">
        <f>'TR TUSD'!$P$5*'TR TUSD'!$P$63</f>
        <v>0</v>
      </c>
      <c r="Q5" s="13">
        <f>'TR TUSD'!$Q$5*'TR TUSD'!$Q$63</f>
        <v>0</v>
      </c>
      <c r="R5" s="13">
        <f>'TR TUSD'!$R$5*'TR TUSD'!$R$63</f>
        <v>0</v>
      </c>
      <c r="S5" s="13">
        <f>'TR TUSD'!$S$5*'TR TUSD'!$S$63</f>
        <v>0</v>
      </c>
      <c r="T5" s="13">
        <f ca="1">SUM($L$5:$S$5)</f>
        <v>0</v>
      </c>
      <c r="U5" s="13">
        <f>'TR TUSD'!$U$5*'TR TUSD'!$U$63</f>
        <v>0</v>
      </c>
      <c r="V5" s="13">
        <f>'TR TUSD'!$V$5*'TR TUSD'!$V$63</f>
        <v>0</v>
      </c>
      <c r="W5" s="13">
        <f>'TR TUSD'!$W$5*'TR TUSD'!$W$63</f>
        <v>0</v>
      </c>
      <c r="X5" s="13">
        <f>'TR TUSD'!$X$5*'TR TUSD'!$X$63</f>
        <v>0</v>
      </c>
      <c r="Y5" s="13">
        <f>'TR TUSD'!$Y$5*'TR TUSD'!$Y$63</f>
        <v>21.505990955123536</v>
      </c>
      <c r="Z5" s="13">
        <f>'TR TUSD'!$Z$5</f>
        <v>0</v>
      </c>
      <c r="AA5" s="13">
        <f>'TR TUSD'!$AA$5</f>
        <v>0</v>
      </c>
      <c r="AB5" s="13">
        <f>SUM($U$5:$AA$5)</f>
        <v>21.505990955123536</v>
      </c>
      <c r="AC5" s="13">
        <f>'TR TUSD'!$AC$5*'TR TUSD'!$AC$63</f>
        <v>63.836818283129425</v>
      </c>
      <c r="AD5" s="13">
        <f>SUM($AC$5:$AC$5)</f>
        <v>63.836818283129425</v>
      </c>
      <c r="AE5" s="13">
        <v>0</v>
      </c>
      <c r="AF5" s="13">
        <v>0</v>
      </c>
      <c r="AG5" s="13">
        <f>SUM($AE$5:$AF$5)</f>
        <v>0</v>
      </c>
      <c r="AH5" s="13">
        <f>'TR TUSD'!$AH$5*'TR TUSD'!$AH$63</f>
        <v>0</v>
      </c>
      <c r="AI5" s="13">
        <f>'TR TUSD'!$AI$5*'TR TUSD'!$AI$63</f>
        <v>0</v>
      </c>
      <c r="AJ5" s="13">
        <f ca="1">'TR TUSD'!$AJ$5*'TR TUSD'!$AJ$63</f>
        <v>0</v>
      </c>
      <c r="AK5" s="13">
        <f ca="1">'TR TUSD'!$AK$5*'TR TUSD'!$AK$63</f>
        <v>0</v>
      </c>
      <c r="AL5" s="13">
        <f ca="1">SUM($AH$5:$AK$5)</f>
        <v>0</v>
      </c>
      <c r="AM5" s="13">
        <f ca="1">SUMIF($L$4:$AL$4,"SUBTOTAL",$L$5:$AL$5)</f>
        <v>85.342809238252954</v>
      </c>
      <c r="AP5" s="13">
        <v>1</v>
      </c>
    </row>
    <row r="6" spans="1:42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>
        <f>'TR TUSD'!$L$6*'TR TUSD'!$L$63</f>
        <v>0</v>
      </c>
      <c r="M6" s="13">
        <f>'TR TUSD'!$M$6*'TR TUSD'!$M$63</f>
        <v>0</v>
      </c>
      <c r="N6" s="13">
        <f ca="1">'TR TUSD'!$N$6*'TR TUSD'!$N$63</f>
        <v>0</v>
      </c>
      <c r="O6" s="13">
        <f>'TR TUSD'!$O$6*'TR TUSD'!$O$63</f>
        <v>0</v>
      </c>
      <c r="P6" s="13">
        <f>'TR TUSD'!$P$6*'TR TUSD'!$P$63</f>
        <v>0</v>
      </c>
      <c r="Q6" s="13">
        <f>'TR TUSD'!$Q$6*'TR TUSD'!$Q$63</f>
        <v>0</v>
      </c>
      <c r="R6" s="13">
        <f>'TR TUSD'!$R$6*'TR TUSD'!$R$63</f>
        <v>0</v>
      </c>
      <c r="S6" s="13">
        <f>'TR TUSD'!$S$6*'TR TUSD'!$S$63</f>
        <v>0</v>
      </c>
      <c r="T6" s="13">
        <f ca="1">SUM($L$6:$S$6)</f>
        <v>0</v>
      </c>
      <c r="U6" s="13">
        <f>'TR TUSD'!$U$6*'TR TUSD'!$U$63</f>
        <v>0</v>
      </c>
      <c r="V6" s="13">
        <f>'TR TUSD'!$V$6*'TR TUSD'!$V$63</f>
        <v>0</v>
      </c>
      <c r="W6" s="13">
        <f>'TR TUSD'!$W$6*'TR TUSD'!$W$63</f>
        <v>0</v>
      </c>
      <c r="X6" s="13">
        <f>'TR TUSD'!$X$6*'TR TUSD'!$X$63</f>
        <v>0</v>
      </c>
      <c r="Y6" s="13">
        <f>'TR TUSD'!$Y$6*'TR TUSD'!$Y$63</f>
        <v>8.6924242281492816</v>
      </c>
      <c r="Z6" s="13">
        <f>'TR TUSD'!$Z$6</f>
        <v>0</v>
      </c>
      <c r="AA6" s="13">
        <f>'TR TUSD'!$AA$6</f>
        <v>0</v>
      </c>
      <c r="AB6" s="13">
        <f>SUM($U$6:$AA$6)</f>
        <v>8.6924242281492816</v>
      </c>
      <c r="AC6" s="13">
        <f>'TR TUSD'!$AC$6*'TR TUSD'!$AC$63</f>
        <v>17.838167950467351</v>
      </c>
      <c r="AD6" s="13">
        <f>SUM($AC$6:$AC$6)</f>
        <v>17.838167950467351</v>
      </c>
      <c r="AE6" s="13">
        <v>0</v>
      </c>
      <c r="AF6" s="13">
        <v>0</v>
      </c>
      <c r="AG6" s="13">
        <f>SUM($AE$6:$AF$6)</f>
        <v>0</v>
      </c>
      <c r="AH6" s="13">
        <f>'TR TUSD'!$AH$6*'TR TUSD'!$AH$63</f>
        <v>0</v>
      </c>
      <c r="AI6" s="13">
        <f>'TR TUSD'!$AI$6*'TR TUSD'!$AI$63</f>
        <v>0</v>
      </c>
      <c r="AJ6" s="13">
        <f ca="1">'TR TUSD'!$AJ$6*'TR TUSD'!$AJ$63</f>
        <v>0</v>
      </c>
      <c r="AK6" s="13">
        <f ca="1">'TR TUSD'!$AK$6*'TR TUSD'!$AK$63</f>
        <v>0</v>
      </c>
      <c r="AL6" s="13">
        <f ca="1">SUM($AH$6:$AK$6)</f>
        <v>0</v>
      </c>
      <c r="AM6" s="13">
        <f ca="1">SUMIF($L$4:$AL$4,"SUBTOTAL",$L$6:$AL$6)</f>
        <v>26.530592178616633</v>
      </c>
      <c r="AP6" s="13">
        <v>1</v>
      </c>
    </row>
    <row r="7" spans="1:42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>
        <f>'TR TUSD'!$L$7*'TR TUSD'!$L$63</f>
        <v>0</v>
      </c>
      <c r="M7" s="13">
        <f>'TR TUSD'!$M$7*'TR TUSD'!$M$63</f>
        <v>0.91934546165588527</v>
      </c>
      <c r="N7" s="13">
        <f ca="1">'TR TUSD'!$N$7*'TR TUSD'!$N$63</f>
        <v>0</v>
      </c>
      <c r="O7" s="13">
        <f>'TR TUSD'!$O$7*'TR TUSD'!$O$63</f>
        <v>0</v>
      </c>
      <c r="P7" s="13">
        <f>'TR TUSD'!$P$7*'TR TUSD'!$P$63</f>
        <v>0</v>
      </c>
      <c r="Q7" s="13">
        <f>'TR TUSD'!$Q$7*'TR TUSD'!$Q$63</f>
        <v>76.30604361785322</v>
      </c>
      <c r="R7" s="13">
        <f>'TR TUSD'!$R$7*'TR TUSD'!$R$63</f>
        <v>14.351930687165005</v>
      </c>
      <c r="S7" s="13">
        <f>'TR TUSD'!$S$7*'TR TUSD'!$S$63</f>
        <v>0</v>
      </c>
      <c r="T7" s="13">
        <f ca="1">SUM($L$7:$S$7)</f>
        <v>91.577319766674108</v>
      </c>
      <c r="U7" s="13">
        <f>'TR TUSD'!$U$7*'TR TUSD'!$U$63</f>
        <v>0</v>
      </c>
      <c r="V7" s="13">
        <f>'TR TUSD'!$V$7*'TR TUSD'!$V$63</f>
        <v>0</v>
      </c>
      <c r="W7" s="13">
        <f>'TR TUSD'!$W$7*'TR TUSD'!$W$63</f>
        <v>0</v>
      </c>
      <c r="X7" s="13">
        <f>'TR TUSD'!$X$7*'TR TUSD'!$X$63</f>
        <v>0</v>
      </c>
      <c r="Y7" s="13">
        <f>'TR TUSD'!$Y$7*'TR TUSD'!$Y$63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TUSD'!$AC$63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TUSD'!$AH$63</f>
        <v>9.3336074833259257</v>
      </c>
      <c r="AI7" s="13">
        <f>'TR TUSD'!$AI$7*'TR TUSD'!$AI$63</f>
        <v>0.25617735736802127</v>
      </c>
      <c r="AJ7" s="13">
        <f ca="1">'TR TUSD'!$AJ$7*'TR TUSD'!$AJ$63</f>
        <v>0</v>
      </c>
      <c r="AK7" s="13">
        <f ca="1">'TR TUSD'!$AK$7*'TR TUSD'!$AK$63</f>
        <v>0</v>
      </c>
      <c r="AL7" s="13">
        <f ca="1">SUM($AH$7:$AK$7)</f>
        <v>9.5897848406939463</v>
      </c>
      <c r="AM7" s="13">
        <f ca="1">SUMIF($L$4:$AL$4,"SUBTOTAL",$L$7:$AL$7)</f>
        <v>101.16710460736806</v>
      </c>
      <c r="AP7" s="13">
        <v>1</v>
      </c>
    </row>
    <row r="8" spans="1:42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>
        <f>'TR TUSD'!$L$8*'TR TUSD'!$L$63</f>
        <v>0</v>
      </c>
      <c r="M8" s="13">
        <f>'TR TUSD'!$M$8*'TR TUSD'!$M$63</f>
        <v>0.91934546165588527</v>
      </c>
      <c r="N8" s="13">
        <f ca="1">'TR TUSD'!$N$8*'TR TUSD'!$N$63</f>
        <v>0</v>
      </c>
      <c r="O8" s="13">
        <f>'TR TUSD'!$O$8*'TR TUSD'!$O$63</f>
        <v>0</v>
      </c>
      <c r="P8" s="13">
        <f>'TR TUSD'!$P$8*'TR TUSD'!$P$63</f>
        <v>0</v>
      </c>
      <c r="Q8" s="13">
        <f>'TR TUSD'!$Q$8*'TR TUSD'!$Q$63</f>
        <v>0</v>
      </c>
      <c r="R8" s="13">
        <f>'TR TUSD'!$R$8*'TR TUSD'!$R$63</f>
        <v>0</v>
      </c>
      <c r="S8" s="13">
        <f>'TR TUSD'!$S$8*'TR TUSD'!$S$63</f>
        <v>0</v>
      </c>
      <c r="T8" s="13">
        <f ca="1">SUM($L$8:$S$8)</f>
        <v>0.91934546165588527</v>
      </c>
      <c r="U8" s="13">
        <f>'TR TUSD'!$U$8*'TR TUSD'!$U$63</f>
        <v>0</v>
      </c>
      <c r="V8" s="13">
        <f>'TR TUSD'!$V$8*'TR TUSD'!$V$63</f>
        <v>0</v>
      </c>
      <c r="W8" s="13">
        <f>'TR TUSD'!$W$8*'TR TUSD'!$W$63</f>
        <v>0</v>
      </c>
      <c r="X8" s="13">
        <f>'TR TUSD'!$X$8*'TR TUSD'!$X$63</f>
        <v>0</v>
      </c>
      <c r="Y8" s="13">
        <f>'TR TUSD'!$Y$8*'TR TUSD'!$Y$63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TUSD'!$AC$63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TUSD'!$AH$63</f>
        <v>9.3336074833259257</v>
      </c>
      <c r="AI8" s="13">
        <f>'TR TUSD'!$AI$8*'TR TUSD'!$AI$63</f>
        <v>0.25617735736802127</v>
      </c>
      <c r="AJ8" s="13">
        <f ca="1">'TR TUSD'!$AJ$8*'TR TUSD'!$AJ$63</f>
        <v>0</v>
      </c>
      <c r="AK8" s="13">
        <f ca="1">'TR TUSD'!$AK$8*'TR TUSD'!$AK$63</f>
        <v>0</v>
      </c>
      <c r="AL8" s="13">
        <f ca="1">SUM($AH$8:$AK$8)</f>
        <v>9.5897848406939463</v>
      </c>
      <c r="AM8" s="13">
        <f ca="1">SUMIF($L$4:$AL$4,"SUBTOTAL",$L$8:$AL$8)</f>
        <v>10.509130302349831</v>
      </c>
      <c r="AP8" s="13">
        <v>1</v>
      </c>
    </row>
    <row r="9" spans="1:42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>
        <f>'TR TUSD'!$L$9*'TR TUSD'!$L$63</f>
        <v>0</v>
      </c>
      <c r="M9" s="13">
        <f>'TR TUSD'!$M$9*'TR TUSD'!$M$63</f>
        <v>0</v>
      </c>
      <c r="N9" s="13">
        <f ca="1">'TR TUSD'!$N$9*'TR TUSD'!$N$63</f>
        <v>0</v>
      </c>
      <c r="O9" s="13">
        <f>'TR TUSD'!$O$9*'TR TUSD'!$O$63</f>
        <v>0</v>
      </c>
      <c r="P9" s="13">
        <f>'TR TUSD'!$P$9*'TR TUSD'!$P$63</f>
        <v>0</v>
      </c>
      <c r="Q9" s="13">
        <f>'TR TUSD'!$Q$9*'TR TUSD'!$Q$63</f>
        <v>0</v>
      </c>
      <c r="R9" s="13">
        <f>'TR TUSD'!$R$9*'TR TUSD'!$R$63</f>
        <v>0</v>
      </c>
      <c r="S9" s="13">
        <f>'TR TUSD'!$S$9*'TR TUSD'!$S$63</f>
        <v>0</v>
      </c>
      <c r="T9" s="13">
        <f ca="1">SUM($L$9:$S$9)</f>
        <v>0</v>
      </c>
      <c r="U9" s="13">
        <f>'TR TUSD'!$U$9*'TR TUSD'!$U$63</f>
        <v>0</v>
      </c>
      <c r="V9" s="13">
        <f>'TR TUSD'!$V$9*'TR TUSD'!$V$63</f>
        <v>0</v>
      </c>
      <c r="W9" s="13">
        <f>'TR TUSD'!$W$9*'TR TUSD'!$W$63</f>
        <v>0</v>
      </c>
      <c r="X9" s="13">
        <f>'TR TUSD'!$X$9*'TR TUSD'!$X$63</f>
        <v>0</v>
      </c>
      <c r="Y9" s="13">
        <f>'TR TUSD'!$Y$9*'TR TUSD'!$Y$63</f>
        <v>21.505990955123536</v>
      </c>
      <c r="Z9" s="13">
        <f>'TR TUSD'!$Z$9</f>
        <v>0</v>
      </c>
      <c r="AA9" s="13">
        <f>'TR TUSD'!$AA$9</f>
        <v>0</v>
      </c>
      <c r="AB9" s="13">
        <f>SUM($U$9:$AA$9)</f>
        <v>21.505990955123536</v>
      </c>
      <c r="AC9" s="13">
        <f>'TR TUSD'!$AC$9*'TR TUSD'!$AC$63</f>
        <v>40.878807690689726</v>
      </c>
      <c r="AD9" s="13">
        <f>SUM($AC$9:$AC$9)</f>
        <v>40.878807690689726</v>
      </c>
      <c r="AE9" s="13">
        <v>0</v>
      </c>
      <c r="AF9" s="13">
        <v>0</v>
      </c>
      <c r="AG9" s="13">
        <f>SUM($AE$9:$AF$9)</f>
        <v>0</v>
      </c>
      <c r="AH9" s="13">
        <f>'TR TUSD'!$AH$9*'TR TUSD'!$AH$63</f>
        <v>0</v>
      </c>
      <c r="AI9" s="13">
        <f>'TR TUSD'!$AI$9*'TR TUSD'!$AI$63</f>
        <v>0</v>
      </c>
      <c r="AJ9" s="13">
        <f ca="1">'TR TUSD'!$AJ$9*'TR TUSD'!$AJ$63</f>
        <v>0</v>
      </c>
      <c r="AK9" s="13">
        <f ca="1">'TR TUSD'!$AK$9*'TR TUSD'!$AK$63</f>
        <v>0</v>
      </c>
      <c r="AL9" s="13">
        <f ca="1">SUM($AH$9:$AK$9)</f>
        <v>0</v>
      </c>
      <c r="AM9" s="13">
        <f ca="1">SUMIF($L$4:$AL$4,"SUBTOTAL",$L$9:$AL$9)</f>
        <v>62.384798645813262</v>
      </c>
      <c r="AP9" s="13">
        <v>1</v>
      </c>
    </row>
    <row r="10" spans="1:42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>
        <f>'TR TUSD'!$L$10*'TR TUSD'!$L$63</f>
        <v>0</v>
      </c>
      <c r="M10" s="13">
        <f>'TR TUSD'!$M$10*'TR TUSD'!$M$63</f>
        <v>0</v>
      </c>
      <c r="N10" s="13">
        <f ca="1">'TR TUSD'!$N$10*'TR TUSD'!$N$63</f>
        <v>0</v>
      </c>
      <c r="O10" s="13">
        <f>'TR TUSD'!$O$10*'TR TUSD'!$O$63</f>
        <v>0</v>
      </c>
      <c r="P10" s="13">
        <f>'TR TUSD'!$P$10*'TR TUSD'!$P$63</f>
        <v>0</v>
      </c>
      <c r="Q10" s="13">
        <f>'TR TUSD'!$Q$10*'TR TUSD'!$Q$63</f>
        <v>0</v>
      </c>
      <c r="R10" s="13">
        <f>'TR TUSD'!$R$10*'TR TUSD'!$R$63</f>
        <v>0</v>
      </c>
      <c r="S10" s="13">
        <f>'TR TUSD'!$S$10*'TR TUSD'!$S$63</f>
        <v>0</v>
      </c>
      <c r="T10" s="13">
        <f ca="1">SUM($L$10:$S$10)</f>
        <v>0</v>
      </c>
      <c r="U10" s="13">
        <f>'TR TUSD'!$U$10*'TR TUSD'!$U$63</f>
        <v>0</v>
      </c>
      <c r="V10" s="13">
        <f>'TR TUSD'!$V$10*'TR TUSD'!$V$63</f>
        <v>0</v>
      </c>
      <c r="W10" s="13">
        <f>'TR TUSD'!$W$10*'TR TUSD'!$W$63</f>
        <v>0</v>
      </c>
      <c r="X10" s="13">
        <f>'TR TUSD'!$X$10*'TR TUSD'!$X$63</f>
        <v>0</v>
      </c>
      <c r="Y10" s="13">
        <f>'TR TUSD'!$Y$10*'TR TUSD'!$Y$63</f>
        <v>8.6924242281492816</v>
      </c>
      <c r="Z10" s="13">
        <f>'TR TUSD'!$Z$10</f>
        <v>0</v>
      </c>
      <c r="AA10" s="13">
        <f>'TR TUSD'!$AA$10</f>
        <v>0</v>
      </c>
      <c r="AB10" s="13">
        <f>SUM($U$10:$AA$10)</f>
        <v>8.6924242281492816</v>
      </c>
      <c r="AC10" s="13">
        <f>'TR TUSD'!$AC$10*'TR TUSD'!$AC$63</f>
        <v>11.422629948583729</v>
      </c>
      <c r="AD10" s="13">
        <f>SUM($AC$10:$AC$10)</f>
        <v>11.422629948583729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TUSD'!$AH$63</f>
        <v>0</v>
      </c>
      <c r="AI10" s="13">
        <f>'TR TUSD'!$AI$10*'TR TUSD'!$AI$63</f>
        <v>0</v>
      </c>
      <c r="AJ10" s="13">
        <f ca="1">'TR TUSD'!$AJ$10*'TR TUSD'!$AJ$63</f>
        <v>0</v>
      </c>
      <c r="AK10" s="13">
        <f ca="1">'TR TUSD'!$AK$10*'TR TUSD'!$AK$63</f>
        <v>0</v>
      </c>
      <c r="AL10" s="13">
        <f ca="1">SUM($AH$10:$AK$10)</f>
        <v>0</v>
      </c>
      <c r="AM10" s="13">
        <f ca="1">SUMIF($L$4:$AL$4,"SUBTOTAL",$L$10:$AL$10)</f>
        <v>20.115054176733011</v>
      </c>
      <c r="AP10" s="13">
        <v>1</v>
      </c>
    </row>
    <row r="11" spans="1:42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>
        <f>'TR TUSD'!$L$11*'TR TUSD'!$L$63</f>
        <v>0</v>
      </c>
      <c r="M11" s="13">
        <f>'TR TUSD'!$M$11*'TR TUSD'!$M$63</f>
        <v>0</v>
      </c>
      <c r="N11" s="13">
        <f ca="1">'TR TUSD'!$N$11*'TR TUSD'!$N$63</f>
        <v>0</v>
      </c>
      <c r="O11" s="13">
        <f>'TR TUSD'!$O$11*'TR TUSD'!$O$63</f>
        <v>0</v>
      </c>
      <c r="P11" s="13">
        <f>'TR TUSD'!$P$11*'TR TUSD'!$P$63</f>
        <v>0</v>
      </c>
      <c r="Q11" s="13">
        <f>'TR TUSD'!$Q$11*'TR TUSD'!$Q$63</f>
        <v>0</v>
      </c>
      <c r="R11" s="13">
        <f>'TR TUSD'!$R$11*'TR TUSD'!$R$63</f>
        <v>0</v>
      </c>
      <c r="S11" s="13">
        <f>'TR TUSD'!$S$11*'TR TUSD'!$S$63</f>
        <v>0</v>
      </c>
      <c r="T11" s="13">
        <f ca="1">SUM($L$11:$S$11)</f>
        <v>0</v>
      </c>
      <c r="U11" s="13">
        <f>'TR TUSD'!$U$11*'TR TUSD'!$U$63</f>
        <v>0</v>
      </c>
      <c r="V11" s="13">
        <f>'TR TUSD'!$V$11*'TR TUSD'!$V$63</f>
        <v>0</v>
      </c>
      <c r="W11" s="13">
        <f>'TR TUSD'!$W$11*'TR TUSD'!$W$63</f>
        <v>0</v>
      </c>
      <c r="X11" s="13">
        <f>'TR TUSD'!$X$11*'TR TUSD'!$X$63</f>
        <v>0</v>
      </c>
      <c r="Y11" s="13">
        <f>'TR TUSD'!$Y$11*'TR TUSD'!$Y$63</f>
        <v>0</v>
      </c>
      <c r="Z11" s="13">
        <f>'TR TUSD'!$Z$11</f>
        <v>0</v>
      </c>
      <c r="AA11" s="13">
        <f>'TR TUSD'!$AA$11</f>
        <v>0</v>
      </c>
      <c r="AB11" s="13">
        <f>SUM($U$11:$AA$11)</f>
        <v>0</v>
      </c>
      <c r="AC11" s="13">
        <f>'TR TUSD'!$AC$11*'TR TUSD'!$AC$63</f>
        <v>0</v>
      </c>
      <c r="AD11" s="13">
        <f>SUM($AC$11:$AC$11)</f>
        <v>0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TUSD'!$AH$63</f>
        <v>9.3336074833259257</v>
      </c>
      <c r="AI11" s="13">
        <f>'TR TUSD'!$AI$11*'TR TUSD'!$AI$63</f>
        <v>0.25617735736802127</v>
      </c>
      <c r="AJ11" s="13">
        <f ca="1">'TR TUSD'!$AJ$11*'TR TUSD'!$AJ$63</f>
        <v>0</v>
      </c>
      <c r="AK11" s="13">
        <f ca="1">'TR TUSD'!$AK$11*'TR TUSD'!$AK$63</f>
        <v>0</v>
      </c>
      <c r="AL11" s="13">
        <f ca="1">SUM($AH$11:$AK$11)</f>
        <v>9.5897848406939463</v>
      </c>
      <c r="AM11" s="13">
        <f ca="1">SUMIF($L$4:$AL$4,"SUBTOTAL",$L$11:$AL$11)</f>
        <v>9.5897848406939463</v>
      </c>
      <c r="AP11" s="13">
        <v>1</v>
      </c>
    </row>
    <row r="12" spans="1:42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>
        <f>'TR TUSD'!$L$12*'TR TUSD'!$L$63</f>
        <v>0</v>
      </c>
      <c r="M12" s="13">
        <f>'TR TUSD'!$M$12*'TR TUSD'!$M$63</f>
        <v>1.0529314478749763E-2</v>
      </c>
      <c r="N12" s="13">
        <f ca="1">'TR TUSD'!$N$12*'TR TUSD'!$N$63</f>
        <v>0</v>
      </c>
      <c r="O12" s="13">
        <f>'TR TUSD'!$O$12*'TR TUSD'!$O$63</f>
        <v>0</v>
      </c>
      <c r="P12" s="13">
        <f>'TR TUSD'!$P$12*'TR TUSD'!$P$63</f>
        <v>0</v>
      </c>
      <c r="Q12" s="13">
        <f>'TR TUSD'!$Q$12*'TR TUSD'!$Q$63</f>
        <v>0</v>
      </c>
      <c r="R12" s="13">
        <f>'TR TUSD'!$R$12*'TR TUSD'!$R$63</f>
        <v>0</v>
      </c>
      <c r="S12" s="13">
        <f>'TR TUSD'!$S$12*'TR TUSD'!$S$63</f>
        <v>0</v>
      </c>
      <c r="T12" s="13">
        <f ca="1">SUM($L$12:$S$12)</f>
        <v>1.0529314478749763E-2</v>
      </c>
      <c r="U12" s="13">
        <f>'TR TUSD'!$U$12*'TR TUSD'!$U$63</f>
        <v>0</v>
      </c>
      <c r="V12" s="13">
        <f>'TR TUSD'!$V$12*'TR TUSD'!$V$63</f>
        <v>0</v>
      </c>
      <c r="W12" s="13">
        <f>'TR TUSD'!$W$12*'TR TUSD'!$W$63</f>
        <v>0</v>
      </c>
      <c r="X12" s="13">
        <f>'TR TUSD'!$X$12*'TR TUSD'!$X$63</f>
        <v>0</v>
      </c>
      <c r="Y12" s="13">
        <f>'TR TUSD'!$Y$12*'TR TUSD'!$Y$63</f>
        <v>0</v>
      </c>
      <c r="Z12" s="13">
        <f>'TR TUSD'!$Z$12*'TR TUSD'!$Z$63</f>
        <v>0</v>
      </c>
      <c r="AA12" s="13">
        <f>'TR TUSD'!$AA$12*'TR TUSD'!$AA$63</f>
        <v>0</v>
      </c>
      <c r="AB12" s="13">
        <f>SUM($U$12:$AA$12)</f>
        <v>0</v>
      </c>
      <c r="AC12" s="13">
        <f>'TR TUSD'!$AC$12*'TR TUSD'!$AC$63</f>
        <v>5.1445727840746782</v>
      </c>
      <c r="AD12" s="13">
        <f>SUM($AC$12:$AC$12)</f>
        <v>5.1445727840746782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TUSD'!$AH$63</f>
        <v>0</v>
      </c>
      <c r="AI12" s="13">
        <f>'TR TUSD'!$AI$12*'TR TUSD'!$AI$63</f>
        <v>0</v>
      </c>
      <c r="AJ12" s="13">
        <f ca="1">'TR TUSD'!$AJ$12*'TR TUSD'!$AJ$63</f>
        <v>0</v>
      </c>
      <c r="AK12" s="13">
        <f ca="1">'TR TUSD'!$AK$12*'TR TUSD'!$AK$63</f>
        <v>0</v>
      </c>
      <c r="AL12" s="13">
        <f ca="1">SUM($AH$12:$AK$12)</f>
        <v>0</v>
      </c>
      <c r="AM12" s="13">
        <f ca="1">SUMIF($L$4:$AL$4,"SUBTOTAL",$L$12:$AL$12)</f>
        <v>5.1551020985534279</v>
      </c>
      <c r="AP12" s="13"/>
    </row>
    <row r="13" spans="1:42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>
        <f>'TR TUSD'!$L$13*'TR TUSD'!$L$63</f>
        <v>0</v>
      </c>
      <c r="M13" s="13">
        <f>'TR TUSD'!$M$13*'TR TUSD'!$M$63</f>
        <v>0</v>
      </c>
      <c r="N13" s="13">
        <f ca="1">'TR TUSD'!$N$13*'TR TUSD'!$N$63</f>
        <v>0</v>
      </c>
      <c r="O13" s="13">
        <f>'TR TUSD'!$O$13*'TR TUSD'!$O$63</f>
        <v>0</v>
      </c>
      <c r="P13" s="13">
        <f>'TR TUSD'!$P$13*'TR TUSD'!$P$63</f>
        <v>0</v>
      </c>
      <c r="Q13" s="13">
        <f>'TR TUSD'!$Q$13*'TR TUSD'!$Q$63</f>
        <v>0</v>
      </c>
      <c r="R13" s="13">
        <f>'TR TUSD'!$R$13*'TR TUSD'!$R$63</f>
        <v>0</v>
      </c>
      <c r="S13" s="13">
        <f>'TR TUSD'!$S$13*'TR TUSD'!$S$63</f>
        <v>0</v>
      </c>
      <c r="T13" s="13">
        <f ca="1">SUM($L$13:$S$13)</f>
        <v>0</v>
      </c>
      <c r="U13" s="13">
        <f>'TR TUSD'!$U$13*'TR TUSD'!$U$63</f>
        <v>0</v>
      </c>
      <c r="V13" s="13">
        <f>'TR TUSD'!$V$13*'TR TUSD'!$V$63</f>
        <v>0</v>
      </c>
      <c r="W13" s="13">
        <f>'TR TUSD'!$W$13*'TR TUSD'!$W$63</f>
        <v>0</v>
      </c>
      <c r="X13" s="13">
        <f>'TR TUSD'!$X$13*'TR TUSD'!$X$63</f>
        <v>0</v>
      </c>
      <c r="Y13" s="13">
        <f>'TR TUSD'!$Y$13*'TR TUSD'!$Y$63</f>
        <v>8.6924242281492816</v>
      </c>
      <c r="Z13" s="13">
        <f>'TR TUSD'!$Z$13</f>
        <v>0</v>
      </c>
      <c r="AA13" s="13">
        <f>'TR TUSD'!$AA$13</f>
        <v>0</v>
      </c>
      <c r="AB13" s="13">
        <f>SUM($U$13:$AA$13)</f>
        <v>8.6924242281492816</v>
      </c>
      <c r="AC13" s="13">
        <f>'TR TUSD'!$AC$13*'TR TUSD'!$AC$63</f>
        <v>17.838167950467351</v>
      </c>
      <c r="AD13" s="13">
        <f>SUM($AC$13:$AC$13)</f>
        <v>17.838167950467351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TUSD'!$AH$63</f>
        <v>0</v>
      </c>
      <c r="AI13" s="13">
        <f>'TR TUSD'!$AI$13*'TR TUSD'!$AI$63</f>
        <v>0</v>
      </c>
      <c r="AJ13" s="13">
        <f ca="1">'TR TUSD'!$AJ$13*'TR TUSD'!$AJ$63</f>
        <v>0</v>
      </c>
      <c r="AK13" s="13">
        <f ca="1">'TR TUSD'!$AK$13*'TR TUSD'!$AK$63</f>
        <v>0</v>
      </c>
      <c r="AL13" s="13">
        <f ca="1">SUM($AH$13:$AK$13)</f>
        <v>0</v>
      </c>
      <c r="AM13" s="13">
        <f ca="1">SUMIF($L$4:$AL$4,"SUBTOTAL",$L$13:$AL$13)</f>
        <v>26.530592178616633</v>
      </c>
      <c r="AP13" s="13">
        <v>1</v>
      </c>
    </row>
    <row r="14" spans="1:42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>
        <f>'TR TUSD'!$L$14*'TR TUSD'!$L$63</f>
        <v>0</v>
      </c>
      <c r="M14" s="13">
        <f>'TR TUSD'!$M$14*'TR TUSD'!$M$63</f>
        <v>0.91934546165588527</v>
      </c>
      <c r="N14" s="13">
        <f ca="1">'TR TUSD'!$N$14*'TR TUSD'!$N$63</f>
        <v>0</v>
      </c>
      <c r="O14" s="13">
        <f>'TR TUSD'!$O$14*'TR TUSD'!$O$63</f>
        <v>0</v>
      </c>
      <c r="P14" s="13">
        <f>'TR TUSD'!$P$14*'TR TUSD'!$P$63</f>
        <v>0</v>
      </c>
      <c r="Q14" s="13">
        <f>'TR TUSD'!$Q$14*'TR TUSD'!$Q$63</f>
        <v>76.30604361785322</v>
      </c>
      <c r="R14" s="13">
        <f>'TR TUSD'!$R$14*'TR TUSD'!$R$63</f>
        <v>14.351930687165005</v>
      </c>
      <c r="S14" s="13">
        <f>'TR TUSD'!$S$14*'TR TUSD'!$S$63</f>
        <v>0</v>
      </c>
      <c r="T14" s="13">
        <f ca="1">SUM($L$14:$S$14)</f>
        <v>91.577319766674108</v>
      </c>
      <c r="U14" s="13">
        <f>'TR TUSD'!$U$14*'TR TUSD'!$U$63</f>
        <v>0</v>
      </c>
      <c r="V14" s="13">
        <f>'TR TUSD'!$V$14*'TR TUSD'!$V$63</f>
        <v>0</v>
      </c>
      <c r="W14" s="13">
        <f>'TR TUSD'!$W$14*'TR TUSD'!$W$63</f>
        <v>0</v>
      </c>
      <c r="X14" s="13">
        <f>'TR TUSD'!$X$14*'TR TUSD'!$X$63</f>
        <v>0</v>
      </c>
      <c r="Y14" s="13">
        <f>'TR TUSD'!$Y$14*'TR TUSD'!$Y$63</f>
        <v>517.42361112912033</v>
      </c>
      <c r="Z14" s="13">
        <f>'TR TUSD'!$Z$14</f>
        <v>0</v>
      </c>
      <c r="AA14" s="13">
        <f>'TR TUSD'!$AA$14</f>
        <v>0</v>
      </c>
      <c r="AB14" s="13">
        <f>SUM($U$14:$AA$14)</f>
        <v>517.42361112912033</v>
      </c>
      <c r="AC14" s="13">
        <f>'TR TUSD'!$AC$14*'TR TUSD'!$AC$63</f>
        <v>1535.2780464870448</v>
      </c>
      <c r="AD14" s="13">
        <f>SUM($AC$14:$AC$14)</f>
        <v>1535.2780464870448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TUSD'!$AH$63</f>
        <v>9.3336074833259257</v>
      </c>
      <c r="AI14" s="13">
        <f>'TR TUSD'!$AI$14*'TR TUSD'!$AI$63</f>
        <v>0.25617735736802127</v>
      </c>
      <c r="AJ14" s="13">
        <f ca="1">'TR TUSD'!$AJ$14*'TR TUSD'!$AJ$63</f>
        <v>0</v>
      </c>
      <c r="AK14" s="13">
        <f ca="1">'TR TUSD'!$AK$14*'TR TUSD'!$AK$63</f>
        <v>0</v>
      </c>
      <c r="AL14" s="13">
        <f ca="1">SUM($AH$14:$AK$14)</f>
        <v>9.5897848406939463</v>
      </c>
      <c r="AM14" s="13">
        <f ca="1">SUMIF($L$4:$AL$4,"SUBTOTAL",$L$14:$AL$14)</f>
        <v>2153.8687622235329</v>
      </c>
      <c r="AP14" s="13">
        <v>1</v>
      </c>
    </row>
    <row r="15" spans="1:42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>
        <f>'TR TUSD'!$L$15*'TR TUSD'!$L$63</f>
        <v>0</v>
      </c>
      <c r="M15" s="13">
        <f>'TR TUSD'!$M$15*'TR TUSD'!$M$63</f>
        <v>0.91934546165588527</v>
      </c>
      <c r="N15" s="13">
        <f ca="1">'TR TUSD'!$N$15*'TR TUSD'!$N$63</f>
        <v>0</v>
      </c>
      <c r="O15" s="13">
        <f>'TR TUSD'!$O$15*'TR TUSD'!$O$63</f>
        <v>0</v>
      </c>
      <c r="P15" s="13">
        <f>'TR TUSD'!$P$15*'TR TUSD'!$P$63</f>
        <v>0</v>
      </c>
      <c r="Q15" s="13">
        <f>'TR TUSD'!$Q$15*'TR TUSD'!$Q$63</f>
        <v>76.30604361785322</v>
      </c>
      <c r="R15" s="13">
        <f>'TR TUSD'!$R$15*'TR TUSD'!$R$63</f>
        <v>14.351930687165005</v>
      </c>
      <c r="S15" s="13">
        <f>'TR TUSD'!$S$15*'TR TUSD'!$S$63</f>
        <v>0</v>
      </c>
      <c r="T15" s="13">
        <f ca="1">SUM($L$15:$S$15)</f>
        <v>91.577319766674108</v>
      </c>
      <c r="U15" s="13">
        <f>'TR TUSD'!$U$15*'TR TUSD'!$U$63</f>
        <v>0</v>
      </c>
      <c r="V15" s="13">
        <f>'TR TUSD'!$V$15*'TR TUSD'!$V$63</f>
        <v>0</v>
      </c>
      <c r="W15" s="13">
        <f>'TR TUSD'!$W$15*'TR TUSD'!$W$63</f>
        <v>0</v>
      </c>
      <c r="X15" s="13">
        <f>'TR TUSD'!$X$15*'TR TUSD'!$X$63</f>
        <v>0</v>
      </c>
      <c r="Y15" s="13">
        <f>'TR TUSD'!$Y$15*'TR TUSD'!$Y$63</f>
        <v>0</v>
      </c>
      <c r="Z15" s="13">
        <f>'TR TUSD'!$Z$15</f>
        <v>0</v>
      </c>
      <c r="AA15" s="13">
        <f>'TR TUSD'!$AA$15</f>
        <v>0</v>
      </c>
      <c r="AB15" s="13">
        <f>SUM($U$15:$AA$15)</f>
        <v>0</v>
      </c>
      <c r="AC15" s="13">
        <f>'TR TUSD'!$AC$15*'TR TUSD'!$AC$63</f>
        <v>0</v>
      </c>
      <c r="AD15" s="13">
        <f>SUM($AC$15:$AC$15)</f>
        <v>0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TUSD'!$AH$63</f>
        <v>9.3336074833259257</v>
      </c>
      <c r="AI15" s="13">
        <f>'TR TUSD'!$AI$15*'TR TUSD'!$AI$63</f>
        <v>0.25617735736802127</v>
      </c>
      <c r="AJ15" s="13">
        <f ca="1">'TR TUSD'!$AJ$15*'TR TUSD'!$AJ$63</f>
        <v>0</v>
      </c>
      <c r="AK15" s="13">
        <f ca="1">'TR TUSD'!$AK$15*'TR TUSD'!$AK$63</f>
        <v>0</v>
      </c>
      <c r="AL15" s="13">
        <f ca="1">SUM($AH$15:$AK$15)</f>
        <v>9.5897848406939463</v>
      </c>
      <c r="AM15" s="13">
        <f ca="1">SUMIF($L$4:$AL$4,"SUBTOTAL",$L$15:$AL$15)</f>
        <v>101.16710460736806</v>
      </c>
      <c r="AP15" s="13">
        <v>1</v>
      </c>
    </row>
    <row r="16" spans="1:42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>
        <f>'TR TUSD'!$L$16*'TR TUSD'!$L$63</f>
        <v>0</v>
      </c>
      <c r="M16" s="13">
        <f>'TR TUSD'!$M$16*'TR TUSD'!$M$63</f>
        <v>0.91934546165588527</v>
      </c>
      <c r="N16" s="13">
        <f ca="1">'TR TUSD'!$N$16*'TR TUSD'!$N$63</f>
        <v>0</v>
      </c>
      <c r="O16" s="13">
        <f>'TR TUSD'!$O$16*'TR TUSD'!$O$63</f>
        <v>0</v>
      </c>
      <c r="P16" s="13">
        <f>'TR TUSD'!$P$16*'TR TUSD'!$P$63</f>
        <v>0</v>
      </c>
      <c r="Q16" s="13">
        <f>'TR TUSD'!$Q$16*'TR TUSD'!$Q$63</f>
        <v>0</v>
      </c>
      <c r="R16" s="13">
        <f>'TR TUSD'!$R$16*'TR TUSD'!$R$63</f>
        <v>0</v>
      </c>
      <c r="S16" s="13">
        <f>'TR TUSD'!$S$16*'TR TUSD'!$S$63</f>
        <v>0</v>
      </c>
      <c r="T16" s="13">
        <f ca="1">SUM($L$16:$S$16)</f>
        <v>0.91934546165588527</v>
      </c>
      <c r="U16" s="13">
        <f>'TR TUSD'!$U$16*'TR TUSD'!$U$63</f>
        <v>0</v>
      </c>
      <c r="V16" s="13">
        <f>'TR TUSD'!$V$16*'TR TUSD'!$V$63</f>
        <v>0</v>
      </c>
      <c r="W16" s="13">
        <f>'TR TUSD'!$W$16*'TR TUSD'!$W$63</f>
        <v>0</v>
      </c>
      <c r="X16" s="13">
        <f>'TR TUSD'!$X$16*'TR TUSD'!$X$63</f>
        <v>0</v>
      </c>
      <c r="Y16" s="13">
        <f>'TR TUSD'!$Y$16*'TR TUSD'!$Y$63</f>
        <v>517.42361112912033</v>
      </c>
      <c r="Z16" s="13">
        <f>'TR TUSD'!$Z$16</f>
        <v>0</v>
      </c>
      <c r="AA16" s="13">
        <f>'TR TUSD'!$AA$16</f>
        <v>0</v>
      </c>
      <c r="AB16" s="13">
        <f>SUM($U$16:$AA$16)</f>
        <v>517.42361112912033</v>
      </c>
      <c r="AC16" s="13">
        <f>'TR TUSD'!$AC$16*'TR TUSD'!$AC$63</f>
        <v>1535.2780464870448</v>
      </c>
      <c r="AD16" s="13">
        <f>SUM($AC$16:$AC$16)</f>
        <v>1535.2780464870448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TUSD'!$AH$63</f>
        <v>9.3336074833259257</v>
      </c>
      <c r="AI16" s="13">
        <f>'TR TUSD'!$AI$16*'TR TUSD'!$AI$63</f>
        <v>0.25617735736802127</v>
      </c>
      <c r="AJ16" s="13">
        <f ca="1">'TR TUSD'!$AJ$16*'TR TUSD'!$AJ$63</f>
        <v>0</v>
      </c>
      <c r="AK16" s="13">
        <f ca="1">'TR TUSD'!$AK$16*'TR TUSD'!$AK$63</f>
        <v>0</v>
      </c>
      <c r="AL16" s="13">
        <f ca="1">SUM($AH$16:$AK$16)</f>
        <v>9.5897848406939463</v>
      </c>
      <c r="AM16" s="13">
        <f ca="1">SUMIF($L$4:$AL$4,"SUBTOTAL",$L$16:$AL$16)</f>
        <v>2063.2107879185151</v>
      </c>
      <c r="AP16" s="13">
        <v>1</v>
      </c>
    </row>
    <row r="17" spans="1:42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>
        <f>'TR TUSD'!$L$17*'TR TUSD'!$L$63</f>
        <v>0</v>
      </c>
      <c r="M17" s="13">
        <f>'TR TUSD'!$M$17*'TR TUSD'!$M$63</f>
        <v>0.91934546165588527</v>
      </c>
      <c r="N17" s="13">
        <f ca="1">'TR TUSD'!$N$17*'TR TUSD'!$N$63</f>
        <v>0</v>
      </c>
      <c r="O17" s="13">
        <f>'TR TUSD'!$O$17*'TR TUSD'!$O$63</f>
        <v>0</v>
      </c>
      <c r="P17" s="13">
        <f>'TR TUSD'!$P$17*'TR TUSD'!$P$63</f>
        <v>0</v>
      </c>
      <c r="Q17" s="13">
        <f>'TR TUSD'!$Q$17*'TR TUSD'!$Q$63</f>
        <v>0</v>
      </c>
      <c r="R17" s="13">
        <f>'TR TUSD'!$R$17*'TR TUSD'!$R$63</f>
        <v>0</v>
      </c>
      <c r="S17" s="13">
        <f>'TR TUSD'!$S$17*'TR TUSD'!$S$63</f>
        <v>0</v>
      </c>
      <c r="T17" s="13">
        <f ca="1">SUM($L$17:$S$17)</f>
        <v>0.91934546165588527</v>
      </c>
      <c r="U17" s="13">
        <f>'TR TUSD'!$U$17*'TR TUSD'!$U$63</f>
        <v>0</v>
      </c>
      <c r="V17" s="13">
        <f>'TR TUSD'!$V$17*'TR TUSD'!$V$63</f>
        <v>0</v>
      </c>
      <c r="W17" s="13">
        <f>'TR TUSD'!$W$17*'TR TUSD'!$W$63</f>
        <v>0</v>
      </c>
      <c r="X17" s="13">
        <f>'TR TUSD'!$X$17*'TR TUSD'!$X$63</f>
        <v>0</v>
      </c>
      <c r="Y17" s="13">
        <f>'TR TUSD'!$Y$17*'TR TUSD'!$Y$63</f>
        <v>0</v>
      </c>
      <c r="Z17" s="13">
        <f>'TR TUSD'!$Z$17</f>
        <v>0</v>
      </c>
      <c r="AA17" s="13">
        <f>'TR TUSD'!$AA$17</f>
        <v>0</v>
      </c>
      <c r="AB17" s="13">
        <f>SUM($U$17:$AA$17)</f>
        <v>0</v>
      </c>
      <c r="AC17" s="13">
        <f>'TR TUSD'!$AC$17*'TR TUSD'!$AC$63</f>
        <v>0</v>
      </c>
      <c r="AD17" s="13">
        <f>SUM($AC$17:$AC$17)</f>
        <v>0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TUSD'!$AH$63</f>
        <v>9.3336074833259257</v>
      </c>
      <c r="AI17" s="13">
        <f>'TR TUSD'!$AI$17*'TR TUSD'!$AI$63</f>
        <v>0.25617735736802127</v>
      </c>
      <c r="AJ17" s="13">
        <f ca="1">'TR TUSD'!$AJ$17*'TR TUSD'!$AJ$63</f>
        <v>0</v>
      </c>
      <c r="AK17" s="13">
        <f ca="1">'TR TUSD'!$AK$17*'TR TUSD'!$AK$63</f>
        <v>0</v>
      </c>
      <c r="AL17" s="13">
        <f ca="1">SUM($AH$17:$AK$17)</f>
        <v>9.5897848406939463</v>
      </c>
      <c r="AM17" s="13">
        <f ca="1">SUMIF($L$4:$AL$4,"SUBTOTAL",$L$17:$AL$17)</f>
        <v>10.509130302349831</v>
      </c>
      <c r="AP17" s="13">
        <v>1</v>
      </c>
    </row>
    <row r="18" spans="1:42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>
        <f>'TR TUSD'!$L$18*'TR TUSD'!$L$63</f>
        <v>0</v>
      </c>
      <c r="M18" s="13">
        <f>'TR TUSD'!$M$18*'TR TUSD'!$M$63</f>
        <v>1.0833044704098314E-2</v>
      </c>
      <c r="N18" s="13">
        <f ca="1">'TR TUSD'!$N$18*'TR TUSD'!$N$63</f>
        <v>0</v>
      </c>
      <c r="O18" s="13">
        <f>'TR TUSD'!$O$18*'TR TUSD'!$O$63</f>
        <v>0</v>
      </c>
      <c r="P18" s="13">
        <f>'TR TUSD'!$P$18*'TR TUSD'!$P$63</f>
        <v>0</v>
      </c>
      <c r="Q18" s="13">
        <f>'TR TUSD'!$Q$18*'TR TUSD'!$Q$63</f>
        <v>0</v>
      </c>
      <c r="R18" s="13">
        <f>'TR TUSD'!$R$18*'TR TUSD'!$R$63</f>
        <v>0</v>
      </c>
      <c r="S18" s="13">
        <f>'TR TUSD'!$S$18*'TR TUSD'!$S$63</f>
        <v>0</v>
      </c>
      <c r="T18" s="13">
        <f ca="1">SUM($L$18:$S$18)</f>
        <v>1.0833044704098314E-2</v>
      </c>
      <c r="U18" s="13">
        <f>'TR TUSD'!$U$18*'TR TUSD'!$U$63</f>
        <v>0</v>
      </c>
      <c r="V18" s="13">
        <f>'TR TUSD'!$V$18*'TR TUSD'!$V$63</f>
        <v>0</v>
      </c>
      <c r="W18" s="13">
        <f>'TR TUSD'!$W$18*'TR TUSD'!$W$63</f>
        <v>0</v>
      </c>
      <c r="X18" s="13">
        <f>'TR TUSD'!$X$18*'TR TUSD'!$X$63</f>
        <v>0</v>
      </c>
      <c r="Y18" s="13">
        <f>'TR TUSD'!$Y$18*'TR TUSD'!$Y$63</f>
        <v>0</v>
      </c>
      <c r="Z18" s="13">
        <f>'TR TUSD'!$Z$18*'TR TUSD'!$Z$63</f>
        <v>0</v>
      </c>
      <c r="AA18" s="13">
        <f>'TR TUSD'!$AA$18*'TR TUSD'!$AA$63</f>
        <v>0</v>
      </c>
      <c r="AB18" s="13">
        <f>SUM($U$18:$AA$18)</f>
        <v>0</v>
      </c>
      <c r="AC18" s="13">
        <f>'TR TUSD'!$AC$18*'TR TUSD'!$AC$63</f>
        <v>8.3242127134308994</v>
      </c>
      <c r="AD18" s="13">
        <f>SUM($AC$18:$AC$18)</f>
        <v>8.3242127134308994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TUSD'!$AH$63</f>
        <v>0</v>
      </c>
      <c r="AI18" s="13">
        <f>'TR TUSD'!$AI$18*'TR TUSD'!$AI$63</f>
        <v>0</v>
      </c>
      <c r="AJ18" s="13">
        <f ca="1">'TR TUSD'!$AJ$18*'TR TUSD'!$AJ$63</f>
        <v>0</v>
      </c>
      <c r="AK18" s="13">
        <f ca="1">'TR TUSD'!$AK$18*'TR TUSD'!$AK$63</f>
        <v>0</v>
      </c>
      <c r="AL18" s="13">
        <f ca="1">SUM($AH$18:$AK$18)</f>
        <v>0</v>
      </c>
      <c r="AM18" s="13">
        <f ca="1">SUMIF($L$4:$AL$4,"SUBTOTAL",$L$18:$AL$18)</f>
        <v>8.3350457581349975</v>
      </c>
      <c r="AP18" s="13"/>
    </row>
    <row r="19" spans="1:42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>
        <f>'TR TUSD'!$L$19*'TR TUSD'!$L$63</f>
        <v>0</v>
      </c>
      <c r="M19" s="13">
        <f>'TR TUSD'!$M$19*'TR TUSD'!$M$63</f>
        <v>1.0833044704098314E-2</v>
      </c>
      <c r="N19" s="13">
        <f ca="1">'TR TUSD'!$N$19*'TR TUSD'!$N$63</f>
        <v>0</v>
      </c>
      <c r="O19" s="13">
        <f>'TR TUSD'!$O$19*'TR TUSD'!$O$63</f>
        <v>0</v>
      </c>
      <c r="P19" s="13">
        <f>'TR TUSD'!$P$19*'TR TUSD'!$P$63</f>
        <v>0</v>
      </c>
      <c r="Q19" s="13">
        <f>'TR TUSD'!$Q$19*'TR TUSD'!$Q$63</f>
        <v>0</v>
      </c>
      <c r="R19" s="13">
        <f>'TR TUSD'!$R$19*'TR TUSD'!$R$63</f>
        <v>0</v>
      </c>
      <c r="S19" s="13">
        <f>'TR TUSD'!$S$19*'TR TUSD'!$S$63</f>
        <v>0</v>
      </c>
      <c r="T19" s="13">
        <f ca="1">SUM($L$19:$S$19)</f>
        <v>1.0833044704098314E-2</v>
      </c>
      <c r="U19" s="13">
        <f>'TR TUSD'!$U$19*'TR TUSD'!$U$63</f>
        <v>0</v>
      </c>
      <c r="V19" s="13">
        <f>'TR TUSD'!$V$19*'TR TUSD'!$V$63</f>
        <v>0</v>
      </c>
      <c r="W19" s="13">
        <f>'TR TUSD'!$W$19*'TR TUSD'!$W$63</f>
        <v>0</v>
      </c>
      <c r="X19" s="13">
        <f>'TR TUSD'!$X$19*'TR TUSD'!$X$63</f>
        <v>0</v>
      </c>
      <c r="Y19" s="13">
        <f>'TR TUSD'!$Y$19*'TR TUSD'!$Y$63</f>
        <v>0</v>
      </c>
      <c r="Z19" s="13">
        <f>'TR TUSD'!$Z$19*'TR TUSD'!$Z$63</f>
        <v>0</v>
      </c>
      <c r="AA19" s="13">
        <f>'TR TUSD'!$AA$19*'TR TUSD'!$AA$63</f>
        <v>0</v>
      </c>
      <c r="AB19" s="13">
        <f>SUM($U$19:$AA$19)</f>
        <v>0</v>
      </c>
      <c r="AC19" s="13">
        <f>'TR TUSD'!$AC$19*'TR TUSD'!$AC$63</f>
        <v>16.935810774894588</v>
      </c>
      <c r="AD19" s="13">
        <f>SUM($AC$19:$AC$19)</f>
        <v>16.935810774894588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TUSD'!$AH$63</f>
        <v>0</v>
      </c>
      <c r="AI19" s="13">
        <f>'TR TUSD'!$AI$19*'TR TUSD'!$AI$63</f>
        <v>0</v>
      </c>
      <c r="AJ19" s="13">
        <f ca="1">'TR TUSD'!$AJ$19*'TR TUSD'!$AJ$63</f>
        <v>0</v>
      </c>
      <c r="AK19" s="13">
        <f ca="1">'TR TUSD'!$AK$19*'TR TUSD'!$AK$63</f>
        <v>0</v>
      </c>
      <c r="AL19" s="13">
        <f ca="1">SUM($AH$19:$AK$19)</f>
        <v>0</v>
      </c>
      <c r="AM19" s="13">
        <f ca="1">SUMIF($L$4:$AL$4,"SUBTOTAL",$L$19:$AL$19)</f>
        <v>16.946643819598687</v>
      </c>
      <c r="AP19" s="13"/>
    </row>
    <row r="20" spans="1:42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>
        <f>'TR TUSD'!$L$20*'TR TUSD'!$L$63</f>
        <v>0</v>
      </c>
      <c r="M20" s="13">
        <f>'TR TUSD'!$M$20*'TR TUSD'!$M$63</f>
        <v>1.1153179741332462</v>
      </c>
      <c r="N20" s="13">
        <f ca="1">'TR TUSD'!$N$20*'TR TUSD'!$N$63</f>
        <v>0</v>
      </c>
      <c r="O20" s="13">
        <f>'TR TUSD'!$O$20*'TR TUSD'!$O$63</f>
        <v>0</v>
      </c>
      <c r="P20" s="13">
        <f>'TR TUSD'!$P$20*'TR TUSD'!$P$63</f>
        <v>0</v>
      </c>
      <c r="Q20" s="13">
        <f>'TR TUSD'!$Q$20*'TR TUSD'!$Q$63</f>
        <v>90.840528116491939</v>
      </c>
      <c r="R20" s="13">
        <f>'TR TUSD'!$R$20*'TR TUSD'!$R$63</f>
        <v>14.351930687165005</v>
      </c>
      <c r="S20" s="13">
        <f>'TR TUSD'!$S$20*'TR TUSD'!$S$63</f>
        <v>0</v>
      </c>
      <c r="T20" s="13">
        <f ca="1">SUM($L$20:$S$20)</f>
        <v>106.3077767777902</v>
      </c>
      <c r="U20" s="13">
        <f>'TR TUSD'!$U$20*'TR TUSD'!$U$63</f>
        <v>0</v>
      </c>
      <c r="V20" s="13">
        <f>'TR TUSD'!$V$20*'TR TUSD'!$V$63</f>
        <v>0</v>
      </c>
      <c r="W20" s="13">
        <f>'TR TUSD'!$W$20*'TR TUSD'!$W$63</f>
        <v>0</v>
      </c>
      <c r="X20" s="13">
        <f>'TR TUSD'!$X$20*'TR TUSD'!$X$63</f>
        <v>0</v>
      </c>
      <c r="Y20" s="13">
        <f>'TR TUSD'!$Y$20*'TR TUSD'!$Y$63</f>
        <v>189.43219271311051</v>
      </c>
      <c r="Z20" s="13">
        <f>'TR TUSD'!$Z$20</f>
        <v>0</v>
      </c>
      <c r="AA20" s="13">
        <f>'TR TUSD'!$AA$20</f>
        <v>0</v>
      </c>
      <c r="AB20" s="13">
        <f>SUM($U$20:$AA$20)</f>
        <v>189.43219271311051</v>
      </c>
      <c r="AC20" s="13">
        <f>'TR TUSD'!$AC$20*'TR TUSD'!$AC$63</f>
        <v>717.3266039765125</v>
      </c>
      <c r="AD20" s="13">
        <f>SUM($AC$20:$AC$20)</f>
        <v>717.3266039765125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TUSD'!$AH$63</f>
        <v>24.174452462603146</v>
      </c>
      <c r="AI20" s="13">
        <f>'TR TUSD'!$AI$20*'TR TUSD'!$AI$63</f>
        <v>0.6635105835286037</v>
      </c>
      <c r="AJ20" s="13">
        <f ca="1">'TR TUSD'!$AJ$20*'TR TUSD'!$AJ$63</f>
        <v>0</v>
      </c>
      <c r="AK20" s="13">
        <f ca="1">'TR TUSD'!$AK$20*'TR TUSD'!$AK$63</f>
        <v>0</v>
      </c>
      <c r="AL20" s="13">
        <f ca="1">SUM($AH$20:$AK$20)</f>
        <v>24.837963046131748</v>
      </c>
      <c r="AM20" s="13">
        <f ca="1">SUMIF($L$4:$AL$4,"SUBTOTAL",$L$20:$AL$20)</f>
        <v>1037.9045365135451</v>
      </c>
      <c r="AP20" s="13">
        <v>1</v>
      </c>
    </row>
    <row r="21" spans="1:42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>
        <f>'TR TUSD'!$L$21*'TR TUSD'!$L$63</f>
        <v>0</v>
      </c>
      <c r="M21" s="13">
        <f>'TR TUSD'!$M$21*'TR TUSD'!$M$63</f>
        <v>1.1153179741332462</v>
      </c>
      <c r="N21" s="13">
        <f ca="1">'TR TUSD'!$N$21*'TR TUSD'!$N$63</f>
        <v>0</v>
      </c>
      <c r="O21" s="13">
        <f>'TR TUSD'!$O$21*'TR TUSD'!$O$63</f>
        <v>0</v>
      </c>
      <c r="P21" s="13">
        <f>'TR TUSD'!$P$21*'TR TUSD'!$P$63</f>
        <v>0</v>
      </c>
      <c r="Q21" s="13">
        <f>'TR TUSD'!$Q$21*'TR TUSD'!$Q$63</f>
        <v>90.840528116491939</v>
      </c>
      <c r="R21" s="13">
        <f>'TR TUSD'!$R$21*'TR TUSD'!$R$63</f>
        <v>14.351930687165005</v>
      </c>
      <c r="S21" s="13">
        <f>'TR TUSD'!$S$21*'TR TUSD'!$S$63</f>
        <v>0</v>
      </c>
      <c r="T21" s="13">
        <f ca="1">SUM($L$21:$S$21)</f>
        <v>106.3077767777902</v>
      </c>
      <c r="U21" s="13">
        <f>'TR TUSD'!$U$21*'TR TUSD'!$U$63</f>
        <v>0</v>
      </c>
      <c r="V21" s="13">
        <f>'TR TUSD'!$V$21*'TR TUSD'!$V$63</f>
        <v>0</v>
      </c>
      <c r="W21" s="13">
        <f>'TR TUSD'!$W$21*'TR TUSD'!$W$63</f>
        <v>0</v>
      </c>
      <c r="X21" s="13">
        <f>'TR TUSD'!$X$21*'TR TUSD'!$X$63</f>
        <v>0</v>
      </c>
      <c r="Y21" s="13">
        <f>'TR TUSD'!$Y$21*'TR TUSD'!$Y$63</f>
        <v>113.65933896323335</v>
      </c>
      <c r="Z21" s="13">
        <f>'TR TUSD'!$Z$21</f>
        <v>0</v>
      </c>
      <c r="AA21" s="13">
        <f>'TR TUSD'!$AA$21</f>
        <v>0</v>
      </c>
      <c r="AB21" s="13">
        <f>SUM($U$21:$AA$21)</f>
        <v>113.65933896323335</v>
      </c>
      <c r="AC21" s="13">
        <f>'TR TUSD'!$AC$21*'TR TUSD'!$AC$63</f>
        <v>430.39624367662338</v>
      </c>
      <c r="AD21" s="13">
        <f>SUM($AC$21:$AC$21)</f>
        <v>430.39624367662338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TUSD'!$AH$63</f>
        <v>24.174452462603146</v>
      </c>
      <c r="AI21" s="13">
        <f>'TR TUSD'!$AI$21*'TR TUSD'!$AI$63</f>
        <v>0.6635105835286037</v>
      </c>
      <c r="AJ21" s="13">
        <f ca="1">'TR TUSD'!$AJ$21*'TR TUSD'!$AJ$63</f>
        <v>0</v>
      </c>
      <c r="AK21" s="13">
        <f ca="1">'TR TUSD'!$AK$21*'TR TUSD'!$AK$63</f>
        <v>0</v>
      </c>
      <c r="AL21" s="13">
        <f ca="1">SUM($AH$21:$AK$21)</f>
        <v>24.837963046131748</v>
      </c>
      <c r="AM21" s="13">
        <f ca="1">SUMIF($L$4:$AL$4,"SUBTOTAL",$L$21:$AL$21)</f>
        <v>675.20132246377875</v>
      </c>
      <c r="AP21" s="13">
        <v>1</v>
      </c>
    </row>
    <row r="22" spans="1:42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>
        <f>'TR TUSD'!$L$22*'TR TUSD'!$L$63</f>
        <v>0</v>
      </c>
      <c r="M22" s="13">
        <f>'TR TUSD'!$M$22*'TR TUSD'!$M$63</f>
        <v>1.1153179741332462</v>
      </c>
      <c r="N22" s="13">
        <f ca="1">'TR TUSD'!$N$22*'TR TUSD'!$N$63</f>
        <v>0</v>
      </c>
      <c r="O22" s="13">
        <f>'TR TUSD'!$O$22*'TR TUSD'!$O$63</f>
        <v>0</v>
      </c>
      <c r="P22" s="13">
        <f>'TR TUSD'!$P$22*'TR TUSD'!$P$63</f>
        <v>0</v>
      </c>
      <c r="Q22" s="13">
        <f>'TR TUSD'!$Q$22*'TR TUSD'!$Q$63</f>
        <v>90.840528116491939</v>
      </c>
      <c r="R22" s="13">
        <f>'TR TUSD'!$R$22*'TR TUSD'!$R$63</f>
        <v>14.351930687165005</v>
      </c>
      <c r="S22" s="13">
        <f>'TR TUSD'!$S$22*'TR TUSD'!$S$63</f>
        <v>0</v>
      </c>
      <c r="T22" s="13">
        <f ca="1">SUM($L$22:$S$22)</f>
        <v>106.3077767777902</v>
      </c>
      <c r="U22" s="13">
        <f>'TR TUSD'!$U$22*'TR TUSD'!$U$63</f>
        <v>0</v>
      </c>
      <c r="V22" s="13">
        <f>'TR TUSD'!$V$22*'TR TUSD'!$V$63</f>
        <v>0</v>
      </c>
      <c r="W22" s="13">
        <f>'TR TUSD'!$W$22*'TR TUSD'!$W$63</f>
        <v>0</v>
      </c>
      <c r="X22" s="13">
        <f>'TR TUSD'!$X$22*'TR TUSD'!$X$63</f>
        <v>0</v>
      </c>
      <c r="Y22" s="13">
        <f>'TR TUSD'!$Y$22*'TR TUSD'!$Y$63</f>
        <v>37.921138233433524</v>
      </c>
      <c r="Z22" s="13">
        <f>'TR TUSD'!$Z$22</f>
        <v>0</v>
      </c>
      <c r="AA22" s="13">
        <f>'TR TUSD'!$AA$22</f>
        <v>0</v>
      </c>
      <c r="AB22" s="13">
        <f>SUM($U$22:$AA$22)</f>
        <v>37.921138233433524</v>
      </c>
      <c r="AC22" s="13">
        <f>'TR TUSD'!$AC$22*'TR TUSD'!$AC$63</f>
        <v>143.46518014994459</v>
      </c>
      <c r="AD22" s="13">
        <f>SUM($AC$22:$AC$22)</f>
        <v>143.46518014994459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TUSD'!$AH$63</f>
        <v>24.174452462603146</v>
      </c>
      <c r="AI22" s="13">
        <f>'TR TUSD'!$AI$22*'TR TUSD'!$AI$63</f>
        <v>0.6635105835286037</v>
      </c>
      <c r="AJ22" s="13">
        <f ca="1">'TR TUSD'!$AJ$22*'TR TUSD'!$AJ$63</f>
        <v>0</v>
      </c>
      <c r="AK22" s="13">
        <f ca="1">'TR TUSD'!$AK$22*'TR TUSD'!$AK$63</f>
        <v>0</v>
      </c>
      <c r="AL22" s="13">
        <f ca="1">SUM($AH$22:$AK$22)</f>
        <v>24.837963046131748</v>
      </c>
      <c r="AM22" s="13">
        <f ca="1">SUMIF($L$4:$AL$4,"SUBTOTAL",$L$22:$AL$22)</f>
        <v>312.53205820730005</v>
      </c>
      <c r="AP22" s="13">
        <v>1</v>
      </c>
    </row>
    <row r="23" spans="1:42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>
        <f>'TR TUSD'!$L$23*'TR TUSD'!$L$63</f>
        <v>0</v>
      </c>
      <c r="M23" s="13">
        <f>'TR TUSD'!$M$23*'TR TUSD'!$M$63</f>
        <v>1.1153179741332462</v>
      </c>
      <c r="N23" s="13">
        <f ca="1">'TR TUSD'!$N$23*'TR TUSD'!$N$63</f>
        <v>0</v>
      </c>
      <c r="O23" s="13">
        <f>'TR TUSD'!$O$23*'TR TUSD'!$O$63</f>
        <v>0</v>
      </c>
      <c r="P23" s="13">
        <f>'TR TUSD'!$P$23*'TR TUSD'!$P$63</f>
        <v>0</v>
      </c>
      <c r="Q23" s="13">
        <f>'TR TUSD'!$Q$23*'TR TUSD'!$Q$63</f>
        <v>90.840528116491939</v>
      </c>
      <c r="R23" s="13">
        <f>'TR TUSD'!$R$23*'TR TUSD'!$R$63</f>
        <v>14.351930687165005</v>
      </c>
      <c r="S23" s="13">
        <f>'TR TUSD'!$S$23*'TR TUSD'!$S$63</f>
        <v>0</v>
      </c>
      <c r="T23" s="13">
        <f ca="1">SUM($L$23:$S$23)</f>
        <v>106.3077767777902</v>
      </c>
      <c r="U23" s="13">
        <f>'TR TUSD'!$U$23*'TR TUSD'!$U$63</f>
        <v>0</v>
      </c>
      <c r="V23" s="13">
        <f>'TR TUSD'!$V$23*'TR TUSD'!$V$63</f>
        <v>0</v>
      </c>
      <c r="W23" s="13">
        <f>'TR TUSD'!$W$23*'TR TUSD'!$W$63</f>
        <v>0</v>
      </c>
      <c r="X23" s="13">
        <f>'TR TUSD'!$X$23*'TR TUSD'!$X$63</f>
        <v>0</v>
      </c>
      <c r="Y23" s="13">
        <f>'TR TUSD'!$Y$23*'TR TUSD'!$Y$63</f>
        <v>70.128028459167581</v>
      </c>
      <c r="Z23" s="13">
        <f>'TR TUSD'!$Z$23</f>
        <v>0</v>
      </c>
      <c r="AA23" s="13">
        <f>'TR TUSD'!$AA$23</f>
        <v>0</v>
      </c>
      <c r="AB23" s="13">
        <f>SUM($U$23:$AA$23)</f>
        <v>70.128028459167581</v>
      </c>
      <c r="AC23" s="13">
        <f>'TR TUSD'!$AC$23*'TR TUSD'!$AC$63</f>
        <v>265.67661983214145</v>
      </c>
      <c r="AD23" s="13">
        <f>SUM($AC$23:$AC$23)</f>
        <v>265.67661983214145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TUSD'!$AH$63</f>
        <v>24.174452462603146</v>
      </c>
      <c r="AI23" s="13">
        <f>'TR TUSD'!$AI$23*'TR TUSD'!$AI$63</f>
        <v>0.6635105835286037</v>
      </c>
      <c r="AJ23" s="13">
        <f ca="1">'TR TUSD'!$AJ$23*'TR TUSD'!$AJ$63</f>
        <v>0</v>
      </c>
      <c r="AK23" s="13">
        <f ca="1">'TR TUSD'!$AK$23*'TR TUSD'!$AK$63</f>
        <v>0</v>
      </c>
      <c r="AL23" s="13">
        <f ca="1">SUM($AH$23:$AK$23)</f>
        <v>24.837963046131748</v>
      </c>
      <c r="AM23" s="13">
        <f ca="1">SUMIF($L$4:$AL$4,"SUBTOTAL",$L$23:$AL$23)</f>
        <v>466.95038811523096</v>
      </c>
      <c r="AP23" s="13">
        <v>1</v>
      </c>
    </row>
    <row r="24" spans="1:42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>
        <f>'TR TUSD'!$L$24*'TR TUSD'!$L$63</f>
        <v>0</v>
      </c>
      <c r="M24" s="13">
        <f>'TR TUSD'!$M$24*'TR TUSD'!$M$63</f>
        <v>1.1153179741332462</v>
      </c>
      <c r="N24" s="13">
        <f ca="1">'TR TUSD'!$N$24*'TR TUSD'!$N$63</f>
        <v>0</v>
      </c>
      <c r="O24" s="13">
        <f>'TR TUSD'!$O$24*'TR TUSD'!$O$63</f>
        <v>0</v>
      </c>
      <c r="P24" s="13">
        <f>'TR TUSD'!$P$24*'TR TUSD'!$P$63</f>
        <v>0</v>
      </c>
      <c r="Q24" s="13">
        <f>'TR TUSD'!$Q$24*'TR TUSD'!$Q$63</f>
        <v>0</v>
      </c>
      <c r="R24" s="13">
        <f>'TR TUSD'!$R$24*'TR TUSD'!$R$63</f>
        <v>0</v>
      </c>
      <c r="S24" s="13">
        <f>'TR TUSD'!$S$24*'TR TUSD'!$S$63</f>
        <v>0</v>
      </c>
      <c r="T24" s="13">
        <f ca="1">SUM($L$24:$S$24)</f>
        <v>1.1153179741332462</v>
      </c>
      <c r="U24" s="13">
        <f>'TR TUSD'!$U$24*'TR TUSD'!$U$63</f>
        <v>0</v>
      </c>
      <c r="V24" s="13">
        <f>'TR TUSD'!$V$24*'TR TUSD'!$V$63</f>
        <v>0</v>
      </c>
      <c r="W24" s="13">
        <f>'TR TUSD'!$W$24*'TR TUSD'!$W$63</f>
        <v>0</v>
      </c>
      <c r="X24" s="13">
        <f>'TR TUSD'!$X$24*'TR TUSD'!$X$63</f>
        <v>0</v>
      </c>
      <c r="Y24" s="13">
        <f>'TR TUSD'!$Y$24*'TR TUSD'!$Y$63</f>
        <v>70.128028459167581</v>
      </c>
      <c r="Z24" s="13">
        <f>'TR TUSD'!$Z$24</f>
        <v>0</v>
      </c>
      <c r="AA24" s="13">
        <f>'TR TUSD'!$AA$24</f>
        <v>0</v>
      </c>
      <c r="AB24" s="13">
        <f>SUM($U$24:$AA$24)</f>
        <v>70.128028459167581</v>
      </c>
      <c r="AC24" s="13">
        <f>'TR TUSD'!$AC$24*'TR TUSD'!$AC$63</f>
        <v>265.67661983214145</v>
      </c>
      <c r="AD24" s="13">
        <f>SUM($AC$24:$AC$24)</f>
        <v>265.67661983214145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TUSD'!$AH$63</f>
        <v>24.174452462603146</v>
      </c>
      <c r="AI24" s="13">
        <f>'TR TUSD'!$AI$24*'TR TUSD'!$AI$63</f>
        <v>0.6635105835286037</v>
      </c>
      <c r="AJ24" s="13">
        <f ca="1">'TR TUSD'!$AJ$24*'TR TUSD'!$AJ$63</f>
        <v>0</v>
      </c>
      <c r="AK24" s="13">
        <f ca="1">'TR TUSD'!$AK$24*'TR TUSD'!$AK$63</f>
        <v>0</v>
      </c>
      <c r="AL24" s="13">
        <f ca="1">SUM($AH$24:$AK$24)</f>
        <v>24.837963046131748</v>
      </c>
      <c r="AM24" s="13">
        <f ca="1">SUMIF($L$4:$AL$4,"SUBTOTAL",$L$24:$AL$24)</f>
        <v>361.757929311574</v>
      </c>
      <c r="AP24" s="13">
        <f>IF((1 - CUSTOS!$M$24)&lt;&gt;0,1/(1 - CUSTOS!$M$24),1)</f>
        <v>1</v>
      </c>
    </row>
    <row r="25" spans="1:42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>
        <f>'TR TUSD'!$L$25*'TR TUSD'!$L$63</f>
        <v>0</v>
      </c>
      <c r="M25" s="13">
        <f>'TR TUSD'!$M$25*'TR TUSD'!$M$63</f>
        <v>1.1153179741332462</v>
      </c>
      <c r="N25" s="13">
        <f ca="1">'TR TUSD'!$N$25*'TR TUSD'!$N$63</f>
        <v>0</v>
      </c>
      <c r="O25" s="13">
        <f>'TR TUSD'!$O$25*'TR TUSD'!$O$63</f>
        <v>0</v>
      </c>
      <c r="P25" s="13">
        <f>'TR TUSD'!$P$25*'TR TUSD'!$P$63</f>
        <v>0</v>
      </c>
      <c r="Q25" s="13">
        <f>'TR TUSD'!$Q$25*'TR TUSD'!$Q$63</f>
        <v>0</v>
      </c>
      <c r="R25" s="13">
        <f>'TR TUSD'!$R$25*'TR TUSD'!$R$63</f>
        <v>0</v>
      </c>
      <c r="S25" s="13">
        <f>'TR TUSD'!$S$25*'TR TUSD'!$S$63</f>
        <v>0</v>
      </c>
      <c r="T25" s="13">
        <f ca="1">SUM($L$25:$S$25)</f>
        <v>1.1153179741332462</v>
      </c>
      <c r="U25" s="13">
        <f>'TR TUSD'!$U$25*'TR TUSD'!$U$63</f>
        <v>0</v>
      </c>
      <c r="V25" s="13">
        <f>'TR TUSD'!$V$25*'TR TUSD'!$V$63</f>
        <v>0</v>
      </c>
      <c r="W25" s="13">
        <f>'TR TUSD'!$W$25*'TR TUSD'!$W$63</f>
        <v>0</v>
      </c>
      <c r="X25" s="13">
        <f>'TR TUSD'!$X$25*'TR TUSD'!$X$63</f>
        <v>0</v>
      </c>
      <c r="Y25" s="13">
        <f>'TR TUSD'!$Y$25*'TR TUSD'!$Y$63</f>
        <v>70.128028459167581</v>
      </c>
      <c r="Z25" s="13">
        <f>'TR TUSD'!$Z$25</f>
        <v>0</v>
      </c>
      <c r="AA25" s="13">
        <f>'TR TUSD'!$AA$25</f>
        <v>0</v>
      </c>
      <c r="AB25" s="13">
        <f>SUM($U$25:$AA$25)</f>
        <v>70.128028459167581</v>
      </c>
      <c r="AC25" s="13">
        <f>'TR TUSD'!$AC$25*'TR TUSD'!$AC$63</f>
        <v>265.67661983214145</v>
      </c>
      <c r="AD25" s="13">
        <f>SUM($AC$25:$AC$25)</f>
        <v>265.67661983214145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TUSD'!$AH$63</f>
        <v>24.174452462603146</v>
      </c>
      <c r="AI25" s="13">
        <f>'TR TUSD'!$AI$25*'TR TUSD'!$AI$63</f>
        <v>0.6635105835286037</v>
      </c>
      <c r="AJ25" s="13">
        <f ca="1">'TR TUSD'!$AJ$25*'TR TUSD'!$AJ$63</f>
        <v>0</v>
      </c>
      <c r="AK25" s="13">
        <f ca="1">'TR TUSD'!$AK$25*'TR TUSD'!$AK$63</f>
        <v>0</v>
      </c>
      <c r="AL25" s="13">
        <f ca="1">SUM($AH$25:$AK$25)</f>
        <v>24.837963046131748</v>
      </c>
      <c r="AM25" s="13">
        <f ca="1">SUMIF($L$4:$AL$4,"SUBTOTAL",$L$25:$AL$25)</f>
        <v>361.757929311574</v>
      </c>
      <c r="AP25" s="13">
        <f>IF((1 - CUSTOS!$M$25)&lt;&gt;0,1/(1 - CUSTOS!$M$25),1)</f>
        <v>1</v>
      </c>
    </row>
    <row r="26" spans="1:42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>
        <f>'TR TUSD'!$L$26*'TR TUSD'!$L$63</f>
        <v>0</v>
      </c>
      <c r="M26" s="13">
        <f>'TR TUSD'!$M$26*'TR TUSD'!$M$63</f>
        <v>1.1153179741332462</v>
      </c>
      <c r="N26" s="13">
        <f ca="1">'TR TUSD'!$N$26*'TR TUSD'!$N$63</f>
        <v>0</v>
      </c>
      <c r="O26" s="13">
        <f>'TR TUSD'!$O$26*'TR TUSD'!$O$63</f>
        <v>0</v>
      </c>
      <c r="P26" s="13">
        <f>'TR TUSD'!$P$26*'TR TUSD'!$P$63</f>
        <v>0</v>
      </c>
      <c r="Q26" s="13">
        <f>'TR TUSD'!$Q$26*'TR TUSD'!$Q$63</f>
        <v>0</v>
      </c>
      <c r="R26" s="13">
        <f>'TR TUSD'!$R$26*'TR TUSD'!$R$63</f>
        <v>0</v>
      </c>
      <c r="S26" s="13">
        <f>'TR TUSD'!$S$26*'TR TUSD'!$S$63</f>
        <v>0</v>
      </c>
      <c r="T26" s="13">
        <f ca="1">SUM($L$26:$S$26)</f>
        <v>1.1153179741332462</v>
      </c>
      <c r="U26" s="13">
        <f>'TR TUSD'!$U$26*'TR TUSD'!$U$63</f>
        <v>0</v>
      </c>
      <c r="V26" s="13">
        <f>'TR TUSD'!$V$26*'TR TUSD'!$V$63</f>
        <v>0</v>
      </c>
      <c r="W26" s="13">
        <f>'TR TUSD'!$W$26*'TR TUSD'!$W$63</f>
        <v>0</v>
      </c>
      <c r="X26" s="13">
        <f>'TR TUSD'!$X$26*'TR TUSD'!$X$63</f>
        <v>0</v>
      </c>
      <c r="Y26" s="13">
        <f>'TR TUSD'!$Y$26*'TR TUSD'!$Y$63</f>
        <v>70.128028459167581</v>
      </c>
      <c r="Z26" s="13">
        <f>'TR TUSD'!$Z$26</f>
        <v>0</v>
      </c>
      <c r="AA26" s="13">
        <f>'TR TUSD'!$AA$26</f>
        <v>0</v>
      </c>
      <c r="AB26" s="13">
        <f>SUM($U$26:$AA$26)</f>
        <v>70.128028459167581</v>
      </c>
      <c r="AC26" s="13">
        <f>'TR TUSD'!$AC$26*'TR TUSD'!$AC$63</f>
        <v>265.67661983214145</v>
      </c>
      <c r="AD26" s="13">
        <f>SUM($AC$26:$AC$26)</f>
        <v>265.67661983214145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TUSD'!$AH$63</f>
        <v>24.174452462603146</v>
      </c>
      <c r="AI26" s="13">
        <f>'TR TUSD'!$AI$26*'TR TUSD'!$AI$63</f>
        <v>0.6635105835286037</v>
      </c>
      <c r="AJ26" s="13">
        <f ca="1">'TR TUSD'!$AJ$26*'TR TUSD'!$AJ$63</f>
        <v>0</v>
      </c>
      <c r="AK26" s="13">
        <f ca="1">'TR TUSD'!$AK$26*'TR TUSD'!$AK$63</f>
        <v>0</v>
      </c>
      <c r="AL26" s="13">
        <f ca="1">SUM($AH$26:$AK$26)</f>
        <v>24.837963046131748</v>
      </c>
      <c r="AM26" s="13">
        <f ca="1">SUMIF($L$4:$AL$4,"SUBTOTAL",$L$26:$AL$26)</f>
        <v>361.757929311574</v>
      </c>
      <c r="AP26" s="13">
        <f>IF((1 - CUSTOS!$M$26)&lt;&gt;0,1/(1 - CUSTOS!$M$26),1)</f>
        <v>1</v>
      </c>
    </row>
    <row r="27" spans="1:42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>
        <f>'TR TUSD'!$L$27*'TR TUSD'!$L$63</f>
        <v>0</v>
      </c>
      <c r="M27" s="13">
        <f>'TR TUSD'!$M$27*'TR TUSD'!$M$63</f>
        <v>1.1153179741332462</v>
      </c>
      <c r="N27" s="13">
        <f ca="1">'TR TUSD'!$N$27*'TR TUSD'!$N$63</f>
        <v>0</v>
      </c>
      <c r="O27" s="13">
        <f>'TR TUSD'!$O$27*'TR TUSD'!$O$63</f>
        <v>0</v>
      </c>
      <c r="P27" s="13">
        <f>'TR TUSD'!$P$27*'TR TUSD'!$P$63</f>
        <v>0</v>
      </c>
      <c r="Q27" s="13">
        <f>'TR TUSD'!$Q$27*'TR TUSD'!$Q$63</f>
        <v>0</v>
      </c>
      <c r="R27" s="13">
        <f>'TR TUSD'!$R$27*'TR TUSD'!$R$63</f>
        <v>0</v>
      </c>
      <c r="S27" s="13">
        <f>'TR TUSD'!$S$27*'TR TUSD'!$S$63</f>
        <v>0</v>
      </c>
      <c r="T27" s="13">
        <f ca="1">SUM($L$27:$S$27)</f>
        <v>1.1153179741332462</v>
      </c>
      <c r="U27" s="13">
        <f>'TR TUSD'!$U$27*'TR TUSD'!$U$63</f>
        <v>0</v>
      </c>
      <c r="V27" s="13">
        <f>'TR TUSD'!$V$27*'TR TUSD'!$V$63</f>
        <v>0</v>
      </c>
      <c r="W27" s="13">
        <f>'TR TUSD'!$W$27*'TR TUSD'!$W$63</f>
        <v>0</v>
      </c>
      <c r="X27" s="13">
        <f>'TR TUSD'!$X$27*'TR TUSD'!$X$63</f>
        <v>0</v>
      </c>
      <c r="Y27" s="13">
        <f>'TR TUSD'!$Y$27*'TR TUSD'!$Y$63</f>
        <v>70.128028459167581</v>
      </c>
      <c r="Z27" s="13">
        <f>'TR TUSD'!$Z$27</f>
        <v>0</v>
      </c>
      <c r="AA27" s="13">
        <f>'TR TUSD'!$AA$27</f>
        <v>0</v>
      </c>
      <c r="AB27" s="13">
        <f>SUM($U$27:$AA$27)</f>
        <v>70.128028459167581</v>
      </c>
      <c r="AC27" s="13">
        <f>'TR TUSD'!$AC$27*'TR TUSD'!$AC$63</f>
        <v>265.67661983214145</v>
      </c>
      <c r="AD27" s="13">
        <f>SUM($AC$27:$AC$27)</f>
        <v>265.67661983214145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TUSD'!$AH$63</f>
        <v>24.174452462603146</v>
      </c>
      <c r="AI27" s="13">
        <f>'TR TUSD'!$AI$27*'TR TUSD'!$AI$63</f>
        <v>0.6635105835286037</v>
      </c>
      <c r="AJ27" s="13">
        <f ca="1">'TR TUSD'!$AJ$27*'TR TUSD'!$AJ$63</f>
        <v>0</v>
      </c>
      <c r="AK27" s="13">
        <f ca="1">'TR TUSD'!$AK$27*'TR TUSD'!$AK$63</f>
        <v>0</v>
      </c>
      <c r="AL27" s="13">
        <f ca="1">SUM($AH$27:$AK$27)</f>
        <v>24.837963046131748</v>
      </c>
      <c r="AM27" s="13">
        <f ca="1">SUMIF($L$4:$AL$4,"SUBTOTAL",$L$27:$AL$27)</f>
        <v>361.757929311574</v>
      </c>
      <c r="AP27" s="13">
        <f>IF((1 - CUSTOS!$M$27)&lt;&gt;0,1/(1 - CUSTOS!$M$27),1)</f>
        <v>1</v>
      </c>
    </row>
    <row r="28" spans="1:42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>
        <f>'TR TUSD'!$L$28*'TR TUSD'!$L$63</f>
        <v>0</v>
      </c>
      <c r="M28" s="13">
        <f>'TR TUSD'!$M$28*'TR TUSD'!$M$63</f>
        <v>1.1153179741332462</v>
      </c>
      <c r="N28" s="13">
        <f ca="1">'TR TUSD'!$N$28*'TR TUSD'!$N$63</f>
        <v>0</v>
      </c>
      <c r="O28" s="13">
        <f>'TR TUSD'!$O$28*'TR TUSD'!$O$63</f>
        <v>0</v>
      </c>
      <c r="P28" s="13">
        <f>'TR TUSD'!$P$28*'TR TUSD'!$P$63</f>
        <v>0</v>
      </c>
      <c r="Q28" s="13">
        <f>'TR TUSD'!$Q$28*'TR TUSD'!$Q$63</f>
        <v>90.840528116491939</v>
      </c>
      <c r="R28" s="13">
        <f>'TR TUSD'!$R$28*'TR TUSD'!$R$63</f>
        <v>14.351930687165005</v>
      </c>
      <c r="S28" s="13">
        <f>'TR TUSD'!$S$28*'TR TUSD'!$S$63</f>
        <v>0</v>
      </c>
      <c r="T28" s="13">
        <f ca="1">SUM($L$28:$S$28)</f>
        <v>106.3077767777902</v>
      </c>
      <c r="U28" s="13">
        <f>'TR TUSD'!$U$28*'TR TUSD'!$U$63</f>
        <v>0</v>
      </c>
      <c r="V28" s="13">
        <f>'TR TUSD'!$V$28*'TR TUSD'!$V$63</f>
        <v>0</v>
      </c>
      <c r="W28" s="13">
        <f>'TR TUSD'!$W$28*'TR TUSD'!$W$63</f>
        <v>0</v>
      </c>
      <c r="X28" s="13">
        <f>'TR TUSD'!$X$28*'TR TUSD'!$X$63</f>
        <v>0</v>
      </c>
      <c r="Y28" s="13">
        <f>'TR TUSD'!$Y$28*'TR TUSD'!$Y$63</f>
        <v>70.128028459167581</v>
      </c>
      <c r="Z28" s="13">
        <f>'TR TUSD'!$Z$28</f>
        <v>0</v>
      </c>
      <c r="AA28" s="13">
        <f>'TR TUSD'!$AA$28</f>
        <v>0</v>
      </c>
      <c r="AB28" s="13">
        <f>SUM($U$28:$AA$28)</f>
        <v>70.128028459167581</v>
      </c>
      <c r="AC28" s="13">
        <f>'TR TUSD'!$AC$28*'TR TUSD'!$AC$63</f>
        <v>265.67661983214145</v>
      </c>
      <c r="AD28" s="13">
        <f>SUM($AC$28:$AC$28)</f>
        <v>265.67661983214145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TUSD'!$AH$63</f>
        <v>24.174452462603146</v>
      </c>
      <c r="AI28" s="13">
        <f>'TR TUSD'!$AI$28*'TR TUSD'!$AI$63</f>
        <v>0.6635105835286037</v>
      </c>
      <c r="AJ28" s="13">
        <f ca="1">'TR TUSD'!$AJ$28*'TR TUSD'!$AJ$63</f>
        <v>0</v>
      </c>
      <c r="AK28" s="13">
        <f ca="1">'TR TUSD'!$AK$28*'TR TUSD'!$AK$63</f>
        <v>0</v>
      </c>
      <c r="AL28" s="13">
        <f ca="1">SUM($AH$28:$AK$28)</f>
        <v>24.837963046131748</v>
      </c>
      <c r="AM28" s="13">
        <f ca="1">SUMIF($L$4:$AL$4,"SUBTOTAL",$L$28:$AL$28)</f>
        <v>466.95038811523096</v>
      </c>
      <c r="AP28" s="13">
        <v>1</v>
      </c>
    </row>
    <row r="29" spans="1:42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>
        <f>'TR TUSD'!$L$29*'TR TUSD'!$L$63</f>
        <v>0</v>
      </c>
      <c r="M29" s="13">
        <f>'TR TUSD'!$M$29*'TR TUSD'!$M$63</f>
        <v>1.1153179741332462</v>
      </c>
      <c r="N29" s="13">
        <f ca="1">'TR TUSD'!$N$29*'TR TUSD'!$N$63</f>
        <v>0</v>
      </c>
      <c r="O29" s="13">
        <f>'TR TUSD'!$O$29*'TR TUSD'!$O$63</f>
        <v>0</v>
      </c>
      <c r="P29" s="13">
        <f>'TR TUSD'!$P$29*'TR TUSD'!$P$63</f>
        <v>0</v>
      </c>
      <c r="Q29" s="13">
        <f>'TR TUSD'!$Q$29*'TR TUSD'!$Q$63</f>
        <v>0</v>
      </c>
      <c r="R29" s="13">
        <f>'TR TUSD'!$R$29*'TR TUSD'!$R$63</f>
        <v>0</v>
      </c>
      <c r="S29" s="13">
        <f>'TR TUSD'!$S$29*'TR TUSD'!$S$63</f>
        <v>0</v>
      </c>
      <c r="T29" s="13">
        <f ca="1">SUM($L$29:$S$29)</f>
        <v>1.1153179741332462</v>
      </c>
      <c r="U29" s="13">
        <f>'TR TUSD'!$U$29*'TR TUSD'!$U$63</f>
        <v>0</v>
      </c>
      <c r="V29" s="13">
        <f>'TR TUSD'!$V$29*'TR TUSD'!$V$63</f>
        <v>0</v>
      </c>
      <c r="W29" s="13">
        <f>'TR TUSD'!$W$29*'TR TUSD'!$W$63</f>
        <v>0</v>
      </c>
      <c r="X29" s="13">
        <f>'TR TUSD'!$X$29*'TR TUSD'!$X$63</f>
        <v>0</v>
      </c>
      <c r="Y29" s="13">
        <f>'TR TUSD'!$Y$29*'TR TUSD'!$Y$63</f>
        <v>70.128028459167581</v>
      </c>
      <c r="Z29" s="13">
        <f>'TR TUSD'!$Z$29</f>
        <v>0</v>
      </c>
      <c r="AA29" s="13">
        <f>'TR TUSD'!$AA$29</f>
        <v>0</v>
      </c>
      <c r="AB29" s="13">
        <f>SUM($U$29:$AA$29)</f>
        <v>70.128028459167581</v>
      </c>
      <c r="AC29" s="13">
        <f>'TR TUSD'!$AC$29*'TR TUSD'!$AC$63</f>
        <v>265.67661983214145</v>
      </c>
      <c r="AD29" s="13">
        <f>SUM($AC$29:$AC$29)</f>
        <v>265.67661983214145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TUSD'!$AH$63</f>
        <v>24.174452462603146</v>
      </c>
      <c r="AI29" s="13">
        <f>'TR TUSD'!$AI$29*'TR TUSD'!$AI$63</f>
        <v>0.6635105835286037</v>
      </c>
      <c r="AJ29" s="13">
        <f ca="1">'TR TUSD'!$AJ$29*'TR TUSD'!$AJ$63</f>
        <v>0</v>
      </c>
      <c r="AK29" s="13">
        <f ca="1">'TR TUSD'!$AK$29*'TR TUSD'!$AK$63</f>
        <v>0</v>
      </c>
      <c r="AL29" s="13">
        <f ca="1">SUM($AH$29:$AK$29)</f>
        <v>24.837963046131748</v>
      </c>
      <c r="AM29" s="13">
        <f ca="1">SUMIF($L$4:$AL$4,"SUBTOTAL",$L$29:$AL$29)</f>
        <v>361.757929311574</v>
      </c>
      <c r="AP29" s="13">
        <f>IF((1 - CUSTOS!$M$24)&lt;&gt;0,1/(1 - CUSTOS!$M$24),1)</f>
        <v>1</v>
      </c>
    </row>
    <row r="30" spans="1:42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>
        <f>'TR TUSD'!$L$30*'TR TUSD'!$L$63</f>
        <v>0</v>
      </c>
      <c r="M30" s="13">
        <f>'TR TUSD'!$M$30*'TR TUSD'!$M$63</f>
        <v>1.1153179741332462</v>
      </c>
      <c r="N30" s="13">
        <f ca="1">'TR TUSD'!$N$30*'TR TUSD'!$N$63</f>
        <v>0</v>
      </c>
      <c r="O30" s="13">
        <f>'TR TUSD'!$O$30*'TR TUSD'!$O$63</f>
        <v>0</v>
      </c>
      <c r="P30" s="13">
        <f>'TR TUSD'!$P$30*'TR TUSD'!$P$63</f>
        <v>0</v>
      </c>
      <c r="Q30" s="13">
        <f>'TR TUSD'!$Q$30*'TR TUSD'!$Q$63</f>
        <v>0</v>
      </c>
      <c r="R30" s="13">
        <f>'TR TUSD'!$R$30*'TR TUSD'!$R$63</f>
        <v>0</v>
      </c>
      <c r="S30" s="13">
        <f>'TR TUSD'!$S$30*'TR TUSD'!$S$63</f>
        <v>0</v>
      </c>
      <c r="T30" s="13">
        <f ca="1">SUM($L$30:$S$30)</f>
        <v>1.1153179741332462</v>
      </c>
      <c r="U30" s="13">
        <f>'TR TUSD'!$U$30*'TR TUSD'!$U$63</f>
        <v>0</v>
      </c>
      <c r="V30" s="13">
        <f>'TR TUSD'!$V$30*'TR TUSD'!$V$63</f>
        <v>0</v>
      </c>
      <c r="W30" s="13">
        <f>'TR TUSD'!$W$30*'TR TUSD'!$W$63</f>
        <v>0</v>
      </c>
      <c r="X30" s="13">
        <f>'TR TUSD'!$X$30*'TR TUSD'!$X$63</f>
        <v>0</v>
      </c>
      <c r="Y30" s="13">
        <f>'TR TUSD'!$Y$30*'TR TUSD'!$Y$63</f>
        <v>70.128028459167581</v>
      </c>
      <c r="Z30" s="13">
        <f>'TR TUSD'!$Z$30</f>
        <v>0</v>
      </c>
      <c r="AA30" s="13">
        <f>'TR TUSD'!$AA$30</f>
        <v>0</v>
      </c>
      <c r="AB30" s="13">
        <f>SUM($U$30:$AA$30)</f>
        <v>70.128028459167581</v>
      </c>
      <c r="AC30" s="13">
        <f>'TR TUSD'!$AC$30*'TR TUSD'!$AC$63</f>
        <v>265.67661983214145</v>
      </c>
      <c r="AD30" s="13">
        <f>SUM($AC$30:$AC$30)</f>
        <v>265.67661983214145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TUSD'!$AH$63</f>
        <v>24.174452462603146</v>
      </c>
      <c r="AI30" s="13">
        <f>'TR TUSD'!$AI$30*'TR TUSD'!$AI$63</f>
        <v>0.6635105835286037</v>
      </c>
      <c r="AJ30" s="13">
        <f ca="1">'TR TUSD'!$AJ$30*'TR TUSD'!$AJ$63</f>
        <v>0</v>
      </c>
      <c r="AK30" s="13">
        <f ca="1">'TR TUSD'!$AK$30*'TR TUSD'!$AK$63</f>
        <v>0</v>
      </c>
      <c r="AL30" s="13">
        <f ca="1">SUM($AH$30:$AK$30)</f>
        <v>24.837963046131748</v>
      </c>
      <c r="AM30" s="13">
        <f ca="1">SUMIF($L$4:$AL$4,"SUBTOTAL",$L$30:$AL$30)</f>
        <v>361.757929311574</v>
      </c>
      <c r="AP30" s="13">
        <f>IF((1 - CUSTOS!$M$25)&lt;&gt;0,1/(1 - CUSTOS!$M$25),1)</f>
        <v>1</v>
      </c>
    </row>
    <row r="31" spans="1:42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>
        <f>'TR TUSD'!$L$31*'TR TUSD'!$L$63</f>
        <v>0</v>
      </c>
      <c r="M31" s="13">
        <f>'TR TUSD'!$M$31*'TR TUSD'!$M$63</f>
        <v>1.1153179741332462</v>
      </c>
      <c r="N31" s="13">
        <f ca="1">'TR TUSD'!$N$31*'TR TUSD'!$N$63</f>
        <v>0</v>
      </c>
      <c r="O31" s="13">
        <f>'TR TUSD'!$O$31*'TR TUSD'!$O$63</f>
        <v>0</v>
      </c>
      <c r="P31" s="13">
        <f>'TR TUSD'!$P$31*'TR TUSD'!$P$63</f>
        <v>0</v>
      </c>
      <c r="Q31" s="13">
        <f>'TR TUSD'!$Q$31*'TR TUSD'!$Q$63</f>
        <v>0</v>
      </c>
      <c r="R31" s="13">
        <f>'TR TUSD'!$R$31*'TR TUSD'!$R$63</f>
        <v>0</v>
      </c>
      <c r="S31" s="13">
        <f>'TR TUSD'!$S$31*'TR TUSD'!$S$63</f>
        <v>0</v>
      </c>
      <c r="T31" s="13">
        <f ca="1">SUM($L$31:$S$31)</f>
        <v>1.1153179741332462</v>
      </c>
      <c r="U31" s="13">
        <f>'TR TUSD'!$U$31*'TR TUSD'!$U$63</f>
        <v>0</v>
      </c>
      <c r="V31" s="13">
        <f>'TR TUSD'!$V$31*'TR TUSD'!$V$63</f>
        <v>0</v>
      </c>
      <c r="W31" s="13">
        <f>'TR TUSD'!$W$31*'TR TUSD'!$W$63</f>
        <v>0</v>
      </c>
      <c r="X31" s="13">
        <f>'TR TUSD'!$X$31*'TR TUSD'!$X$63</f>
        <v>0</v>
      </c>
      <c r="Y31" s="13">
        <f>'TR TUSD'!$Y$31*'TR TUSD'!$Y$63</f>
        <v>70.128028459167581</v>
      </c>
      <c r="Z31" s="13">
        <f>'TR TUSD'!$Z$31</f>
        <v>0</v>
      </c>
      <c r="AA31" s="13">
        <f>'TR TUSD'!$AA$31</f>
        <v>0</v>
      </c>
      <c r="AB31" s="13">
        <f>SUM($U$31:$AA$31)</f>
        <v>70.128028459167581</v>
      </c>
      <c r="AC31" s="13">
        <f>'TR TUSD'!$AC$31*'TR TUSD'!$AC$63</f>
        <v>265.67661983214145</v>
      </c>
      <c r="AD31" s="13">
        <f>SUM($AC$31:$AC$31)</f>
        <v>265.67661983214145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TUSD'!$AH$63</f>
        <v>24.174452462603146</v>
      </c>
      <c r="AI31" s="13">
        <f>'TR TUSD'!$AI$31*'TR TUSD'!$AI$63</f>
        <v>0.6635105835286037</v>
      </c>
      <c r="AJ31" s="13">
        <f ca="1">'TR TUSD'!$AJ$31*'TR TUSD'!$AJ$63</f>
        <v>0</v>
      </c>
      <c r="AK31" s="13">
        <f ca="1">'TR TUSD'!$AK$31*'TR TUSD'!$AK$63</f>
        <v>0</v>
      </c>
      <c r="AL31" s="13">
        <f ca="1">SUM($AH$31:$AK$31)</f>
        <v>24.837963046131748</v>
      </c>
      <c r="AM31" s="13">
        <f ca="1">SUMIF($L$4:$AL$4,"SUBTOTAL",$L$31:$AL$31)</f>
        <v>361.757929311574</v>
      </c>
      <c r="AP31" s="13">
        <f>IF((1 - CUSTOS!$M$26)&lt;&gt;0,1/(1 - CUSTOS!$M$26),1)</f>
        <v>1</v>
      </c>
    </row>
    <row r="32" spans="1:42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>
        <f>'TR TUSD'!$L$32*'TR TUSD'!$L$63</f>
        <v>0</v>
      </c>
      <c r="M32" s="13">
        <f>'TR TUSD'!$M$32*'TR TUSD'!$M$63</f>
        <v>1.1153179741332462</v>
      </c>
      <c r="N32" s="13">
        <f ca="1">'TR TUSD'!$N$32*'TR TUSD'!$N$63</f>
        <v>0</v>
      </c>
      <c r="O32" s="13">
        <f>'TR TUSD'!$O$32*'TR TUSD'!$O$63</f>
        <v>0</v>
      </c>
      <c r="P32" s="13">
        <f>'TR TUSD'!$P$32*'TR TUSD'!$P$63</f>
        <v>0</v>
      </c>
      <c r="Q32" s="13">
        <f>'TR TUSD'!$Q$32*'TR TUSD'!$Q$63</f>
        <v>0</v>
      </c>
      <c r="R32" s="13">
        <f>'TR TUSD'!$R$32*'TR TUSD'!$R$63</f>
        <v>0</v>
      </c>
      <c r="S32" s="13">
        <f>'TR TUSD'!$S$32*'TR TUSD'!$S$63</f>
        <v>0</v>
      </c>
      <c r="T32" s="13">
        <f ca="1">SUM($L$32:$S$32)</f>
        <v>1.1153179741332462</v>
      </c>
      <c r="U32" s="13">
        <f>'TR TUSD'!$U$32*'TR TUSD'!$U$63</f>
        <v>0</v>
      </c>
      <c r="V32" s="13">
        <f>'TR TUSD'!$V$32*'TR TUSD'!$V$63</f>
        <v>0</v>
      </c>
      <c r="W32" s="13">
        <f>'TR TUSD'!$W$32*'TR TUSD'!$W$63</f>
        <v>0</v>
      </c>
      <c r="X32" s="13">
        <f>'TR TUSD'!$X$32*'TR TUSD'!$X$63</f>
        <v>0</v>
      </c>
      <c r="Y32" s="13">
        <f>'TR TUSD'!$Y$32*'TR TUSD'!$Y$63</f>
        <v>70.128028459167581</v>
      </c>
      <c r="Z32" s="13">
        <f>'TR TUSD'!$Z$32</f>
        <v>0</v>
      </c>
      <c r="AA32" s="13">
        <f>'TR TUSD'!$AA$32</f>
        <v>0</v>
      </c>
      <c r="AB32" s="13">
        <f>SUM($U$32:$AA$32)</f>
        <v>70.128028459167581</v>
      </c>
      <c r="AC32" s="13">
        <f>'TR TUSD'!$AC$32*'TR TUSD'!$AC$63</f>
        <v>265.67661983214145</v>
      </c>
      <c r="AD32" s="13">
        <f>SUM($AC$32:$AC$32)</f>
        <v>265.67661983214145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TUSD'!$AH$63</f>
        <v>24.174452462603146</v>
      </c>
      <c r="AI32" s="13">
        <f>'TR TUSD'!$AI$32*'TR TUSD'!$AI$63</f>
        <v>0.6635105835286037</v>
      </c>
      <c r="AJ32" s="13">
        <f ca="1">'TR TUSD'!$AJ$32*'TR TUSD'!$AJ$63</f>
        <v>0</v>
      </c>
      <c r="AK32" s="13">
        <f ca="1">'TR TUSD'!$AK$32*'TR TUSD'!$AK$63</f>
        <v>0</v>
      </c>
      <c r="AL32" s="13">
        <f ca="1">SUM($AH$32:$AK$32)</f>
        <v>24.837963046131748</v>
      </c>
      <c r="AM32" s="13">
        <f ca="1">SUMIF($L$4:$AL$4,"SUBTOTAL",$L$32:$AL$32)</f>
        <v>361.757929311574</v>
      </c>
      <c r="AP32" s="13">
        <f>IF((1 - CUSTOS!$M$27)&lt;&gt;0,1/(1 - CUSTOS!$M$27),1)</f>
        <v>1</v>
      </c>
    </row>
    <row r="33" spans="1:42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>
        <f>'TR TUSD'!$L$33*'TR TUSD'!$L$63</f>
        <v>0</v>
      </c>
      <c r="M33" s="13">
        <f>'TR TUSD'!$M$33*'TR TUSD'!$M$63</f>
        <v>1.1153179741332462</v>
      </c>
      <c r="N33" s="13">
        <f ca="1">'TR TUSD'!$N$33*'TR TUSD'!$N$63</f>
        <v>0</v>
      </c>
      <c r="O33" s="13">
        <f>'TR TUSD'!$O$33*'TR TUSD'!$O$63</f>
        <v>0</v>
      </c>
      <c r="P33" s="13">
        <f>'TR TUSD'!$P$33*'TR TUSD'!$P$63</f>
        <v>0</v>
      </c>
      <c r="Q33" s="13">
        <f>'TR TUSD'!$Q$33*'TR TUSD'!$Q$63</f>
        <v>90.840528116491939</v>
      </c>
      <c r="R33" s="13">
        <f>'TR TUSD'!$R$33*'TR TUSD'!$R$63</f>
        <v>14.351930687165005</v>
      </c>
      <c r="S33" s="13">
        <f>'TR TUSD'!$S$33*'TR TUSD'!$S$63</f>
        <v>0</v>
      </c>
      <c r="T33" s="13">
        <f ca="1">SUM($L$33:$S$33)</f>
        <v>106.3077767777902</v>
      </c>
      <c r="U33" s="13">
        <f>'TR TUSD'!$U$33*'TR TUSD'!$U$63</f>
        <v>0</v>
      </c>
      <c r="V33" s="13">
        <f>'TR TUSD'!$V$33*'TR TUSD'!$V$63</f>
        <v>0</v>
      </c>
      <c r="W33" s="13">
        <f>'TR TUSD'!$W$33*'TR TUSD'!$W$63</f>
        <v>0</v>
      </c>
      <c r="X33" s="13">
        <f>'TR TUSD'!$X$33*'TR TUSD'!$X$63</f>
        <v>0</v>
      </c>
      <c r="Y33" s="13">
        <f>'TR TUSD'!$Y$33*'TR TUSD'!$Y$63</f>
        <v>242.00234096926346</v>
      </c>
      <c r="Z33" s="13">
        <f>'TR TUSD'!$Z$33</f>
        <v>0</v>
      </c>
      <c r="AA33" s="13">
        <f>'TR TUSD'!$AA$33</f>
        <v>0</v>
      </c>
      <c r="AB33" s="13">
        <f>SUM($U$33:$AA$33)</f>
        <v>242.00234096926346</v>
      </c>
      <c r="AC33" s="13">
        <f>'TR TUSD'!$AC$33*'TR TUSD'!$AC$63</f>
        <v>783.74590544012915</v>
      </c>
      <c r="AD33" s="13">
        <f>SUM($AC$33:$AC$33)</f>
        <v>783.74590544012915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TUSD'!$AH$63</f>
        <v>24.174452462603146</v>
      </c>
      <c r="AI33" s="13">
        <f>'TR TUSD'!$AI$33*'TR TUSD'!$AI$63</f>
        <v>0.6635105835286037</v>
      </c>
      <c r="AJ33" s="13">
        <f ca="1">'TR TUSD'!$AJ$33*'TR TUSD'!$AJ$63</f>
        <v>0</v>
      </c>
      <c r="AK33" s="13">
        <f ca="1">'TR TUSD'!$AK$33*'TR TUSD'!$AK$63</f>
        <v>0</v>
      </c>
      <c r="AL33" s="13">
        <f ca="1">SUM($AH$33:$AK$33)</f>
        <v>24.837963046131748</v>
      </c>
      <c r="AM33" s="13">
        <f ca="1">SUMIF($L$4:$AL$4,"SUBTOTAL",$L$33:$AL$33)</f>
        <v>1156.8939862333145</v>
      </c>
      <c r="AP33" s="13">
        <f>IF((1 - CUSTOS!$M$28)&lt;&gt;0,1/(1 - CUSTOS!$M$28),1)</f>
        <v>1</v>
      </c>
    </row>
    <row r="34" spans="1:42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>
        <f>'TR TUSD'!$L$34*'TR TUSD'!$L$63</f>
        <v>0</v>
      </c>
      <c r="M34" s="13">
        <f>'TR TUSD'!$M$34*'TR TUSD'!$M$63</f>
        <v>1.1153179741332462</v>
      </c>
      <c r="N34" s="13">
        <f ca="1">'TR TUSD'!$N$34*'TR TUSD'!$N$63</f>
        <v>0</v>
      </c>
      <c r="O34" s="13">
        <f>'TR TUSD'!$O$34*'TR TUSD'!$O$63</f>
        <v>0</v>
      </c>
      <c r="P34" s="13">
        <f>'TR TUSD'!$P$34*'TR TUSD'!$P$63</f>
        <v>0</v>
      </c>
      <c r="Q34" s="13">
        <f>'TR TUSD'!$Q$34*'TR TUSD'!$Q$63</f>
        <v>90.840528116491939</v>
      </c>
      <c r="R34" s="13">
        <f>'TR TUSD'!$R$34*'TR TUSD'!$R$63</f>
        <v>14.351930687165005</v>
      </c>
      <c r="S34" s="13">
        <f>'TR TUSD'!$S$34*'TR TUSD'!$S$63</f>
        <v>0</v>
      </c>
      <c r="T34" s="13">
        <f ca="1">SUM($L$34:$S$34)</f>
        <v>106.3077767777902</v>
      </c>
      <c r="U34" s="13">
        <f>'TR TUSD'!$U$34*'TR TUSD'!$U$63</f>
        <v>0</v>
      </c>
      <c r="V34" s="13">
        <f>'TR TUSD'!$V$34*'TR TUSD'!$V$63</f>
        <v>0</v>
      </c>
      <c r="W34" s="13">
        <f>'TR TUSD'!$W$34*'TR TUSD'!$W$63</f>
        <v>0</v>
      </c>
      <c r="X34" s="13">
        <f>'TR TUSD'!$X$34*'TR TUSD'!$X$63</f>
        <v>0</v>
      </c>
      <c r="Y34" s="13">
        <f>'TR TUSD'!$Y$34*'TR TUSD'!$Y$63</f>
        <v>145.17363549476212</v>
      </c>
      <c r="Z34" s="13">
        <f>'TR TUSD'!$Z$34</f>
        <v>0</v>
      </c>
      <c r="AA34" s="13">
        <f>'TR TUSD'!$AA$34</f>
        <v>0</v>
      </c>
      <c r="AB34" s="13">
        <f>SUM($U$34:$AA$34)</f>
        <v>145.17363549476212</v>
      </c>
      <c r="AC34" s="13">
        <f>'TR TUSD'!$AC$34*'TR TUSD'!$AC$63</f>
        <v>470.24740261871955</v>
      </c>
      <c r="AD34" s="13">
        <f>SUM($AC$34:$AC$34)</f>
        <v>470.24740261871955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TUSD'!$AH$63</f>
        <v>24.174452462603146</v>
      </c>
      <c r="AI34" s="13">
        <f>'TR TUSD'!$AI$34*'TR TUSD'!$AI$63</f>
        <v>0.6635105835286037</v>
      </c>
      <c r="AJ34" s="13">
        <f ca="1">'TR TUSD'!$AJ$34*'TR TUSD'!$AJ$63</f>
        <v>0</v>
      </c>
      <c r="AK34" s="13">
        <f ca="1">'TR TUSD'!$AK$34*'TR TUSD'!$AK$63</f>
        <v>0</v>
      </c>
      <c r="AL34" s="13">
        <f ca="1">SUM($AH$34:$AK$34)</f>
        <v>24.837963046131748</v>
      </c>
      <c r="AM34" s="13">
        <f ca="1">SUMIF($L$4:$AL$4,"SUBTOTAL",$L$34:$AL$34)</f>
        <v>746.56677793740369</v>
      </c>
      <c r="AP34" s="13">
        <f>IF((1 - CUSTOS!$M$28)&lt;&gt;0,1/(1 - CUSTOS!$M$28),1)</f>
        <v>1</v>
      </c>
    </row>
    <row r="35" spans="1:42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>
        <f>'TR TUSD'!$L$35*'TR TUSD'!$L$63</f>
        <v>0</v>
      </c>
      <c r="M35" s="13">
        <f>'TR TUSD'!$M$35*'TR TUSD'!$M$63</f>
        <v>1.1153179741332462</v>
      </c>
      <c r="N35" s="13">
        <f ca="1">'TR TUSD'!$N$35*'TR TUSD'!$N$63</f>
        <v>0</v>
      </c>
      <c r="O35" s="13">
        <f>'TR TUSD'!$O$35*'TR TUSD'!$O$63</f>
        <v>0</v>
      </c>
      <c r="P35" s="13">
        <f>'TR TUSD'!$P$35*'TR TUSD'!$P$63</f>
        <v>0</v>
      </c>
      <c r="Q35" s="13">
        <f>'TR TUSD'!$Q$35*'TR TUSD'!$Q$63</f>
        <v>90.840528116491939</v>
      </c>
      <c r="R35" s="13">
        <f>'TR TUSD'!$R$35*'TR TUSD'!$R$63</f>
        <v>14.351930687165005</v>
      </c>
      <c r="S35" s="13">
        <f>'TR TUSD'!$S$35*'TR TUSD'!$S$63</f>
        <v>0</v>
      </c>
      <c r="T35" s="13">
        <f ca="1">SUM($L$35:$S$35)</f>
        <v>106.3077767777902</v>
      </c>
      <c r="U35" s="13">
        <f>'TR TUSD'!$U$35*'TR TUSD'!$U$63</f>
        <v>0</v>
      </c>
      <c r="V35" s="13">
        <f>'TR TUSD'!$V$35*'TR TUSD'!$V$63</f>
        <v>0</v>
      </c>
      <c r="W35" s="13">
        <f>'TR TUSD'!$W$35*'TR TUSD'!$W$63</f>
        <v>0</v>
      </c>
      <c r="X35" s="13">
        <f>'TR TUSD'!$X$35*'TR TUSD'!$X$63</f>
        <v>0</v>
      </c>
      <c r="Y35" s="13">
        <f>'TR TUSD'!$Y$35*'TR TUSD'!$Y$63</f>
        <v>48.379699717173359</v>
      </c>
      <c r="Z35" s="13">
        <f>'TR TUSD'!$Z$35</f>
        <v>0</v>
      </c>
      <c r="AA35" s="13">
        <f>'TR TUSD'!$AA$35</f>
        <v>0</v>
      </c>
      <c r="AB35" s="13">
        <f>SUM($U$35:$AA$35)</f>
        <v>48.379699717173359</v>
      </c>
      <c r="AC35" s="13">
        <f>'TR TUSD'!$AC$35*'TR TUSD'!$AC$63</f>
        <v>156.74913420623986</v>
      </c>
      <c r="AD35" s="13">
        <f>SUM($AC$35:$AC$35)</f>
        <v>156.74913420623986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TUSD'!$AH$63</f>
        <v>24.174452462603146</v>
      </c>
      <c r="AI35" s="13">
        <f>'TR TUSD'!$AI$35*'TR TUSD'!$AI$63</f>
        <v>0.6635105835286037</v>
      </c>
      <c r="AJ35" s="13">
        <f ca="1">'TR TUSD'!$AJ$35*'TR TUSD'!$AJ$63</f>
        <v>0</v>
      </c>
      <c r="AK35" s="13">
        <f ca="1">'TR TUSD'!$AK$35*'TR TUSD'!$AK$63</f>
        <v>0</v>
      </c>
      <c r="AL35" s="13">
        <f ca="1">SUM($AH$35:$AK$35)</f>
        <v>24.837963046131748</v>
      </c>
      <c r="AM35" s="13">
        <f ca="1">SUMIF($L$4:$AL$4,"SUBTOTAL",$L$35:$AL$35)</f>
        <v>336.27457374733518</v>
      </c>
      <c r="AP35" s="13">
        <f>IF((1 - CUSTOS!$M$28)&lt;&gt;0,1/(1 - CUSTOS!$M$28),1)</f>
        <v>1</v>
      </c>
    </row>
    <row r="36" spans="1:42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>
        <f>'TR TUSD'!$L$36*'TR TUSD'!$L$63</f>
        <v>0</v>
      </c>
      <c r="M36" s="13">
        <f>'TR TUSD'!$M$36*'TR TUSD'!$M$63</f>
        <v>1.1153179741332462</v>
      </c>
      <c r="N36" s="13">
        <f ca="1">'TR TUSD'!$N$36*'TR TUSD'!$N$63</f>
        <v>0</v>
      </c>
      <c r="O36" s="13">
        <f>'TR TUSD'!$O$36*'TR TUSD'!$O$63</f>
        <v>0</v>
      </c>
      <c r="P36" s="13">
        <f>'TR TUSD'!$P$36*'TR TUSD'!$P$63</f>
        <v>0</v>
      </c>
      <c r="Q36" s="13">
        <f>'TR TUSD'!$Q$36*'TR TUSD'!$Q$63</f>
        <v>90.840528116491939</v>
      </c>
      <c r="R36" s="13">
        <f>'TR TUSD'!$R$36*'TR TUSD'!$R$63</f>
        <v>14.351930687165005</v>
      </c>
      <c r="S36" s="13">
        <f>'TR TUSD'!$S$36*'TR TUSD'!$S$63</f>
        <v>0</v>
      </c>
      <c r="T36" s="13">
        <f ca="1">SUM($L$36:$S$36)</f>
        <v>106.3077767777902</v>
      </c>
      <c r="U36" s="13">
        <f>'TR TUSD'!$U$36*'TR TUSD'!$U$63</f>
        <v>0</v>
      </c>
      <c r="V36" s="13">
        <f>'TR TUSD'!$V$36*'TR TUSD'!$V$63</f>
        <v>0</v>
      </c>
      <c r="W36" s="13">
        <f>'TR TUSD'!$W$36*'TR TUSD'!$W$63</f>
        <v>0</v>
      </c>
      <c r="X36" s="13">
        <f>'TR TUSD'!$X$36*'TR TUSD'!$X$63</f>
        <v>0</v>
      </c>
      <c r="Y36" s="13">
        <f>'TR TUSD'!$Y$36*'TR TUSD'!$Y$63</f>
        <v>70.128028459167581</v>
      </c>
      <c r="Z36" s="13">
        <f>'TR TUSD'!$Z$36</f>
        <v>0</v>
      </c>
      <c r="AA36" s="13">
        <f>'TR TUSD'!$AA$36</f>
        <v>0</v>
      </c>
      <c r="AB36" s="13">
        <f>SUM($U$36:$AA$36)</f>
        <v>70.128028459167581</v>
      </c>
      <c r="AC36" s="13">
        <f>'TR TUSD'!$AC$36*'TR TUSD'!$AC$63</f>
        <v>265.67661983214145</v>
      </c>
      <c r="AD36" s="13">
        <f>SUM($AC$36:$AC$36)</f>
        <v>265.67661983214145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TUSD'!$AH$63</f>
        <v>24.174452462603146</v>
      </c>
      <c r="AI36" s="13">
        <f>'TR TUSD'!$AI$36*'TR TUSD'!$AI$63</f>
        <v>0.6635105835286037</v>
      </c>
      <c r="AJ36" s="13">
        <f ca="1">'TR TUSD'!$AJ$36*'TR TUSD'!$AJ$63</f>
        <v>0</v>
      </c>
      <c r="AK36" s="13">
        <f ca="1">'TR TUSD'!$AK$36*'TR TUSD'!$AK$63</f>
        <v>0</v>
      </c>
      <c r="AL36" s="13">
        <f ca="1">SUM($AH$36:$AK$36)</f>
        <v>24.837963046131748</v>
      </c>
      <c r="AM36" s="13">
        <f ca="1">SUMIF($L$4:$AL$4,"SUBTOTAL",$L$36:$AL$36)</f>
        <v>466.95038811523096</v>
      </c>
      <c r="AP36" s="13">
        <f>IF((1 - CUSTOS!$M$28)&lt;&gt;0,1/(1 - CUSTOS!$M$28),1)</f>
        <v>1</v>
      </c>
    </row>
    <row r="37" spans="1:42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>
        <f>'TR TUSD'!$L$37*'TR TUSD'!$L$63</f>
        <v>0</v>
      </c>
      <c r="M37" s="13">
        <f>'TR TUSD'!$M$37*'TR TUSD'!$M$63</f>
        <v>1.1153179741332462</v>
      </c>
      <c r="N37" s="13">
        <f ca="1">'TR TUSD'!$N$37*'TR TUSD'!$N$63</f>
        <v>0</v>
      </c>
      <c r="O37" s="13">
        <f>'TR TUSD'!$O$37*'TR TUSD'!$O$63</f>
        <v>0</v>
      </c>
      <c r="P37" s="13">
        <f>'TR TUSD'!$P$37*'TR TUSD'!$P$63</f>
        <v>0</v>
      </c>
      <c r="Q37" s="13">
        <f>'TR TUSD'!$Q$37*'TR TUSD'!$Q$63</f>
        <v>90.840528116491939</v>
      </c>
      <c r="R37" s="13">
        <f>'TR TUSD'!$R$37*'TR TUSD'!$R$63</f>
        <v>14.351930687165005</v>
      </c>
      <c r="S37" s="13">
        <f>'TR TUSD'!$S$37*'TR TUSD'!$S$63</f>
        <v>0</v>
      </c>
      <c r="T37" s="13">
        <f ca="1">SUM($L$37:$S$37)</f>
        <v>106.3077767777902</v>
      </c>
      <c r="U37" s="13">
        <f>'TR TUSD'!$U$37*'TR TUSD'!$U$63</f>
        <v>0</v>
      </c>
      <c r="V37" s="13">
        <f>'TR TUSD'!$V$37*'TR TUSD'!$V$63</f>
        <v>0</v>
      </c>
      <c r="W37" s="13">
        <f>'TR TUSD'!$W$37*'TR TUSD'!$W$63</f>
        <v>0</v>
      </c>
      <c r="X37" s="13">
        <f>'TR TUSD'!$X$37*'TR TUSD'!$X$63</f>
        <v>0</v>
      </c>
      <c r="Y37" s="13">
        <f>'TR TUSD'!$Y$37*'TR TUSD'!$Y$63</f>
        <v>242.00234096926346</v>
      </c>
      <c r="Z37" s="13">
        <f>'TR TUSD'!$Z$37</f>
        <v>0</v>
      </c>
      <c r="AA37" s="13">
        <f>'TR TUSD'!$AA$37</f>
        <v>0</v>
      </c>
      <c r="AB37" s="13">
        <f>SUM($U$37:$AA$37)</f>
        <v>242.00234096926346</v>
      </c>
      <c r="AC37" s="13">
        <f>'TR TUSD'!$AC$37*'TR TUSD'!$AC$63</f>
        <v>783.74590544012915</v>
      </c>
      <c r="AD37" s="13">
        <f>SUM($AC$37:$AC$37)</f>
        <v>783.74590544012915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TUSD'!$AH$63</f>
        <v>24.174452462603146</v>
      </c>
      <c r="AI37" s="13">
        <f>'TR TUSD'!$AI$37*'TR TUSD'!$AI$63</f>
        <v>0.6635105835286037</v>
      </c>
      <c r="AJ37" s="13">
        <f ca="1">'TR TUSD'!$AJ$37*'TR TUSD'!$AJ$63</f>
        <v>0</v>
      </c>
      <c r="AK37" s="13">
        <f ca="1">'TR TUSD'!$AK$37*'TR TUSD'!$AK$63</f>
        <v>0</v>
      </c>
      <c r="AL37" s="13">
        <f ca="1">SUM($AH$37:$AK$37)</f>
        <v>24.837963046131748</v>
      </c>
      <c r="AM37" s="13">
        <f ca="1">SUMIF($L$4:$AL$4,"SUBTOTAL",$L$37:$AL$37)</f>
        <v>1156.8939862333145</v>
      </c>
      <c r="AP37" s="13">
        <f>IF((1 - CUSTOS!$M$29)&lt;&gt;0,1/(1 - CUSTOS!$M$29),1)</f>
        <v>1</v>
      </c>
    </row>
    <row r="38" spans="1:42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>
        <f>'TR TUSD'!$L$38*'TR TUSD'!$L$63</f>
        <v>0</v>
      </c>
      <c r="M38" s="13">
        <f>'TR TUSD'!$M$38*'TR TUSD'!$M$63</f>
        <v>1.1153179741332462</v>
      </c>
      <c r="N38" s="13">
        <f ca="1">'TR TUSD'!$N$38*'TR TUSD'!$N$63</f>
        <v>0</v>
      </c>
      <c r="O38" s="13">
        <f>'TR TUSD'!$O$38*'TR TUSD'!$O$63</f>
        <v>0</v>
      </c>
      <c r="P38" s="13">
        <f>'TR TUSD'!$P$38*'TR TUSD'!$P$63</f>
        <v>0</v>
      </c>
      <c r="Q38" s="13">
        <f>'TR TUSD'!$Q$38*'TR TUSD'!$Q$63</f>
        <v>90.840528116491939</v>
      </c>
      <c r="R38" s="13">
        <f>'TR TUSD'!$R$38*'TR TUSD'!$R$63</f>
        <v>14.351930687165005</v>
      </c>
      <c r="S38" s="13">
        <f>'TR TUSD'!$S$38*'TR TUSD'!$S$63</f>
        <v>0</v>
      </c>
      <c r="T38" s="13">
        <f ca="1">SUM($L$38:$S$38)</f>
        <v>106.3077767777902</v>
      </c>
      <c r="U38" s="13">
        <f>'TR TUSD'!$U$38*'TR TUSD'!$U$63</f>
        <v>0</v>
      </c>
      <c r="V38" s="13">
        <f>'TR TUSD'!$V$38*'TR TUSD'!$V$63</f>
        <v>0</v>
      </c>
      <c r="W38" s="13">
        <f>'TR TUSD'!$W$38*'TR TUSD'!$W$63</f>
        <v>0</v>
      </c>
      <c r="X38" s="13">
        <f>'TR TUSD'!$X$38*'TR TUSD'!$X$63</f>
        <v>0</v>
      </c>
      <c r="Y38" s="13">
        <f>'TR TUSD'!$Y$38*'TR TUSD'!$Y$63</f>
        <v>145.17363549476212</v>
      </c>
      <c r="Z38" s="13">
        <f>'TR TUSD'!$Z$38</f>
        <v>0</v>
      </c>
      <c r="AA38" s="13">
        <f>'TR TUSD'!$AA$38</f>
        <v>0</v>
      </c>
      <c r="AB38" s="13">
        <f>SUM($U$38:$AA$38)</f>
        <v>145.17363549476212</v>
      </c>
      <c r="AC38" s="13">
        <f>'TR TUSD'!$AC$38*'TR TUSD'!$AC$63</f>
        <v>470.24740261871955</v>
      </c>
      <c r="AD38" s="13">
        <f>SUM($AC$38:$AC$38)</f>
        <v>470.24740261871955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TUSD'!$AH$63</f>
        <v>24.174452462603146</v>
      </c>
      <c r="AI38" s="13">
        <f>'TR TUSD'!$AI$38*'TR TUSD'!$AI$63</f>
        <v>0.6635105835286037</v>
      </c>
      <c r="AJ38" s="13">
        <f ca="1">'TR TUSD'!$AJ$38*'TR TUSD'!$AJ$63</f>
        <v>0</v>
      </c>
      <c r="AK38" s="13">
        <f ca="1">'TR TUSD'!$AK$38*'TR TUSD'!$AK$63</f>
        <v>0</v>
      </c>
      <c r="AL38" s="13">
        <f ca="1">SUM($AH$38:$AK$38)</f>
        <v>24.837963046131748</v>
      </c>
      <c r="AM38" s="13">
        <f ca="1">SUMIF($L$4:$AL$4,"SUBTOTAL",$L$38:$AL$38)</f>
        <v>746.56677793740369</v>
      </c>
      <c r="AP38" s="13">
        <f>IF((1 - CUSTOS!$M$29)&lt;&gt;0,1/(1 - CUSTOS!$M$29),1)</f>
        <v>1</v>
      </c>
    </row>
    <row r="39" spans="1:42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>
        <f>'TR TUSD'!$L$39*'TR TUSD'!$L$63</f>
        <v>0</v>
      </c>
      <c r="M39" s="13">
        <f>'TR TUSD'!$M$39*'TR TUSD'!$M$63</f>
        <v>1.1153179741332462</v>
      </c>
      <c r="N39" s="13">
        <f ca="1">'TR TUSD'!$N$39*'TR TUSD'!$N$63</f>
        <v>0</v>
      </c>
      <c r="O39" s="13">
        <f>'TR TUSD'!$O$39*'TR TUSD'!$O$63</f>
        <v>0</v>
      </c>
      <c r="P39" s="13">
        <f>'TR TUSD'!$P$39*'TR TUSD'!$P$63</f>
        <v>0</v>
      </c>
      <c r="Q39" s="13">
        <f>'TR TUSD'!$Q$39*'TR TUSD'!$Q$63</f>
        <v>90.840528116491939</v>
      </c>
      <c r="R39" s="13">
        <f>'TR TUSD'!$R$39*'TR TUSD'!$R$63</f>
        <v>14.351930687165005</v>
      </c>
      <c r="S39" s="13">
        <f>'TR TUSD'!$S$39*'TR TUSD'!$S$63</f>
        <v>0</v>
      </c>
      <c r="T39" s="13">
        <f ca="1">SUM($L$39:$S$39)</f>
        <v>106.3077767777902</v>
      </c>
      <c r="U39" s="13">
        <f>'TR TUSD'!$U$39*'TR TUSD'!$U$63</f>
        <v>0</v>
      </c>
      <c r="V39" s="13">
        <f>'TR TUSD'!$V$39*'TR TUSD'!$V$63</f>
        <v>0</v>
      </c>
      <c r="W39" s="13">
        <f>'TR TUSD'!$W$39*'TR TUSD'!$W$63</f>
        <v>0</v>
      </c>
      <c r="X39" s="13">
        <f>'TR TUSD'!$X$39*'TR TUSD'!$X$63</f>
        <v>0</v>
      </c>
      <c r="Y39" s="13">
        <f>'TR TUSD'!$Y$39*'TR TUSD'!$Y$63</f>
        <v>48.379699717173359</v>
      </c>
      <c r="Z39" s="13">
        <f>'TR TUSD'!$Z$39</f>
        <v>0</v>
      </c>
      <c r="AA39" s="13">
        <f>'TR TUSD'!$AA$39</f>
        <v>0</v>
      </c>
      <c r="AB39" s="13">
        <f>SUM($U$39:$AA$39)</f>
        <v>48.379699717173359</v>
      </c>
      <c r="AC39" s="13">
        <f>'TR TUSD'!$AC$39*'TR TUSD'!$AC$63</f>
        <v>156.74913420623986</v>
      </c>
      <c r="AD39" s="13">
        <f>SUM($AC$39:$AC$39)</f>
        <v>156.74913420623986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TUSD'!$AH$63</f>
        <v>24.174452462603146</v>
      </c>
      <c r="AI39" s="13">
        <f>'TR TUSD'!$AI$39*'TR TUSD'!$AI$63</f>
        <v>0.6635105835286037</v>
      </c>
      <c r="AJ39" s="13">
        <f ca="1">'TR TUSD'!$AJ$39*'TR TUSD'!$AJ$63</f>
        <v>0</v>
      </c>
      <c r="AK39" s="13">
        <f ca="1">'TR TUSD'!$AK$39*'TR TUSD'!$AK$63</f>
        <v>0</v>
      </c>
      <c r="AL39" s="13">
        <f ca="1">SUM($AH$39:$AK$39)</f>
        <v>24.837963046131748</v>
      </c>
      <c r="AM39" s="13">
        <f ca="1">SUMIF($L$4:$AL$4,"SUBTOTAL",$L$39:$AL$39)</f>
        <v>336.27457374733518</v>
      </c>
      <c r="AP39" s="13">
        <f>IF((1 - CUSTOS!$M$29)&lt;&gt;0,1/(1 - CUSTOS!$M$29),1)</f>
        <v>1</v>
      </c>
    </row>
    <row r="40" spans="1:42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>
        <f>'TR TUSD'!$L$40*'TR TUSD'!$L$63</f>
        <v>0</v>
      </c>
      <c r="M40" s="13">
        <f>'TR TUSD'!$M$40*'TR TUSD'!$M$63</f>
        <v>1.1153179741332462</v>
      </c>
      <c r="N40" s="13">
        <f ca="1">'TR TUSD'!$N$40*'TR TUSD'!$N$63</f>
        <v>0</v>
      </c>
      <c r="O40" s="13">
        <f>'TR TUSD'!$O$40*'TR TUSD'!$O$63</f>
        <v>0</v>
      </c>
      <c r="P40" s="13">
        <f>'TR TUSD'!$P$40*'TR TUSD'!$P$63</f>
        <v>0</v>
      </c>
      <c r="Q40" s="13">
        <f>'TR TUSD'!$Q$40*'TR TUSD'!$Q$63</f>
        <v>90.840528116491939</v>
      </c>
      <c r="R40" s="13">
        <f>'TR TUSD'!$R$40*'TR TUSD'!$R$63</f>
        <v>14.351930687165005</v>
      </c>
      <c r="S40" s="13">
        <f>'TR TUSD'!$S$40*'TR TUSD'!$S$63</f>
        <v>0</v>
      </c>
      <c r="T40" s="13">
        <f ca="1">SUM($L$40:$S$40)</f>
        <v>106.3077767777902</v>
      </c>
      <c r="U40" s="13">
        <f>'TR TUSD'!$U$40*'TR TUSD'!$U$63</f>
        <v>0</v>
      </c>
      <c r="V40" s="13">
        <f>'TR TUSD'!$V$40*'TR TUSD'!$V$63</f>
        <v>0</v>
      </c>
      <c r="W40" s="13">
        <f>'TR TUSD'!$W$40*'TR TUSD'!$W$63</f>
        <v>0</v>
      </c>
      <c r="X40" s="13">
        <f>'TR TUSD'!$X$40*'TR TUSD'!$X$63</f>
        <v>0</v>
      </c>
      <c r="Y40" s="13">
        <f>'TR TUSD'!$Y$40*'TR TUSD'!$Y$63</f>
        <v>70.128028459167581</v>
      </c>
      <c r="Z40" s="13">
        <f>'TR TUSD'!$Z$40</f>
        <v>0</v>
      </c>
      <c r="AA40" s="13">
        <f>'TR TUSD'!$AA$40</f>
        <v>0</v>
      </c>
      <c r="AB40" s="13">
        <f>SUM($U$40:$AA$40)</f>
        <v>70.128028459167581</v>
      </c>
      <c r="AC40" s="13">
        <f>'TR TUSD'!$AC$40*'TR TUSD'!$AC$63</f>
        <v>265.67661983214145</v>
      </c>
      <c r="AD40" s="13">
        <f>SUM($AC$40:$AC$40)</f>
        <v>265.67661983214145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TUSD'!$AH$63</f>
        <v>24.174452462603146</v>
      </c>
      <c r="AI40" s="13">
        <f>'TR TUSD'!$AI$40*'TR TUSD'!$AI$63</f>
        <v>0.6635105835286037</v>
      </c>
      <c r="AJ40" s="13">
        <f ca="1">'TR TUSD'!$AJ$40*'TR TUSD'!$AJ$63</f>
        <v>0</v>
      </c>
      <c r="AK40" s="13">
        <f ca="1">'TR TUSD'!$AK$40*'TR TUSD'!$AK$63</f>
        <v>0</v>
      </c>
      <c r="AL40" s="13">
        <f ca="1">SUM($AH$40:$AK$40)</f>
        <v>24.837963046131748</v>
      </c>
      <c r="AM40" s="13">
        <f ca="1">SUMIF($L$4:$AL$4,"SUBTOTAL",$L$40:$AL$40)</f>
        <v>466.95038811523096</v>
      </c>
      <c r="AP40" s="13">
        <f>IF((1 - CUSTOS!$M$29)&lt;&gt;0,1/(1 - CUSTOS!$M$29),1)</f>
        <v>1</v>
      </c>
    </row>
    <row r="41" spans="1:42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>
        <f>'TR TUSD'!$L$41*'TR TUSD'!$L$63</f>
        <v>0</v>
      </c>
      <c r="M41" s="13">
        <f>'TR TUSD'!$M$41*'TR TUSD'!$M$63</f>
        <v>1.1153179741332462</v>
      </c>
      <c r="N41" s="13">
        <f ca="1">'TR TUSD'!$N$41*'TR TUSD'!$N$63</f>
        <v>0</v>
      </c>
      <c r="O41" s="13">
        <f>'TR TUSD'!$O$41*'TR TUSD'!$O$63</f>
        <v>0</v>
      </c>
      <c r="P41" s="13">
        <f>'TR TUSD'!$P$41*'TR TUSD'!$P$63</f>
        <v>0</v>
      </c>
      <c r="Q41" s="13">
        <f>'TR TUSD'!$Q$41*'TR TUSD'!$Q$63</f>
        <v>90.840528116491939</v>
      </c>
      <c r="R41" s="13">
        <f>'TR TUSD'!$R$41*'TR TUSD'!$R$63</f>
        <v>14.351930687165005</v>
      </c>
      <c r="S41" s="13">
        <f>'TR TUSD'!$S$41*'TR TUSD'!$S$63</f>
        <v>0</v>
      </c>
      <c r="T41" s="13">
        <f ca="1">SUM($L$41:$S$41)</f>
        <v>106.3077767777902</v>
      </c>
      <c r="U41" s="13">
        <f>'TR TUSD'!$U$41*'TR TUSD'!$U$63</f>
        <v>0</v>
      </c>
      <c r="V41" s="13">
        <f>'TR TUSD'!$V$41*'TR TUSD'!$V$63</f>
        <v>0</v>
      </c>
      <c r="W41" s="13">
        <f>'TR TUSD'!$W$41*'TR TUSD'!$W$63</f>
        <v>0</v>
      </c>
      <c r="X41" s="13">
        <f>'TR TUSD'!$X$41*'TR TUSD'!$X$63</f>
        <v>0</v>
      </c>
      <c r="Y41" s="13">
        <f>'TR TUSD'!$Y$41*'TR TUSD'!$Y$63</f>
        <v>242.00234096926346</v>
      </c>
      <c r="Z41" s="13">
        <f>'TR TUSD'!$Z$41</f>
        <v>0</v>
      </c>
      <c r="AA41" s="13">
        <f>'TR TUSD'!$AA$41</f>
        <v>0</v>
      </c>
      <c r="AB41" s="13">
        <f>SUM($U$41:$AA$41)</f>
        <v>242.00234096926346</v>
      </c>
      <c r="AC41" s="13">
        <f>'TR TUSD'!$AC$41*'TR TUSD'!$AC$63</f>
        <v>783.74590544012915</v>
      </c>
      <c r="AD41" s="13">
        <f>SUM($AC$41:$AC$41)</f>
        <v>783.74590544012915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TUSD'!$AH$63</f>
        <v>24.174452462603146</v>
      </c>
      <c r="AI41" s="13">
        <f>'TR TUSD'!$AI$41*'TR TUSD'!$AI$63</f>
        <v>0.6635105835286037</v>
      </c>
      <c r="AJ41" s="13">
        <f ca="1">'TR TUSD'!$AJ$41*'TR TUSD'!$AJ$63</f>
        <v>0</v>
      </c>
      <c r="AK41" s="13">
        <f ca="1">'TR TUSD'!$AK$41*'TR TUSD'!$AK$63</f>
        <v>0</v>
      </c>
      <c r="AL41" s="13">
        <f ca="1">SUM($AH$41:$AK$41)</f>
        <v>24.837963046131748</v>
      </c>
      <c r="AM41" s="13">
        <f ca="1">SUMIF($L$4:$AL$4,"SUBTOTAL",$L$41:$AL$41)</f>
        <v>1156.8939862333145</v>
      </c>
      <c r="AP41" s="13">
        <f>IF((1 - CUSTOS!$M$30)&lt;&gt;0,1/(1 - CUSTOS!$M$30),1)</f>
        <v>1</v>
      </c>
    </row>
    <row r="42" spans="1:42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>
        <f>'TR TUSD'!$L$42*'TR TUSD'!$L$63</f>
        <v>0</v>
      </c>
      <c r="M42" s="13">
        <f>'TR TUSD'!$M$42*'TR TUSD'!$M$63</f>
        <v>1.1153179741332462</v>
      </c>
      <c r="N42" s="13">
        <f ca="1">'TR TUSD'!$N$42*'TR TUSD'!$N$63</f>
        <v>0</v>
      </c>
      <c r="O42" s="13">
        <f>'TR TUSD'!$O$42*'TR TUSD'!$O$63</f>
        <v>0</v>
      </c>
      <c r="P42" s="13">
        <f>'TR TUSD'!$P$42*'TR TUSD'!$P$63</f>
        <v>0</v>
      </c>
      <c r="Q42" s="13">
        <f>'TR TUSD'!$Q$42*'TR TUSD'!$Q$63</f>
        <v>90.840528116491939</v>
      </c>
      <c r="R42" s="13">
        <f>'TR TUSD'!$R$42*'TR TUSD'!$R$63</f>
        <v>14.351930687165005</v>
      </c>
      <c r="S42" s="13">
        <f>'TR TUSD'!$S$42*'TR TUSD'!$S$63</f>
        <v>0</v>
      </c>
      <c r="T42" s="13">
        <f ca="1">SUM($L$42:$S$42)</f>
        <v>106.3077767777902</v>
      </c>
      <c r="U42" s="13">
        <f>'TR TUSD'!$U$42*'TR TUSD'!$U$63</f>
        <v>0</v>
      </c>
      <c r="V42" s="13">
        <f>'TR TUSD'!$V$42*'TR TUSD'!$V$63</f>
        <v>0</v>
      </c>
      <c r="W42" s="13">
        <f>'TR TUSD'!$W$42*'TR TUSD'!$W$63</f>
        <v>0</v>
      </c>
      <c r="X42" s="13">
        <f>'TR TUSD'!$X$42*'TR TUSD'!$X$63</f>
        <v>0</v>
      </c>
      <c r="Y42" s="13">
        <f>'TR TUSD'!$Y$42*'TR TUSD'!$Y$63</f>
        <v>145.17363549476212</v>
      </c>
      <c r="Z42" s="13">
        <f>'TR TUSD'!$Z$42</f>
        <v>0</v>
      </c>
      <c r="AA42" s="13">
        <f>'TR TUSD'!$AA$42</f>
        <v>0</v>
      </c>
      <c r="AB42" s="13">
        <f>SUM($U$42:$AA$42)</f>
        <v>145.17363549476212</v>
      </c>
      <c r="AC42" s="13">
        <f>'TR TUSD'!$AC$42*'TR TUSD'!$AC$63</f>
        <v>470.24740261871955</v>
      </c>
      <c r="AD42" s="13">
        <f>SUM($AC$42:$AC$42)</f>
        <v>470.24740261871955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TUSD'!$AH$63</f>
        <v>24.174452462603146</v>
      </c>
      <c r="AI42" s="13">
        <f>'TR TUSD'!$AI$42*'TR TUSD'!$AI$63</f>
        <v>0.6635105835286037</v>
      </c>
      <c r="AJ42" s="13">
        <f ca="1">'TR TUSD'!$AJ$42*'TR TUSD'!$AJ$63</f>
        <v>0</v>
      </c>
      <c r="AK42" s="13">
        <f ca="1">'TR TUSD'!$AK$42*'TR TUSD'!$AK$63</f>
        <v>0</v>
      </c>
      <c r="AL42" s="13">
        <f ca="1">SUM($AH$42:$AK$42)</f>
        <v>24.837963046131748</v>
      </c>
      <c r="AM42" s="13">
        <f ca="1">SUMIF($L$4:$AL$4,"SUBTOTAL",$L$42:$AL$42)</f>
        <v>746.56677793740369</v>
      </c>
      <c r="AP42" s="13">
        <f>IF((1 - CUSTOS!$M$30)&lt;&gt;0,1/(1 - CUSTOS!$M$30),1)</f>
        <v>1</v>
      </c>
    </row>
    <row r="43" spans="1:42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>
        <f>'TR TUSD'!$L$43*'TR TUSD'!$L$63</f>
        <v>0</v>
      </c>
      <c r="M43" s="13">
        <f>'TR TUSD'!$M$43*'TR TUSD'!$M$63</f>
        <v>1.1153179741332462</v>
      </c>
      <c r="N43" s="13">
        <f ca="1">'TR TUSD'!$N$43*'TR TUSD'!$N$63</f>
        <v>0</v>
      </c>
      <c r="O43" s="13">
        <f>'TR TUSD'!$O$43*'TR TUSD'!$O$63</f>
        <v>0</v>
      </c>
      <c r="P43" s="13">
        <f>'TR TUSD'!$P$43*'TR TUSD'!$P$63</f>
        <v>0</v>
      </c>
      <c r="Q43" s="13">
        <f>'TR TUSD'!$Q$43*'TR TUSD'!$Q$63</f>
        <v>90.840528116491939</v>
      </c>
      <c r="R43" s="13">
        <f>'TR TUSD'!$R$43*'TR TUSD'!$R$63</f>
        <v>14.351930687165005</v>
      </c>
      <c r="S43" s="13">
        <f>'TR TUSD'!$S$43*'TR TUSD'!$S$63</f>
        <v>0</v>
      </c>
      <c r="T43" s="13">
        <f ca="1">SUM($L$43:$S$43)</f>
        <v>106.3077767777902</v>
      </c>
      <c r="U43" s="13">
        <f>'TR TUSD'!$U$43*'TR TUSD'!$U$63</f>
        <v>0</v>
      </c>
      <c r="V43" s="13">
        <f>'TR TUSD'!$V$43*'TR TUSD'!$V$63</f>
        <v>0</v>
      </c>
      <c r="W43" s="13">
        <f>'TR TUSD'!$W$43*'TR TUSD'!$W$63</f>
        <v>0</v>
      </c>
      <c r="X43" s="13">
        <f>'TR TUSD'!$X$43*'TR TUSD'!$X$63</f>
        <v>0</v>
      </c>
      <c r="Y43" s="13">
        <f>'TR TUSD'!$Y$43*'TR TUSD'!$Y$63</f>
        <v>48.379699717173359</v>
      </c>
      <c r="Z43" s="13">
        <f>'TR TUSD'!$Z$43</f>
        <v>0</v>
      </c>
      <c r="AA43" s="13">
        <f>'TR TUSD'!$AA$43</f>
        <v>0</v>
      </c>
      <c r="AB43" s="13">
        <f>SUM($U$43:$AA$43)</f>
        <v>48.379699717173359</v>
      </c>
      <c r="AC43" s="13">
        <f>'TR TUSD'!$AC$43*'TR TUSD'!$AC$63</f>
        <v>156.74913420623986</v>
      </c>
      <c r="AD43" s="13">
        <f>SUM($AC$43:$AC$43)</f>
        <v>156.74913420623986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TUSD'!$AH$63</f>
        <v>24.174452462603146</v>
      </c>
      <c r="AI43" s="13">
        <f>'TR TUSD'!$AI$43*'TR TUSD'!$AI$63</f>
        <v>0.6635105835286037</v>
      </c>
      <c r="AJ43" s="13">
        <f ca="1">'TR TUSD'!$AJ$43*'TR TUSD'!$AJ$63</f>
        <v>0</v>
      </c>
      <c r="AK43" s="13">
        <f ca="1">'TR TUSD'!$AK$43*'TR TUSD'!$AK$63</f>
        <v>0</v>
      </c>
      <c r="AL43" s="13">
        <f ca="1">SUM($AH$43:$AK$43)</f>
        <v>24.837963046131748</v>
      </c>
      <c r="AM43" s="13">
        <f ca="1">SUMIF($L$4:$AL$4,"SUBTOTAL",$L$43:$AL$43)</f>
        <v>336.27457374733518</v>
      </c>
      <c r="AP43" s="13">
        <f>IF((1 - CUSTOS!$M$30)&lt;&gt;0,1/(1 - CUSTOS!$M$30),1)</f>
        <v>1</v>
      </c>
    </row>
    <row r="44" spans="1:42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>
        <f>'TR TUSD'!$L$44*'TR TUSD'!$L$63</f>
        <v>0</v>
      </c>
      <c r="M44" s="13">
        <f>'TR TUSD'!$M$44*'TR TUSD'!$M$63</f>
        <v>1.1153179741332462</v>
      </c>
      <c r="N44" s="13">
        <f ca="1">'TR TUSD'!$N$44*'TR TUSD'!$N$63</f>
        <v>0</v>
      </c>
      <c r="O44" s="13">
        <f>'TR TUSD'!$O$44*'TR TUSD'!$O$63</f>
        <v>0</v>
      </c>
      <c r="P44" s="13">
        <f>'TR TUSD'!$P$44*'TR TUSD'!$P$63</f>
        <v>0</v>
      </c>
      <c r="Q44" s="13">
        <f>'TR TUSD'!$Q$44*'TR TUSD'!$Q$63</f>
        <v>90.840528116491939</v>
      </c>
      <c r="R44" s="13">
        <f>'TR TUSD'!$R$44*'TR TUSD'!$R$63</f>
        <v>14.351930687165005</v>
      </c>
      <c r="S44" s="13">
        <f>'TR TUSD'!$S$44*'TR TUSD'!$S$63</f>
        <v>0</v>
      </c>
      <c r="T44" s="13">
        <f ca="1">SUM($L$44:$S$44)</f>
        <v>106.3077767777902</v>
      </c>
      <c r="U44" s="13">
        <f>'TR TUSD'!$U$44*'TR TUSD'!$U$63</f>
        <v>0</v>
      </c>
      <c r="V44" s="13">
        <f>'TR TUSD'!$V$44*'TR TUSD'!$V$63</f>
        <v>0</v>
      </c>
      <c r="W44" s="13">
        <f>'TR TUSD'!$W$44*'TR TUSD'!$W$63</f>
        <v>0</v>
      </c>
      <c r="X44" s="13">
        <f>'TR TUSD'!$X$44*'TR TUSD'!$X$63</f>
        <v>0</v>
      </c>
      <c r="Y44" s="13">
        <f>'TR TUSD'!$Y$44*'TR TUSD'!$Y$63</f>
        <v>70.128028459167581</v>
      </c>
      <c r="Z44" s="13">
        <f>'TR TUSD'!$Z$44</f>
        <v>0</v>
      </c>
      <c r="AA44" s="13">
        <f>'TR TUSD'!$AA$44</f>
        <v>0</v>
      </c>
      <c r="AB44" s="13">
        <f>SUM($U$44:$AA$44)</f>
        <v>70.128028459167581</v>
      </c>
      <c r="AC44" s="13">
        <f>'TR TUSD'!$AC$44*'TR TUSD'!$AC$63</f>
        <v>265.67661983214145</v>
      </c>
      <c r="AD44" s="13">
        <f>SUM($AC$44:$AC$44)</f>
        <v>265.67661983214145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TUSD'!$AH$63</f>
        <v>24.174452462603146</v>
      </c>
      <c r="AI44" s="13">
        <f>'TR TUSD'!$AI$44*'TR TUSD'!$AI$63</f>
        <v>0.6635105835286037</v>
      </c>
      <c r="AJ44" s="13">
        <f ca="1">'TR TUSD'!$AJ$44*'TR TUSD'!$AJ$63</f>
        <v>0</v>
      </c>
      <c r="AK44" s="13">
        <f ca="1">'TR TUSD'!$AK$44*'TR TUSD'!$AK$63</f>
        <v>0</v>
      </c>
      <c r="AL44" s="13">
        <f ca="1">SUM($AH$44:$AK$44)</f>
        <v>24.837963046131748</v>
      </c>
      <c r="AM44" s="13">
        <f ca="1">SUMIF($L$4:$AL$4,"SUBTOTAL",$L$44:$AL$44)</f>
        <v>466.95038811523096</v>
      </c>
      <c r="AP44" s="13">
        <f>IF((1 - CUSTOS!$M$30)&lt;&gt;0,1/(1 - CUSTOS!$M$30),1)</f>
        <v>1</v>
      </c>
    </row>
    <row r="45" spans="1:42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>
        <f>'TR TUSD'!$L$45*'TR TUSD'!$L$63</f>
        <v>0</v>
      </c>
      <c r="M45" s="13">
        <f>'TR TUSD'!$M$45*'TR TUSD'!$M$63</f>
        <v>1.1153179741332462</v>
      </c>
      <c r="N45" s="13">
        <f ca="1">'TR TUSD'!$N$45*'TR TUSD'!$N$63</f>
        <v>0</v>
      </c>
      <c r="O45" s="13">
        <f>'TR TUSD'!$O$45*'TR TUSD'!$O$63</f>
        <v>0</v>
      </c>
      <c r="P45" s="13">
        <f>'TR TUSD'!$P$45*'TR TUSD'!$P$63</f>
        <v>0</v>
      </c>
      <c r="Q45" s="13">
        <f>'TR TUSD'!$Q$45*'TR TUSD'!$Q$63</f>
        <v>90.840528116491939</v>
      </c>
      <c r="R45" s="13">
        <f>'TR TUSD'!$R$45*'TR TUSD'!$R$63</f>
        <v>14.351930687165005</v>
      </c>
      <c r="S45" s="13">
        <f>'TR TUSD'!$S$45*'TR TUSD'!$S$63</f>
        <v>0</v>
      </c>
      <c r="T45" s="13">
        <f ca="1">SUM($L$45:$S$45)</f>
        <v>106.3077767777902</v>
      </c>
      <c r="U45" s="13">
        <f>'TR TUSD'!$U$45*'TR TUSD'!$U$63</f>
        <v>0</v>
      </c>
      <c r="V45" s="13">
        <f>'TR TUSD'!$V$45*'TR TUSD'!$V$63</f>
        <v>0</v>
      </c>
      <c r="W45" s="13">
        <f>'TR TUSD'!$W$45*'TR TUSD'!$W$63</f>
        <v>0</v>
      </c>
      <c r="X45" s="13">
        <f>'TR TUSD'!$X$45*'TR TUSD'!$X$63</f>
        <v>0</v>
      </c>
      <c r="Y45" s="13">
        <f>'TR TUSD'!$Y$45*'TR TUSD'!$Y$63</f>
        <v>70.128028459167581</v>
      </c>
      <c r="Z45" s="13">
        <f>'TR TUSD'!$Z$45</f>
        <v>0</v>
      </c>
      <c r="AA45" s="13">
        <f>'TR TUSD'!$AA$45</f>
        <v>0</v>
      </c>
      <c r="AB45" s="13">
        <f>SUM($U$45:$AA$45)</f>
        <v>70.128028459167581</v>
      </c>
      <c r="AC45" s="13">
        <f>'TR TUSD'!$AC$45*'TR TUSD'!$AC$63</f>
        <v>265.67661983214145</v>
      </c>
      <c r="AD45" s="13">
        <f>SUM($AC$45:$AC$45)</f>
        <v>265.67661983214145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TUSD'!$AH$63</f>
        <v>24.174452462603146</v>
      </c>
      <c r="AI45" s="13">
        <f>'TR TUSD'!$AI$45*'TR TUSD'!$AI$63</f>
        <v>0.6635105835286037</v>
      </c>
      <c r="AJ45" s="13">
        <f ca="1">'TR TUSD'!$AJ$45*'TR TUSD'!$AJ$63</f>
        <v>0</v>
      </c>
      <c r="AK45" s="13">
        <f ca="1">'TR TUSD'!$AK$45*'TR TUSD'!$AK$63</f>
        <v>0</v>
      </c>
      <c r="AL45" s="13">
        <f ca="1">SUM($AH$45:$AK$45)</f>
        <v>24.837963046131748</v>
      </c>
      <c r="AM45" s="13">
        <f ca="1">SUMIF($L$4:$AL$4,"SUBTOTAL",$L$45:$AL$45)</f>
        <v>466.95038811523096</v>
      </c>
      <c r="AP45" s="13">
        <f>IF((1 - CUSTOS!$M$28)&lt;&gt;0,1/(1 - CUSTOS!$M$28),1)</f>
        <v>1</v>
      </c>
    </row>
    <row r="46" spans="1:42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>
        <f>'TR TUSD'!$L$46*'TR TUSD'!$L$63</f>
        <v>0</v>
      </c>
      <c r="M46" s="13">
        <f>'TR TUSD'!$M$46*'TR TUSD'!$M$63</f>
        <v>1.1153179741332462</v>
      </c>
      <c r="N46" s="13">
        <f ca="1">'TR TUSD'!$N$46*'TR TUSD'!$N$63</f>
        <v>0</v>
      </c>
      <c r="O46" s="13">
        <f>'TR TUSD'!$O$46*'TR TUSD'!$O$63</f>
        <v>0</v>
      </c>
      <c r="P46" s="13">
        <f>'TR TUSD'!$P$46*'TR TUSD'!$P$63</f>
        <v>0</v>
      </c>
      <c r="Q46" s="13">
        <f>'TR TUSD'!$Q$46*'TR TUSD'!$Q$63</f>
        <v>90.840528116491939</v>
      </c>
      <c r="R46" s="13">
        <f>'TR TUSD'!$R$46*'TR TUSD'!$R$63</f>
        <v>14.351930687165005</v>
      </c>
      <c r="S46" s="13">
        <f>'TR TUSD'!$S$46*'TR TUSD'!$S$63</f>
        <v>0</v>
      </c>
      <c r="T46" s="13">
        <f ca="1">SUM($L$46:$S$46)</f>
        <v>106.3077767777902</v>
      </c>
      <c r="U46" s="13">
        <f>'TR TUSD'!$U$46*'TR TUSD'!$U$63</f>
        <v>0</v>
      </c>
      <c r="V46" s="13">
        <f>'TR TUSD'!$V$46*'TR TUSD'!$V$63</f>
        <v>0</v>
      </c>
      <c r="W46" s="13">
        <f>'TR TUSD'!$W$46*'TR TUSD'!$W$63</f>
        <v>0</v>
      </c>
      <c r="X46" s="13">
        <f>'TR TUSD'!$X$46*'TR TUSD'!$X$63</f>
        <v>0</v>
      </c>
      <c r="Y46" s="13">
        <f>'TR TUSD'!$Y$46*'TR TUSD'!$Y$63</f>
        <v>70.128028459167581</v>
      </c>
      <c r="Z46" s="13">
        <f>'TR TUSD'!$Z$46</f>
        <v>0</v>
      </c>
      <c r="AA46" s="13">
        <f>'TR TUSD'!$AA$46</f>
        <v>0</v>
      </c>
      <c r="AB46" s="13">
        <f>SUM($U$46:$AA$46)</f>
        <v>70.128028459167581</v>
      </c>
      <c r="AC46" s="13">
        <f>'TR TUSD'!$AC$46*'TR TUSD'!$AC$63</f>
        <v>265.67661983214145</v>
      </c>
      <c r="AD46" s="13">
        <f>SUM($AC$46:$AC$46)</f>
        <v>265.67661983214145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TUSD'!$AH$63</f>
        <v>24.174452462603146</v>
      </c>
      <c r="AI46" s="13">
        <f>'TR TUSD'!$AI$46*'TR TUSD'!$AI$63</f>
        <v>0.6635105835286037</v>
      </c>
      <c r="AJ46" s="13">
        <f ca="1">'TR TUSD'!$AJ$46*'TR TUSD'!$AJ$63</f>
        <v>0</v>
      </c>
      <c r="AK46" s="13">
        <f ca="1">'TR TUSD'!$AK$46*'TR TUSD'!$AK$63</f>
        <v>0</v>
      </c>
      <c r="AL46" s="13">
        <f ca="1">SUM($AH$46:$AK$46)</f>
        <v>24.837963046131748</v>
      </c>
      <c r="AM46" s="13">
        <f ca="1">SUMIF($L$4:$AL$4,"SUBTOTAL",$L$46:$AL$46)</f>
        <v>466.95038811523096</v>
      </c>
      <c r="AP46" s="13">
        <f>IF((1 - CUSTOS!$M$29)&lt;&gt;0,1/(1 - CUSTOS!$M$29),1)</f>
        <v>1</v>
      </c>
    </row>
    <row r="47" spans="1:42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>
        <f>'TR TUSD'!$L$47*'TR TUSD'!$L$63</f>
        <v>0</v>
      </c>
      <c r="M47" s="13">
        <f>'TR TUSD'!$M$47*'TR TUSD'!$M$63</f>
        <v>1.1153179741332462</v>
      </c>
      <c r="N47" s="13">
        <f ca="1">'TR TUSD'!$N$47*'TR TUSD'!$N$63</f>
        <v>0</v>
      </c>
      <c r="O47" s="13">
        <f>'TR TUSD'!$O$47*'TR TUSD'!$O$63</f>
        <v>0</v>
      </c>
      <c r="P47" s="13">
        <f>'TR TUSD'!$P$47*'TR TUSD'!$P$63</f>
        <v>0</v>
      </c>
      <c r="Q47" s="13">
        <f>'TR TUSD'!$Q$47*'TR TUSD'!$Q$63</f>
        <v>90.840528116491939</v>
      </c>
      <c r="R47" s="13">
        <f>'TR TUSD'!$R$47*'TR TUSD'!$R$63</f>
        <v>14.351930687165005</v>
      </c>
      <c r="S47" s="13">
        <f>'TR TUSD'!$S$47*'TR TUSD'!$S$63</f>
        <v>0</v>
      </c>
      <c r="T47" s="13">
        <f ca="1">SUM($L$47:$S$47)</f>
        <v>106.3077767777902</v>
      </c>
      <c r="U47" s="13">
        <f>'TR TUSD'!$U$47*'TR TUSD'!$U$63</f>
        <v>0</v>
      </c>
      <c r="V47" s="13">
        <f>'TR TUSD'!$V$47*'TR TUSD'!$V$63</f>
        <v>0</v>
      </c>
      <c r="W47" s="13">
        <f>'TR TUSD'!$W$47*'TR TUSD'!$W$63</f>
        <v>0</v>
      </c>
      <c r="X47" s="13">
        <f>'TR TUSD'!$X$47*'TR TUSD'!$X$63</f>
        <v>0</v>
      </c>
      <c r="Y47" s="13">
        <f>'TR TUSD'!$Y$47*'TR TUSD'!$Y$63</f>
        <v>70.128028459167581</v>
      </c>
      <c r="Z47" s="13">
        <f>'TR TUSD'!$Z$47</f>
        <v>0</v>
      </c>
      <c r="AA47" s="13">
        <f>'TR TUSD'!$AA$47</f>
        <v>0</v>
      </c>
      <c r="AB47" s="13">
        <f>SUM($U$47:$AA$47)</f>
        <v>70.128028459167581</v>
      </c>
      <c r="AC47" s="13">
        <f>'TR TUSD'!$AC$47*'TR TUSD'!$AC$63</f>
        <v>265.67661983214145</v>
      </c>
      <c r="AD47" s="13">
        <f>SUM($AC$47:$AC$47)</f>
        <v>265.67661983214145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TUSD'!$AH$63</f>
        <v>24.174452462603146</v>
      </c>
      <c r="AI47" s="13">
        <f>'TR TUSD'!$AI$47*'TR TUSD'!$AI$63</f>
        <v>0.6635105835286037</v>
      </c>
      <c r="AJ47" s="13">
        <f ca="1">'TR TUSD'!$AJ$47*'TR TUSD'!$AJ$63</f>
        <v>0</v>
      </c>
      <c r="AK47" s="13">
        <f ca="1">'TR TUSD'!$AK$47*'TR TUSD'!$AK$63</f>
        <v>0</v>
      </c>
      <c r="AL47" s="13">
        <f ca="1">SUM($AH$47:$AK$47)</f>
        <v>24.837963046131748</v>
      </c>
      <c r="AM47" s="13">
        <f ca="1">SUMIF($L$4:$AL$4,"SUBTOTAL",$L$47:$AL$47)</f>
        <v>466.95038811523096</v>
      </c>
      <c r="AP47" s="13">
        <f>IF((1 - CUSTOS!$M$30)&lt;&gt;0,1/(1 - CUSTOS!$M$30),1)</f>
        <v>1</v>
      </c>
    </row>
    <row r="48" spans="1:42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>
        <f>'TR TUSD'!$L$48*'TR TUSD'!$L$63</f>
        <v>0</v>
      </c>
      <c r="M48" s="13">
        <f>'TR TUSD'!$M$48*'TR TUSD'!$M$63</f>
        <v>1.1153179741332462</v>
      </c>
      <c r="N48" s="13">
        <f ca="1">'TR TUSD'!$N$48*'TR TUSD'!$N$63</f>
        <v>0</v>
      </c>
      <c r="O48" s="13">
        <f>'TR TUSD'!$O$48*'TR TUSD'!$O$63</f>
        <v>0</v>
      </c>
      <c r="P48" s="13">
        <f>'TR TUSD'!$P$48*'TR TUSD'!$P$63</f>
        <v>0</v>
      </c>
      <c r="Q48" s="13">
        <f>'TR TUSD'!$Q$48*'TR TUSD'!$Q$63</f>
        <v>90.840528116491939</v>
      </c>
      <c r="R48" s="13">
        <f>'TR TUSD'!$R$48*'TR TUSD'!$R$63</f>
        <v>14.351930687165005</v>
      </c>
      <c r="S48" s="13">
        <f>'TR TUSD'!$S$48*'TR TUSD'!$S$63</f>
        <v>0</v>
      </c>
      <c r="T48" s="13">
        <f ca="1">SUM($L$48:$S$48)</f>
        <v>106.3077767777902</v>
      </c>
      <c r="U48" s="13">
        <f>'TR TUSD'!$U$48*'TR TUSD'!$U$63</f>
        <v>0</v>
      </c>
      <c r="V48" s="13">
        <f>'TR TUSD'!$V$48*'TR TUSD'!$V$63</f>
        <v>0</v>
      </c>
      <c r="W48" s="13">
        <f>'TR TUSD'!$W$48*'TR TUSD'!$W$63</f>
        <v>0</v>
      </c>
      <c r="X48" s="13">
        <f>'TR TUSD'!$X$48*'TR TUSD'!$X$63</f>
        <v>0</v>
      </c>
      <c r="Y48" s="13">
        <f>'TR TUSD'!$Y$48*'TR TUSD'!$Y$63</f>
        <v>242.00234096926346</v>
      </c>
      <c r="Z48" s="13">
        <f>'TR TUSD'!$Z$48</f>
        <v>0</v>
      </c>
      <c r="AA48" s="13">
        <f>'TR TUSD'!$AA$48</f>
        <v>0</v>
      </c>
      <c r="AB48" s="13">
        <f>SUM($U$48:$AA$48)</f>
        <v>242.00234096926346</v>
      </c>
      <c r="AC48" s="13">
        <f>'TR TUSD'!$AC$48*'TR TUSD'!$AC$63</f>
        <v>916.58403954950245</v>
      </c>
      <c r="AD48" s="13">
        <f>SUM($AC$48:$AC$48)</f>
        <v>916.58403954950245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TUSD'!$AH$63</f>
        <v>24.174452462603146</v>
      </c>
      <c r="AI48" s="13">
        <f>'TR TUSD'!$AI$48*'TR TUSD'!$AI$63</f>
        <v>0.6635105835286037</v>
      </c>
      <c r="AJ48" s="13">
        <f ca="1">'TR TUSD'!$AJ$48*'TR TUSD'!$AJ$63</f>
        <v>0</v>
      </c>
      <c r="AK48" s="13">
        <f ca="1">'TR TUSD'!$AK$48*'TR TUSD'!$AK$63</f>
        <v>0</v>
      </c>
      <c r="AL48" s="13">
        <f ca="1">SUM($AH$48:$AK$48)</f>
        <v>24.837963046131748</v>
      </c>
      <c r="AM48" s="13">
        <f ca="1">SUMIF($L$4:$AL$4,"SUBTOTAL",$L$48:$AL$48)</f>
        <v>1289.7321203426879</v>
      </c>
      <c r="AP48" s="13">
        <f>IF((1 - CUSTOS!$M$31)&lt;&gt;0,1/(1 - CUSTOS!$M$31),1)</f>
        <v>1</v>
      </c>
    </row>
    <row r="49" spans="1:42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>
        <f>'TR TUSD'!$L$49*'TR TUSD'!$L$63</f>
        <v>0</v>
      </c>
      <c r="M49" s="13">
        <f>'TR TUSD'!$M$49*'TR TUSD'!$M$63</f>
        <v>1.1153179741332462</v>
      </c>
      <c r="N49" s="13">
        <f ca="1">'TR TUSD'!$N$49*'TR TUSD'!$N$63</f>
        <v>0</v>
      </c>
      <c r="O49" s="13">
        <f>'TR TUSD'!$O$49*'TR TUSD'!$O$63</f>
        <v>0</v>
      </c>
      <c r="P49" s="13">
        <f>'TR TUSD'!$P$49*'TR TUSD'!$P$63</f>
        <v>0</v>
      </c>
      <c r="Q49" s="13">
        <f>'TR TUSD'!$Q$49*'TR TUSD'!$Q$63</f>
        <v>90.840528116491939</v>
      </c>
      <c r="R49" s="13">
        <f>'TR TUSD'!$R$49*'TR TUSD'!$R$63</f>
        <v>14.351930687165005</v>
      </c>
      <c r="S49" s="13">
        <f>'TR TUSD'!$S$49*'TR TUSD'!$S$63</f>
        <v>0</v>
      </c>
      <c r="T49" s="13">
        <f ca="1">SUM($L$49:$S$49)</f>
        <v>106.3077767777902</v>
      </c>
      <c r="U49" s="13">
        <f>'TR TUSD'!$U$49*'TR TUSD'!$U$63</f>
        <v>0</v>
      </c>
      <c r="V49" s="13">
        <f>'TR TUSD'!$V$49*'TR TUSD'!$V$63</f>
        <v>0</v>
      </c>
      <c r="W49" s="13">
        <f>'TR TUSD'!$W$49*'TR TUSD'!$W$63</f>
        <v>0</v>
      </c>
      <c r="X49" s="13">
        <f>'TR TUSD'!$X$49*'TR TUSD'!$X$63</f>
        <v>0</v>
      </c>
      <c r="Y49" s="13">
        <f>'TR TUSD'!$Y$49*'TR TUSD'!$Y$63</f>
        <v>145.17363549476212</v>
      </c>
      <c r="Z49" s="13">
        <f>'TR TUSD'!$Z$49</f>
        <v>0</v>
      </c>
      <c r="AA49" s="13">
        <f>'TR TUSD'!$AA$49</f>
        <v>0</v>
      </c>
      <c r="AB49" s="13">
        <f>SUM($U$49:$AA$49)</f>
        <v>145.17363549476212</v>
      </c>
      <c r="AC49" s="13">
        <f>'TR TUSD'!$AC$49*'TR TUSD'!$AC$63</f>
        <v>549.95042372970147</v>
      </c>
      <c r="AD49" s="13">
        <f>SUM($AC$49:$AC$49)</f>
        <v>549.95042372970147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TUSD'!$AH$63</f>
        <v>24.174452462603146</v>
      </c>
      <c r="AI49" s="13">
        <f>'TR TUSD'!$AI$49*'TR TUSD'!$AI$63</f>
        <v>0.6635105835286037</v>
      </c>
      <c r="AJ49" s="13">
        <f ca="1">'TR TUSD'!$AJ$49*'TR TUSD'!$AJ$63</f>
        <v>0</v>
      </c>
      <c r="AK49" s="13">
        <f ca="1">'TR TUSD'!$AK$49*'TR TUSD'!$AK$63</f>
        <v>0</v>
      </c>
      <c r="AL49" s="13">
        <f ca="1">SUM($AH$49:$AK$49)</f>
        <v>24.837963046131748</v>
      </c>
      <c r="AM49" s="13">
        <f ca="1">SUMIF($L$4:$AL$4,"SUBTOTAL",$L$49:$AL$49)</f>
        <v>826.26979904838561</v>
      </c>
      <c r="AP49" s="13">
        <f>IF((1 - CUSTOS!$M$31)&lt;&gt;0,1/(1 - CUSTOS!$M$31),1)</f>
        <v>1</v>
      </c>
    </row>
    <row r="50" spans="1:42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>
        <f>'TR TUSD'!$L$50*'TR TUSD'!$L$63</f>
        <v>0</v>
      </c>
      <c r="M50" s="13">
        <f>'TR TUSD'!$M$50*'TR TUSD'!$M$63</f>
        <v>1.1153179741332462</v>
      </c>
      <c r="N50" s="13">
        <f ca="1">'TR TUSD'!$N$50*'TR TUSD'!$N$63</f>
        <v>0</v>
      </c>
      <c r="O50" s="13">
        <f>'TR TUSD'!$O$50*'TR TUSD'!$O$63</f>
        <v>0</v>
      </c>
      <c r="P50" s="13">
        <f>'TR TUSD'!$P$50*'TR TUSD'!$P$63</f>
        <v>0</v>
      </c>
      <c r="Q50" s="13">
        <f>'TR TUSD'!$Q$50*'TR TUSD'!$Q$63</f>
        <v>90.840528116491939</v>
      </c>
      <c r="R50" s="13">
        <f>'TR TUSD'!$R$50*'TR TUSD'!$R$63</f>
        <v>14.351930687165005</v>
      </c>
      <c r="S50" s="13">
        <f>'TR TUSD'!$S$50*'TR TUSD'!$S$63</f>
        <v>0</v>
      </c>
      <c r="T50" s="13">
        <f ca="1">SUM($L$50:$S$50)</f>
        <v>106.3077767777902</v>
      </c>
      <c r="U50" s="13">
        <f>'TR TUSD'!$U$50*'TR TUSD'!$U$63</f>
        <v>0</v>
      </c>
      <c r="V50" s="13">
        <f>'TR TUSD'!$V$50*'TR TUSD'!$V$63</f>
        <v>0</v>
      </c>
      <c r="W50" s="13">
        <f>'TR TUSD'!$W$50*'TR TUSD'!$W$63</f>
        <v>0</v>
      </c>
      <c r="X50" s="13">
        <f>'TR TUSD'!$X$50*'TR TUSD'!$X$63</f>
        <v>0</v>
      </c>
      <c r="Y50" s="13">
        <f>'TR TUSD'!$Y$50*'TR TUSD'!$Y$63</f>
        <v>48.379699717173359</v>
      </c>
      <c r="Z50" s="13">
        <f>'TR TUSD'!$Z$50</f>
        <v>0</v>
      </c>
      <c r="AA50" s="13">
        <f>'TR TUSD'!$AA$50</f>
        <v>0</v>
      </c>
      <c r="AB50" s="13">
        <f>SUM($U$50:$AA$50)</f>
        <v>48.379699717173359</v>
      </c>
      <c r="AC50" s="13">
        <f>'TR TUSD'!$AC$50*'TR TUSD'!$AC$63</f>
        <v>183.31704231883037</v>
      </c>
      <c r="AD50" s="13">
        <f>SUM($AC$50:$AC$50)</f>
        <v>183.31704231883037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TUSD'!$AH$63</f>
        <v>24.174452462603146</v>
      </c>
      <c r="AI50" s="13">
        <f>'TR TUSD'!$AI$50*'TR TUSD'!$AI$63</f>
        <v>0.6635105835286037</v>
      </c>
      <c r="AJ50" s="13">
        <f ca="1">'TR TUSD'!$AJ$50*'TR TUSD'!$AJ$63</f>
        <v>0</v>
      </c>
      <c r="AK50" s="13">
        <f ca="1">'TR TUSD'!$AK$50*'TR TUSD'!$AK$63</f>
        <v>0</v>
      </c>
      <c r="AL50" s="13">
        <f ca="1">SUM($AH$50:$AK$50)</f>
        <v>24.837963046131748</v>
      </c>
      <c r="AM50" s="13">
        <f ca="1">SUMIF($L$4:$AL$4,"SUBTOTAL",$L$50:$AL$50)</f>
        <v>362.84248185992567</v>
      </c>
      <c r="AP50" s="13">
        <f>IF((1 - CUSTOS!$M$31)&lt;&gt;0,1/(1 - CUSTOS!$M$31),1)</f>
        <v>1</v>
      </c>
    </row>
    <row r="51" spans="1:42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>
        <f>'TR TUSD'!$L$51*'TR TUSD'!$L$63</f>
        <v>0</v>
      </c>
      <c r="M51" s="13">
        <f>'TR TUSD'!$M$51*'TR TUSD'!$M$63</f>
        <v>1.1153179741332462</v>
      </c>
      <c r="N51" s="13">
        <f ca="1">'TR TUSD'!$N$51*'TR TUSD'!$N$63</f>
        <v>0</v>
      </c>
      <c r="O51" s="13">
        <f>'TR TUSD'!$O$51*'TR TUSD'!$O$63</f>
        <v>0</v>
      </c>
      <c r="P51" s="13">
        <f>'TR TUSD'!$P$51*'TR TUSD'!$P$63</f>
        <v>0</v>
      </c>
      <c r="Q51" s="13">
        <f>'TR TUSD'!$Q$51*'TR TUSD'!$Q$63</f>
        <v>90.840528116491939</v>
      </c>
      <c r="R51" s="13">
        <f>'TR TUSD'!$R$51*'TR TUSD'!$R$63</f>
        <v>14.351930687165005</v>
      </c>
      <c r="S51" s="13">
        <f>'TR TUSD'!$S$51*'TR TUSD'!$S$63</f>
        <v>0</v>
      </c>
      <c r="T51" s="13">
        <f ca="1">SUM($L$51:$S$51)</f>
        <v>106.3077767777902</v>
      </c>
      <c r="U51" s="13">
        <f>'TR TUSD'!$U$51*'TR TUSD'!$U$63</f>
        <v>0</v>
      </c>
      <c r="V51" s="13">
        <f>'TR TUSD'!$V$51*'TR TUSD'!$V$63</f>
        <v>0</v>
      </c>
      <c r="W51" s="13">
        <f>'TR TUSD'!$W$51*'TR TUSD'!$W$63</f>
        <v>0</v>
      </c>
      <c r="X51" s="13">
        <f>'TR TUSD'!$X$51*'TR TUSD'!$X$63</f>
        <v>0</v>
      </c>
      <c r="Y51" s="13">
        <f>'TR TUSD'!$Y$51*'TR TUSD'!$Y$63</f>
        <v>70.128028459167581</v>
      </c>
      <c r="Z51" s="13">
        <f>'TR TUSD'!$Z$51</f>
        <v>0</v>
      </c>
      <c r="AA51" s="13">
        <f>'TR TUSD'!$AA$51</f>
        <v>0</v>
      </c>
      <c r="AB51" s="13">
        <f>SUM($U$51:$AA$51)</f>
        <v>70.128028459167581</v>
      </c>
      <c r="AC51" s="13">
        <f>'TR TUSD'!$AC$51*'TR TUSD'!$AC$63</f>
        <v>265.67661983214145</v>
      </c>
      <c r="AD51" s="13">
        <f>SUM($AC$51:$AC$51)</f>
        <v>265.67661983214145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TUSD'!$AH$63</f>
        <v>24.174452462603146</v>
      </c>
      <c r="AI51" s="13">
        <f>'TR TUSD'!$AI$51*'TR TUSD'!$AI$63</f>
        <v>0.6635105835286037</v>
      </c>
      <c r="AJ51" s="13">
        <f ca="1">'TR TUSD'!$AJ$51*'TR TUSD'!$AJ$63</f>
        <v>0</v>
      </c>
      <c r="AK51" s="13">
        <f ca="1">'TR TUSD'!$AK$51*'TR TUSD'!$AK$63</f>
        <v>0</v>
      </c>
      <c r="AL51" s="13">
        <f ca="1">SUM($AH$51:$AK$51)</f>
        <v>24.837963046131748</v>
      </c>
      <c r="AM51" s="13">
        <f ca="1">SUMIF($L$4:$AL$4,"SUBTOTAL",$L$51:$AL$51)</f>
        <v>466.95038811523096</v>
      </c>
      <c r="AP51" s="13">
        <f>IF((1 - CUSTOS!$M$31)&lt;&gt;0,1/(1 - CUSTOS!$M$31),1)</f>
        <v>1</v>
      </c>
    </row>
    <row r="52" spans="1:42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>
        <f>'TR TUSD'!$L$52*'TR TUSD'!$L$63</f>
        <v>0</v>
      </c>
      <c r="M52" s="13">
        <f>'TR TUSD'!$M$52*'TR TUSD'!$M$63</f>
        <v>1.1153179741332462</v>
      </c>
      <c r="N52" s="13">
        <f ca="1">'TR TUSD'!$N$52*'TR TUSD'!$N$63</f>
        <v>0</v>
      </c>
      <c r="O52" s="13">
        <f>'TR TUSD'!$O$52*'TR TUSD'!$O$63</f>
        <v>0</v>
      </c>
      <c r="P52" s="13">
        <f>'TR TUSD'!$P$52*'TR TUSD'!$P$63</f>
        <v>0</v>
      </c>
      <c r="Q52" s="13">
        <f>'TR TUSD'!$Q$52*'TR TUSD'!$Q$63</f>
        <v>90.840528116491939</v>
      </c>
      <c r="R52" s="13">
        <f>'TR TUSD'!$R$52*'TR TUSD'!$R$63</f>
        <v>14.351930687165005</v>
      </c>
      <c r="S52" s="13">
        <f>'TR TUSD'!$S$52*'TR TUSD'!$S$63</f>
        <v>0</v>
      </c>
      <c r="T52" s="13">
        <f ca="1">SUM($L$52:$S$52)</f>
        <v>106.3077767777902</v>
      </c>
      <c r="U52" s="13">
        <f>'TR TUSD'!$U$52*'TR TUSD'!$U$63</f>
        <v>0</v>
      </c>
      <c r="V52" s="13">
        <f>'TR TUSD'!$V$52*'TR TUSD'!$V$63</f>
        <v>0</v>
      </c>
      <c r="W52" s="13">
        <f>'TR TUSD'!$W$52*'TR TUSD'!$W$63</f>
        <v>0</v>
      </c>
      <c r="X52" s="13">
        <f>'TR TUSD'!$X$52*'TR TUSD'!$X$63</f>
        <v>0</v>
      </c>
      <c r="Y52" s="13">
        <f>'TR TUSD'!$Y$52*'TR TUSD'!$Y$63</f>
        <v>70.128028459167581</v>
      </c>
      <c r="Z52" s="13">
        <f>'TR TUSD'!$Z$52</f>
        <v>0</v>
      </c>
      <c r="AA52" s="13">
        <f>'TR TUSD'!$AA$52</f>
        <v>0</v>
      </c>
      <c r="AB52" s="13">
        <f>SUM($U$52:$AA$52)</f>
        <v>70.128028459167581</v>
      </c>
      <c r="AC52" s="13">
        <f>'TR TUSD'!$AC$52*'TR TUSD'!$AC$63</f>
        <v>265.67661983214145</v>
      </c>
      <c r="AD52" s="13">
        <f>SUM($AC$52:$AC$52)</f>
        <v>265.67661983214145</v>
      </c>
      <c r="AE52" s="13">
        <v>0</v>
      </c>
      <c r="AF52" s="13">
        <v>0</v>
      </c>
      <c r="AG52" s="13">
        <f>SUM($AE$52:$AF$52)</f>
        <v>0</v>
      </c>
      <c r="AH52" s="13">
        <f>'TR TUSD'!$AH$52*'TR TUSD'!$AH$63</f>
        <v>24.174452462603146</v>
      </c>
      <c r="AI52" s="13">
        <f>'TR TUSD'!$AI$52*'TR TUSD'!$AI$63</f>
        <v>0.6635105835286037</v>
      </c>
      <c r="AJ52" s="13">
        <f ca="1">'TR TUSD'!$AJ$52*'TR TUSD'!$AJ$63</f>
        <v>0</v>
      </c>
      <c r="AK52" s="13">
        <f ca="1">'TR TUSD'!$AK$52*'TR TUSD'!$AK$63</f>
        <v>0</v>
      </c>
      <c r="AL52" s="13">
        <f ca="1">SUM($AH$52:$AK$52)</f>
        <v>24.837963046131748</v>
      </c>
      <c r="AM52" s="13">
        <f ca="1">SUMIF($L$4:$AL$4,"SUBTOTAL",$L$52:$AL$52)</f>
        <v>466.95038811523096</v>
      </c>
      <c r="AP52" s="13">
        <f>IF((1 - CUSTOS!$M$31)&lt;&gt;0,1/(1 - CUSTOS!$M$31),1)</f>
        <v>1</v>
      </c>
    </row>
    <row r="53" spans="1:42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>
        <f>'TR TUSD'!$L$53*'TR TUSD'!$L$63</f>
        <v>0</v>
      </c>
      <c r="M53" s="13">
        <f>'TR TUSD'!$M$53*'TR TUSD'!$M$63</f>
        <v>0.61342488577328536</v>
      </c>
      <c r="N53" s="13">
        <f ca="1">'TR TUSD'!$N$53*'TR TUSD'!$N$63</f>
        <v>0</v>
      </c>
      <c r="O53" s="13">
        <f>'TR TUSD'!$O$53*'TR TUSD'!$O$63</f>
        <v>0</v>
      </c>
      <c r="P53" s="13">
        <f>'TR TUSD'!$P$53*'TR TUSD'!$P$63</f>
        <v>0</v>
      </c>
      <c r="Q53" s="13">
        <f>'TR TUSD'!$Q$53*'TR TUSD'!$Q$63</f>
        <v>49.96229046407057</v>
      </c>
      <c r="R53" s="13">
        <f>'TR TUSD'!$R$53*'TR TUSD'!$R$63</f>
        <v>7.8935618779407539</v>
      </c>
      <c r="S53" s="13">
        <f>'TR TUSD'!$S$53*'TR TUSD'!$S$63</f>
        <v>0</v>
      </c>
      <c r="T53" s="13">
        <f ca="1">SUM($L$53:$S$53)</f>
        <v>58.469277227784609</v>
      </c>
      <c r="U53" s="13">
        <f>'TR TUSD'!$U$53*'TR TUSD'!$U$63</f>
        <v>0</v>
      </c>
      <c r="V53" s="13">
        <f>'TR TUSD'!$V$53*'TR TUSD'!$V$63</f>
        <v>0</v>
      </c>
      <c r="W53" s="13">
        <f>'TR TUSD'!$W$53*'TR TUSD'!$W$63</f>
        <v>0</v>
      </c>
      <c r="X53" s="13">
        <f>'TR TUSD'!$X$53*'TR TUSD'!$X$63</f>
        <v>0</v>
      </c>
      <c r="Y53" s="13">
        <f>'TR TUSD'!$Y$53*'TR TUSD'!$Y$63</f>
        <v>38.570415652542174</v>
      </c>
      <c r="Z53" s="13">
        <f>'TR TUSD'!$Z$53</f>
        <v>0</v>
      </c>
      <c r="AA53" s="13">
        <f>'TR TUSD'!$AA$53</f>
        <v>0</v>
      </c>
      <c r="AB53" s="13">
        <f>SUM($U$53:$AA$53)</f>
        <v>38.570415652542174</v>
      </c>
      <c r="AC53" s="13">
        <f>'TR TUSD'!$AC$53*'TR TUSD'!$AC$63</f>
        <v>146.12214090767782</v>
      </c>
      <c r="AD53" s="13">
        <f>SUM($AC$53:$AC$53)</f>
        <v>146.12214090767782</v>
      </c>
      <c r="AE53" s="13">
        <v>0</v>
      </c>
      <c r="AF53" s="13">
        <v>0</v>
      </c>
      <c r="AG53" s="13">
        <f>SUM($AE$53:$AF$53)</f>
        <v>0</v>
      </c>
      <c r="AH53" s="13">
        <f>'TR TUSD'!$AH$53*'TR TUSD'!$AH$63</f>
        <v>13.29594885443173</v>
      </c>
      <c r="AI53" s="13">
        <f>'TR TUSD'!$AI$53*'TR TUSD'!$AI$63</f>
        <v>0.36493082094073209</v>
      </c>
      <c r="AJ53" s="13">
        <f ca="1">'TR TUSD'!$AJ$53*'TR TUSD'!$AJ$63</f>
        <v>0</v>
      </c>
      <c r="AK53" s="13">
        <f ca="1">'TR TUSD'!$AK$53*'TR TUSD'!$AK$63</f>
        <v>0</v>
      </c>
      <c r="AL53" s="13">
        <f ca="1">SUM($AH$53:$AK$53)</f>
        <v>13.660879675372462</v>
      </c>
      <c r="AM53" s="13">
        <f ca="1">SUMIF($L$4:$AL$4,"SUBTOTAL",$L$53:$AL$53)</f>
        <v>256.82271346337706</v>
      </c>
      <c r="AP53" s="13">
        <f>IF((1 - CUSTOS!$M$32)&lt;&gt;0,1/(1 - CUSTOS!$M$32),1)</f>
        <v>1.8181818181818181</v>
      </c>
    </row>
    <row r="54" spans="1:42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>
        <f>'TR TUSD'!$L$54*'TR TUSD'!$L$63</f>
        <v>0</v>
      </c>
      <c r="M54" s="13">
        <f>'TR TUSD'!$M$54*'TR TUSD'!$M$63</f>
        <v>0.66919078447994762</v>
      </c>
      <c r="N54" s="13">
        <f ca="1">'TR TUSD'!$N$54*'TR TUSD'!$N$63</f>
        <v>0</v>
      </c>
      <c r="O54" s="13">
        <f>'TR TUSD'!$O$54*'TR TUSD'!$O$63</f>
        <v>0</v>
      </c>
      <c r="P54" s="13">
        <f>'TR TUSD'!$P$54*'TR TUSD'!$P$63</f>
        <v>0</v>
      </c>
      <c r="Q54" s="13">
        <f>'TR TUSD'!$Q$54*'TR TUSD'!$Q$63</f>
        <v>54.504316869895163</v>
      </c>
      <c r="R54" s="13">
        <f>'TR TUSD'!$R$54*'TR TUSD'!$R$63</f>
        <v>8.6111584122990035</v>
      </c>
      <c r="S54" s="13">
        <f>'TR TUSD'!$S$54*'TR TUSD'!$S$63</f>
        <v>0</v>
      </c>
      <c r="T54" s="13">
        <f ca="1">SUM($L$54:$S$54)</f>
        <v>63.784666066674113</v>
      </c>
      <c r="U54" s="13">
        <f>'TR TUSD'!$U$54*'TR TUSD'!$U$63</f>
        <v>0</v>
      </c>
      <c r="V54" s="13">
        <f>'TR TUSD'!$V$54*'TR TUSD'!$V$63</f>
        <v>0</v>
      </c>
      <c r="W54" s="13">
        <f>'TR TUSD'!$W$54*'TR TUSD'!$W$63</f>
        <v>0</v>
      </c>
      <c r="X54" s="13">
        <f>'TR TUSD'!$X$54*'TR TUSD'!$X$63</f>
        <v>0</v>
      </c>
      <c r="Y54" s="13">
        <f>'TR TUSD'!$Y$54*'TR TUSD'!$Y$63</f>
        <v>42.07681707550055</v>
      </c>
      <c r="Z54" s="13">
        <f>'TR TUSD'!$Z$54</f>
        <v>0</v>
      </c>
      <c r="AA54" s="13">
        <f>'TR TUSD'!$AA$54</f>
        <v>0</v>
      </c>
      <c r="AB54" s="13">
        <f>SUM($U$54:$AA$54)</f>
        <v>42.07681707550055</v>
      </c>
      <c r="AC54" s="13">
        <f>'TR TUSD'!$AC$54*'TR TUSD'!$AC$63</f>
        <v>159.40597189928485</v>
      </c>
      <c r="AD54" s="13">
        <f>SUM($AC$54:$AC$54)</f>
        <v>159.40597189928485</v>
      </c>
      <c r="AE54" s="13">
        <v>0</v>
      </c>
      <c r="AF54" s="13">
        <v>0</v>
      </c>
      <c r="AG54" s="13">
        <f>SUM($AE$54:$AF$54)</f>
        <v>0</v>
      </c>
      <c r="AH54" s="13">
        <f>'TR TUSD'!$AH$54*'TR TUSD'!$AH$63</f>
        <v>14.504671477561885</v>
      </c>
      <c r="AI54" s="13">
        <f>'TR TUSD'!$AI$54*'TR TUSD'!$AI$63</f>
        <v>0.39810635011716222</v>
      </c>
      <c r="AJ54" s="13">
        <f ca="1">'TR TUSD'!$AJ$54*'TR TUSD'!$AJ$63</f>
        <v>0</v>
      </c>
      <c r="AK54" s="13">
        <f ca="1">'TR TUSD'!$AK$54*'TR TUSD'!$AK$63</f>
        <v>0</v>
      </c>
      <c r="AL54" s="13">
        <f ca="1">SUM($AH$54:$AK$54)</f>
        <v>14.902777827679047</v>
      </c>
      <c r="AM54" s="13">
        <f ca="1">SUMIF($L$4:$AL$4,"SUBTOTAL",$L$54:$AL$54)</f>
        <v>280.1702328691386</v>
      </c>
      <c r="AP54" s="13">
        <f>IF((1 - CUSTOS!$M$33)&lt;&gt;0,1/(1 - CUSTOS!$M$33),1)</f>
        <v>1.6666666666666667</v>
      </c>
    </row>
    <row r="56" spans="1:42" ht="11.25" customHeight="1" x14ac:dyDescent="0.25">
      <c r="K56" s="16" t="s">
        <v>574</v>
      </c>
      <c r="L56" s="13">
        <f>SUMPRODUCT($I$5:$I54,$L$5:$L54)</f>
        <v>0</v>
      </c>
      <c r="M56" s="13">
        <f>SUMPRODUCT($I$5:$I54,$M$5:$M54)</f>
        <v>138327.52127755724</v>
      </c>
      <c r="N56" s="13">
        <f ca="1">SUMPRODUCT($I$5:$I54,$N$5:$N54)</f>
        <v>0</v>
      </c>
      <c r="O56" s="13">
        <f>SUMPRODUCT($I$5:$I54,$O$5:$O54)</f>
        <v>0</v>
      </c>
      <c r="P56" s="13">
        <f>SUMPRODUCT($I$5:$I54,$P$5:$P54)</f>
        <v>0</v>
      </c>
      <c r="Q56" s="13">
        <f>SUMPRODUCT($I$5:$I54,$Q$5:$Q54)</f>
        <v>11160366.718520008</v>
      </c>
      <c r="R56" s="13">
        <f>SUMPRODUCT($I$5:$I54,$R$5:$R54)</f>
        <v>1869898.6226700016</v>
      </c>
      <c r="S56" s="13">
        <f>SUMPRODUCT($I$5:$I54,$S$5:$S54)</f>
        <v>0</v>
      </c>
      <c r="T56" s="13">
        <f ca="1">SUMPRODUCT($I$5:$I54,$T$5:$T54)</f>
        <v>13168592.862467568</v>
      </c>
      <c r="U56" s="13">
        <f>SUMPRODUCT($I$5:$I54,$U$5:$U54)</f>
        <v>0</v>
      </c>
      <c r="V56" s="13">
        <f>SUMPRODUCT($I$5:$I54,$V$5:$V54)</f>
        <v>0</v>
      </c>
      <c r="W56" s="13">
        <f>SUMPRODUCT($I$5:$I54,$W$5:$W54)</f>
        <v>0</v>
      </c>
      <c r="X56" s="13">
        <f>SUMPRODUCT($I$5:$I54,$X$5:$X54)</f>
        <v>0</v>
      </c>
      <c r="Y56" s="13">
        <f>SUMPRODUCT($I$5:$I54,$Y$5:$Y54)</f>
        <v>10332345.225399997</v>
      </c>
      <c r="Z56" s="13">
        <f>SUMPRODUCT($I$5:$I54,$Z$5:$Z54)</f>
        <v>0</v>
      </c>
      <c r="AA56" s="13">
        <f>SUMPRODUCT($I$5:$I54,$AA$5:$AA54)</f>
        <v>0</v>
      </c>
      <c r="AB56" s="13">
        <f>SUMPRODUCT($I$5:$I54,$AB$5:$AB54)</f>
        <v>10332345.225399997</v>
      </c>
      <c r="AC56" s="13">
        <f>SUMPRODUCT($I$5:$I54,$AC$5:$AC54)</f>
        <v>33091403.650000006</v>
      </c>
      <c r="AD56" s="13">
        <f>SUMPRODUCT($I$5:$I54,$AD$5:$AD54)</f>
        <v>33091403.650000006</v>
      </c>
      <c r="AE56" s="13">
        <f>SUMPRODUCT($I$5:$I54,$AE$5:$AE54)</f>
        <v>0</v>
      </c>
      <c r="AF56" s="13">
        <f>SUMPRODUCT($I$5:$I54,$AF$5:$AF54)</f>
        <v>0</v>
      </c>
      <c r="AG56" s="13">
        <f>SUMPRODUCT($I$5:$I54,$AG$5:$AG54)</f>
        <v>0</v>
      </c>
      <c r="AH56" s="13">
        <f>SUMPRODUCT($I$5:$I54,$AH$5:$AH54)</f>
        <v>2551548.7992662443</v>
      </c>
      <c r="AI56" s="13">
        <f>SUMPRODUCT($I$5:$I54,$AI$5:$AI54)</f>
        <v>70031.76743389832</v>
      </c>
      <c r="AJ56" s="13">
        <f ca="1">SUMPRODUCT($I$5:$I54,$AJ$5:$AJ54)</f>
        <v>0</v>
      </c>
      <c r="AK56" s="13">
        <f ca="1">SUMPRODUCT($I$5:$I54,$AK$5:$AK54)</f>
        <v>0</v>
      </c>
      <c r="AL56" s="13">
        <f ca="1">SUMPRODUCT($I$5:$I54,$AL$5:$AL54)</f>
        <v>2621580.5667001428</v>
      </c>
      <c r="AM56" s="13">
        <f ca="1">SUMPRODUCT($I$5:$I54,$AM$5:$AM54)</f>
        <v>59213922.30456771</v>
      </c>
    </row>
    <row r="57" spans="1:42" ht="11.25" customHeight="1" x14ac:dyDescent="0.25">
      <c r="K57" s="16" t="s">
        <v>506</v>
      </c>
      <c r="L57" s="13">
        <f>'TR TUSD'!$L$59</f>
        <v>0</v>
      </c>
      <c r="M57" s="13">
        <f>'TR TUSD'!$M$59</f>
        <v>138327.52127755724</v>
      </c>
      <c r="N57" s="13">
        <f>'TR TUSD'!$N$59</f>
        <v>0</v>
      </c>
      <c r="O57" s="13">
        <f>'TR TUSD'!$O$59</f>
        <v>0</v>
      </c>
      <c r="P57" s="13">
        <f>'TR TUSD'!$P$59</f>
        <v>0</v>
      </c>
      <c r="Q57" s="13">
        <f>'TR TUSD'!$Q$59</f>
        <v>11160366.718520008</v>
      </c>
      <c r="R57" s="13">
        <f>'TR TUSD'!$R$59</f>
        <v>1869898.6226700018</v>
      </c>
      <c r="S57" s="13">
        <f>'TR TUSD'!$S$59</f>
        <v>0</v>
      </c>
      <c r="T57" s="13">
        <f>'TR TUSD'!$T$59</f>
        <v>13168592.862467568</v>
      </c>
      <c r="U57" s="13">
        <f>'TR TUSD'!$U$59</f>
        <v>0</v>
      </c>
      <c r="V57" s="13">
        <f>'TR TUSD'!$V$59</f>
        <v>0</v>
      </c>
      <c r="W57" s="13">
        <f>'TR TUSD'!$W$59</f>
        <v>0</v>
      </c>
      <c r="X57" s="13">
        <f>'TR TUSD'!$X$59</f>
        <v>0</v>
      </c>
      <c r="Y57" s="13">
        <f>'TR TUSD'!$Y$59</f>
        <v>10332345.225399999</v>
      </c>
      <c r="Z57" s="13">
        <f>'TR TUSD'!$Z$59</f>
        <v>0</v>
      </c>
      <c r="AA57" s="13">
        <f>'TR TUSD'!$AA$59</f>
        <v>0</v>
      </c>
      <c r="AB57" s="13">
        <f>'TR TUSD'!$AB$59</f>
        <v>10332345.225399999</v>
      </c>
      <c r="AC57" s="13">
        <f>'TR TUSD'!$AC$59</f>
        <v>33091403.650000002</v>
      </c>
      <c r="AD57" s="13">
        <f>'TR TUSD'!$AD$59</f>
        <v>33091403.650000002</v>
      </c>
      <c r="AE57" s="13">
        <f>'TR TUSD'!$AE$59</f>
        <v>0</v>
      </c>
      <c r="AF57" s="13">
        <f>'TR TUSD'!$AF$59</f>
        <v>0</v>
      </c>
      <c r="AG57" s="13">
        <f>'TR TUSD'!$AG$59</f>
        <v>0</v>
      </c>
      <c r="AH57" s="13">
        <f>'TR TUSD'!$AH$59</f>
        <v>2551548.7992662448</v>
      </c>
      <c r="AI57" s="13">
        <f>'TR TUSD'!$AI$59</f>
        <v>70031.767433898334</v>
      </c>
      <c r="AJ57" s="13">
        <f>'TR TUSD'!$AJ$59</f>
        <v>0</v>
      </c>
      <c r="AK57" s="13">
        <f>'TR TUSD'!$AK$59</f>
        <v>0</v>
      </c>
      <c r="AL57" s="13">
        <f>'TR TUSD'!$AL$59</f>
        <v>2621580.5667001433</v>
      </c>
      <c r="AM57" s="13">
        <f>CUSTOS!$D$29</f>
        <v>59213922.30456771</v>
      </c>
    </row>
    <row r="58" spans="1:42" ht="11.25" customHeight="1" x14ac:dyDescent="0.25">
      <c r="K58" s="16" t="s">
        <v>507</v>
      </c>
      <c r="L58" s="13">
        <f>CUSTOS!$E$2</f>
        <v>0</v>
      </c>
      <c r="M58" s="13">
        <f>CUSTOS!$E$3</f>
        <v>4316.3568754170165</v>
      </c>
      <c r="N58" s="13">
        <f>CUSTOS!$E$4</f>
        <v>0</v>
      </c>
      <c r="O58" s="13">
        <f>CUSTOS!$E$5</f>
        <v>0</v>
      </c>
      <c r="P58" s="13">
        <f>CUSTOS!$E$6</f>
        <v>0</v>
      </c>
      <c r="Q58" s="13">
        <f>CUSTOS!$E$7</f>
        <v>292134.43826547445</v>
      </c>
      <c r="R58" s="13">
        <f>CUSTOS!$E$8</f>
        <v>46610.774725681258</v>
      </c>
      <c r="S58" s="13">
        <f>CUSTOS!$E$9</f>
        <v>0</v>
      </c>
      <c r="T58" s="13">
        <f>CUSTOS!$E$10</f>
        <v>343061.56986657274</v>
      </c>
      <c r="U58" s="13">
        <f>CUSTOS!$E$11</f>
        <v>0</v>
      </c>
      <c r="V58" s="13">
        <f>CUSTOS!$E$12</f>
        <v>0</v>
      </c>
      <c r="W58" s="13">
        <f>CUSTOS!$E$13</f>
        <v>0</v>
      </c>
      <c r="X58" s="13">
        <f>CUSTOS!$E$14</f>
        <v>0</v>
      </c>
      <c r="Y58" s="13">
        <f>CUSTOS!$E$15</f>
        <v>354650.42408493307</v>
      </c>
      <c r="Z58" s="13">
        <f>CUSTOS!$E$16</f>
        <v>0</v>
      </c>
      <c r="AA58" s="13">
        <f>CUSTOS!$E$17</f>
        <v>0</v>
      </c>
      <c r="AB58" s="13">
        <f>CUSTOS!$E$18</f>
        <v>354650.42408493307</v>
      </c>
      <c r="AC58" s="13">
        <f>CUSTOS!$E$19</f>
        <v>-10296897.942699337</v>
      </c>
      <c r="AD58" s="13">
        <f>CUSTOS!$E$20</f>
        <v>-10296897.942699337</v>
      </c>
      <c r="AE58" s="13">
        <f>CUSTOS!$E$21</f>
        <v>0</v>
      </c>
      <c r="AF58" s="13">
        <f>CUSTOS!$E$22</f>
        <v>0</v>
      </c>
      <c r="AG58" s="13">
        <f>CUSTOS!$E$23</f>
        <v>0</v>
      </c>
      <c r="AH58" s="13">
        <f>CUSTOS!$E$24</f>
        <v>-176827.84844471671</v>
      </c>
      <c r="AI58" s="13">
        <f>CUSTOS!$E$25</f>
        <v>-4853.3528975335275</v>
      </c>
      <c r="AJ58" s="13">
        <f>CUSTOS!$E$26</f>
        <v>0</v>
      </c>
      <c r="AK58" s="13">
        <f>CUSTOS!$E$27</f>
        <v>0</v>
      </c>
      <c r="AL58" s="13">
        <f>CUSTOS!$E$28</f>
        <v>-181681.20134225025</v>
      </c>
      <c r="AM58" s="13">
        <f>CUSTOS!$E$29</f>
        <v>-9780867.1500900835</v>
      </c>
    </row>
    <row r="59" spans="1:42" ht="11.25" customHeight="1" x14ac:dyDescent="0.25">
      <c r="K59" s="16" t="s">
        <v>508</v>
      </c>
      <c r="L59" s="13">
        <f>CUSTOS!$F$2</f>
        <v>0</v>
      </c>
      <c r="M59" s="13">
        <f>CUSTOS!$F$3</f>
        <v>0</v>
      </c>
      <c r="N59" s="13">
        <f>CUSTOS!$F$4</f>
        <v>0</v>
      </c>
      <c r="O59" s="13">
        <f>CUSTOS!$F$5</f>
        <v>0</v>
      </c>
      <c r="P59" s="13">
        <f>CUSTOS!$F$6</f>
        <v>0</v>
      </c>
      <c r="Q59" s="13">
        <f>CUSTOS!$F$7</f>
        <v>0</v>
      </c>
      <c r="R59" s="13">
        <f>CUSTOS!$F$8</f>
        <v>0</v>
      </c>
      <c r="S59" s="13">
        <f>CUSTOS!$F$9</f>
        <v>0</v>
      </c>
      <c r="T59" s="13">
        <f>CUSTOS!$F$10</f>
        <v>0</v>
      </c>
      <c r="U59" s="13">
        <f>CUSTOS!$F$11</f>
        <v>0</v>
      </c>
      <c r="V59" s="13">
        <f>CUSTOS!$F$12</f>
        <v>0</v>
      </c>
      <c r="W59" s="13">
        <f>CUSTOS!$F$13</f>
        <v>0</v>
      </c>
      <c r="X59" s="13">
        <f>CUSTOS!$F$14</f>
        <v>0</v>
      </c>
      <c r="Y59" s="13">
        <f>CUSTOS!$F$15</f>
        <v>0</v>
      </c>
      <c r="Z59" s="13">
        <f>CUSTOS!$F$16</f>
        <v>0</v>
      </c>
      <c r="AA59" s="13">
        <f>CUSTOS!$F$17</f>
        <v>0</v>
      </c>
      <c r="AB59" s="13">
        <f>CUSTOS!$F$18</f>
        <v>0</v>
      </c>
      <c r="AC59" s="13">
        <f>CUSTOS!$F$19</f>
        <v>0</v>
      </c>
      <c r="AD59" s="13">
        <f>CUSTOS!$F$20</f>
        <v>0</v>
      </c>
      <c r="AE59" s="13">
        <f>CUSTOS!$F$21</f>
        <v>0</v>
      </c>
      <c r="AF59" s="13">
        <f>CUSTOS!$F$22</f>
        <v>0</v>
      </c>
      <c r="AG59" s="13">
        <f>CUSTOS!$F$23</f>
        <v>0</v>
      </c>
      <c r="AH59" s="13">
        <f>CUSTOS!$F$24</f>
        <v>0</v>
      </c>
      <c r="AI59" s="13">
        <f>CUSTOS!$F$25</f>
        <v>0</v>
      </c>
      <c r="AJ59" s="13">
        <f>CUSTOS!$F$26</f>
        <v>0</v>
      </c>
      <c r="AK59" s="13">
        <f>CUSTOS!$F$27</f>
        <v>0</v>
      </c>
      <c r="AL59" s="13">
        <f>CUSTOS!$F$28</f>
        <v>0</v>
      </c>
      <c r="AM59" s="13">
        <f>CUSTOS!$F$29</f>
        <v>0</v>
      </c>
    </row>
    <row r="60" spans="1:42" ht="11.25" customHeight="1" x14ac:dyDescent="0.25">
      <c r="K60" s="16" t="s">
        <v>571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f>SUM($L$60:$S$60)</f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f>SUM($U$60:$AA$60)</f>
        <v>0</v>
      </c>
      <c r="AC60" s="13">
        <v>0</v>
      </c>
      <c r="AD60" s="13">
        <f>SUM($AC$60:$AC$60)</f>
        <v>0</v>
      </c>
      <c r="AE60" s="13">
        <v>0</v>
      </c>
      <c r="AF60" s="13">
        <v>0</v>
      </c>
      <c r="AG60" s="13">
        <f>SUM($AE$60:$AF$60)</f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f>SUM($AH$60:$AK$60)</f>
        <v>0</v>
      </c>
      <c r="AM60" s="13">
        <f>SUMIF($L$4:$AL$4,"SUBTOTAL",$L$60:$AL$60)</f>
        <v>0</v>
      </c>
    </row>
    <row r="61" spans="1:42" ht="11.25" customHeight="1" x14ac:dyDescent="0.25">
      <c r="K61" s="16" t="s">
        <v>575</v>
      </c>
      <c r="L61" s="13">
        <f t="shared" ref="L61:R61" si="0">IF((L56-(0))&lt;&gt;0,(L58)/(L56-(0)),0)</f>
        <v>0</v>
      </c>
      <c r="M61" s="13">
        <f t="shared" si="0"/>
        <v>3.1203890849429382E-2</v>
      </c>
      <c r="N61" s="13">
        <f t="shared" ca="1" si="0"/>
        <v>0</v>
      </c>
      <c r="O61" s="13">
        <f t="shared" si="0"/>
        <v>0</v>
      </c>
      <c r="P61" s="13">
        <f t="shared" si="0"/>
        <v>0</v>
      </c>
      <c r="Q61" s="13">
        <f t="shared" si="0"/>
        <v>2.6176060844012732E-2</v>
      </c>
      <c r="R61" s="13">
        <f t="shared" si="0"/>
        <v>2.4926899330577824E-2</v>
      </c>
      <c r="S61" s="13">
        <f>IF((R56-(0)&lt;&gt;0),(S58)/(R56-(0)),0)</f>
        <v>0</v>
      </c>
      <c r="T61" s="13"/>
      <c r="U61" s="13">
        <f t="shared" ref="U61:AA61" si="1">IF((U56-(0))&lt;&gt;0,(U58)/(U56-(0)),0)</f>
        <v>0</v>
      </c>
      <c r="V61" s="13">
        <f t="shared" si="1"/>
        <v>0</v>
      </c>
      <c r="W61" s="13">
        <f t="shared" si="1"/>
        <v>0</v>
      </c>
      <c r="X61" s="13">
        <f t="shared" si="1"/>
        <v>0</v>
      </c>
      <c r="Y61" s="13">
        <f t="shared" si="1"/>
        <v>3.4324290986047987E-2</v>
      </c>
      <c r="Z61" s="13">
        <f t="shared" si="1"/>
        <v>0</v>
      </c>
      <c r="AA61" s="13">
        <f t="shared" si="1"/>
        <v>0</v>
      </c>
      <c r="AB61" s="13"/>
      <c r="AC61" s="13">
        <f>IF((AC56-(0))&lt;&gt;0,(AC58)/(AC56-(0)),0)</f>
        <v>-0.31116534226251641</v>
      </c>
      <c r="AD61" s="13"/>
      <c r="AE61" s="13">
        <f ca="1">IF(($AM56-(0))&lt;&gt;0,(AE58)/($AM56-(0)),0)</f>
        <v>0</v>
      </c>
      <c r="AF61" s="13">
        <f ca="1">IF(($AM56-(0))&lt;&gt;0,(AF58)/($AM56-(0)),0)</f>
        <v>0</v>
      </c>
      <c r="AG61" s="13"/>
      <c r="AH61" s="13">
        <f>IF((AH56-(0))&lt;&gt;0,(AH58)/(AH56-(0)),0)</f>
        <v>-6.9302162081151489E-2</v>
      </c>
      <c r="AI61" s="13">
        <f>IF((AI56-(0))&lt;&gt;0,(AI58)/(AI56-(0)),0)</f>
        <v>-6.9302162081151489E-2</v>
      </c>
      <c r="AJ61" s="13">
        <f ca="1">IF((AJ56-(0))&lt;&gt;0,(AJ58)/(AJ56-(0)),0)</f>
        <v>0</v>
      </c>
      <c r="AK61" s="13">
        <f ca="1">IF((AK56-(0))&lt;&gt;0,(AK58)/(AK56-(0)),0)</f>
        <v>0</v>
      </c>
      <c r="AL61" s="13"/>
      <c r="AM61" s="13"/>
    </row>
  </sheetData>
  <mergeCells count="78">
    <mergeCell ref="B1:B4"/>
    <mergeCell ref="C1:C4"/>
    <mergeCell ref="D1:D4"/>
    <mergeCell ref="E1:E4"/>
    <mergeCell ref="F1:F4"/>
    <mergeCell ref="AP1:AP4"/>
    <mergeCell ref="L2:AM2"/>
    <mergeCell ref="L3:T3"/>
    <mergeCell ref="U3:AB3"/>
    <mergeCell ref="AC3:AD3"/>
    <mergeCell ref="AE3:AG3"/>
    <mergeCell ref="AH3:AL3"/>
    <mergeCell ref="AM3:AM4"/>
    <mergeCell ref="E5:E7"/>
    <mergeCell ref="B13:B17"/>
    <mergeCell ref="C13:C17"/>
    <mergeCell ref="D13:D17"/>
    <mergeCell ref="E13:E15"/>
    <mergeCell ref="J1:J4"/>
    <mergeCell ref="L1:AM1"/>
    <mergeCell ref="A1:A4"/>
    <mergeCell ref="C9:C11"/>
    <mergeCell ref="D9:D11"/>
    <mergeCell ref="E9:E11"/>
    <mergeCell ref="F9:F11"/>
    <mergeCell ref="F5:F7"/>
    <mergeCell ref="B9:B11"/>
    <mergeCell ref="G1:G4"/>
    <mergeCell ref="H1:H4"/>
    <mergeCell ref="I1:I4"/>
    <mergeCell ref="A5:A17"/>
    <mergeCell ref="B5:B8"/>
    <mergeCell ref="C5:C8"/>
    <mergeCell ref="D5:D8"/>
    <mergeCell ref="F13:F15"/>
    <mergeCell ref="E16:E17"/>
    <mergeCell ref="A20:A32"/>
    <mergeCell ref="B20:B22"/>
    <mergeCell ref="C20:C22"/>
    <mergeCell ref="D20:D22"/>
    <mergeCell ref="E20:E22"/>
    <mergeCell ref="F16:F17"/>
    <mergeCell ref="A18:A19"/>
    <mergeCell ref="B18:B19"/>
    <mergeCell ref="C18:C19"/>
    <mergeCell ref="D18:D19"/>
    <mergeCell ref="F20:F22"/>
    <mergeCell ref="B23:B27"/>
    <mergeCell ref="C23:C27"/>
    <mergeCell ref="B28:B32"/>
    <mergeCell ref="A33:A47"/>
    <mergeCell ref="B33:B35"/>
    <mergeCell ref="C33:C35"/>
    <mergeCell ref="D33:D35"/>
    <mergeCell ref="E33:E35"/>
    <mergeCell ref="C28:C32"/>
    <mergeCell ref="F33:F35"/>
    <mergeCell ref="B37:B39"/>
    <mergeCell ref="C37:C39"/>
    <mergeCell ref="D37:D39"/>
    <mergeCell ref="E37:E39"/>
    <mergeCell ref="F37:F39"/>
    <mergeCell ref="D48:D50"/>
    <mergeCell ref="E48:E50"/>
    <mergeCell ref="F48:F50"/>
    <mergeCell ref="B41:B43"/>
    <mergeCell ref="C41:C43"/>
    <mergeCell ref="D41:D43"/>
    <mergeCell ref="E41:E43"/>
    <mergeCell ref="F41:F43"/>
    <mergeCell ref="B45:B47"/>
    <mergeCell ref="C45:C47"/>
    <mergeCell ref="A53:A54"/>
    <mergeCell ref="B53:B54"/>
    <mergeCell ref="C53:C54"/>
    <mergeCell ref="A48:A52"/>
    <mergeCell ref="B48:B50"/>
    <mergeCell ref="C48:C50"/>
  </mergeCells>
  <conditionalFormatting sqref="L56">
    <cfRule type="cellIs" dxfId="1028" priority="55" operator="notEqual">
      <formula>$L$57-$L$60</formula>
    </cfRule>
    <cfRule type="cellIs" dxfId="1027" priority="56" operator="equal">
      <formula>$L$57-$L$60</formula>
    </cfRule>
  </conditionalFormatting>
  <conditionalFormatting sqref="M56">
    <cfRule type="cellIs" dxfId="1026" priority="53" operator="notEqual">
      <formula>$M$57-$M$60</formula>
    </cfRule>
    <cfRule type="cellIs" dxfId="1025" priority="54" operator="equal">
      <formula>$M$57-$M$60</formula>
    </cfRule>
  </conditionalFormatting>
  <conditionalFormatting sqref="N56">
    <cfRule type="cellIs" dxfId="1024" priority="51" operator="notEqual">
      <formula>$N$57-$N$60</formula>
    </cfRule>
    <cfRule type="cellIs" dxfId="1023" priority="52" operator="equal">
      <formula>$N$57-$N$60</formula>
    </cfRule>
  </conditionalFormatting>
  <conditionalFormatting sqref="O56">
    <cfRule type="cellIs" dxfId="1022" priority="49" operator="notEqual">
      <formula>$O$57-$O$60</formula>
    </cfRule>
    <cfRule type="cellIs" dxfId="1021" priority="50" operator="equal">
      <formula>$O$57-$O$60</formula>
    </cfRule>
  </conditionalFormatting>
  <conditionalFormatting sqref="P56">
    <cfRule type="cellIs" dxfId="1020" priority="47" operator="notEqual">
      <formula>$P$57-$P$60</formula>
    </cfRule>
    <cfRule type="cellIs" dxfId="1019" priority="48" operator="equal">
      <formula>$P$57-$P$60</formula>
    </cfRule>
  </conditionalFormatting>
  <conditionalFormatting sqref="Q56">
    <cfRule type="cellIs" dxfId="1018" priority="45" operator="notEqual">
      <formula>$Q$57-$Q$60</formula>
    </cfRule>
    <cfRule type="cellIs" dxfId="1017" priority="46" operator="equal">
      <formula>$Q$57-$Q$60</formula>
    </cfRule>
  </conditionalFormatting>
  <conditionalFormatting sqref="R56">
    <cfRule type="cellIs" dxfId="1016" priority="43" operator="notEqual">
      <formula>$R$57-$R$60</formula>
    </cfRule>
    <cfRule type="cellIs" dxfId="1015" priority="44" operator="equal">
      <formula>$R$57-$R$60</formula>
    </cfRule>
  </conditionalFormatting>
  <conditionalFormatting sqref="S56">
    <cfRule type="cellIs" dxfId="1014" priority="41" operator="notEqual">
      <formula>$S$57-$S$60</formula>
    </cfRule>
    <cfRule type="cellIs" dxfId="1013" priority="42" operator="equal">
      <formula>$S$57-$S$60</formula>
    </cfRule>
  </conditionalFormatting>
  <conditionalFormatting sqref="T56">
    <cfRule type="cellIs" dxfId="1012" priority="39" operator="notEqual">
      <formula>$T$57-$T$60</formula>
    </cfRule>
    <cfRule type="cellIs" dxfId="1011" priority="40" operator="equal">
      <formula>$T$57-$T$60</formula>
    </cfRule>
  </conditionalFormatting>
  <conditionalFormatting sqref="U56">
    <cfRule type="cellIs" dxfId="1010" priority="37" operator="notEqual">
      <formula>$U$57-$U$60</formula>
    </cfRule>
    <cfRule type="cellIs" dxfId="1009" priority="38" operator="equal">
      <formula>$U$57-$U$60</formula>
    </cfRule>
  </conditionalFormatting>
  <conditionalFormatting sqref="V56">
    <cfRule type="cellIs" dxfId="1008" priority="35" operator="notEqual">
      <formula>$V$57-$V$60</formula>
    </cfRule>
    <cfRule type="cellIs" dxfId="1007" priority="36" operator="equal">
      <formula>$V$57-$V$60</formula>
    </cfRule>
  </conditionalFormatting>
  <conditionalFormatting sqref="W56">
    <cfRule type="cellIs" dxfId="1006" priority="33" operator="notEqual">
      <formula>$W$57-$W$60</formula>
    </cfRule>
    <cfRule type="cellIs" dxfId="1005" priority="34" operator="equal">
      <formula>$W$57-$W$60</formula>
    </cfRule>
  </conditionalFormatting>
  <conditionalFormatting sqref="X56">
    <cfRule type="cellIs" dxfId="1004" priority="31" operator="notEqual">
      <formula>$X$57-$X$60</formula>
    </cfRule>
    <cfRule type="cellIs" dxfId="1003" priority="32" operator="equal">
      <formula>$X$57-$X$60</formula>
    </cfRule>
  </conditionalFormatting>
  <conditionalFormatting sqref="Y56">
    <cfRule type="cellIs" dxfId="1002" priority="29" operator="notEqual">
      <formula>$Y$57-$Y$60</formula>
    </cfRule>
    <cfRule type="cellIs" dxfId="1001" priority="30" operator="equal">
      <formula>$Y$57-$Y$60</formula>
    </cfRule>
  </conditionalFormatting>
  <conditionalFormatting sqref="Z56">
    <cfRule type="cellIs" dxfId="1000" priority="27" operator="notEqual">
      <formula>$Z$57-$Z$60</formula>
    </cfRule>
    <cfRule type="cellIs" dxfId="999" priority="28" operator="equal">
      <formula>$Z$57-$Z$60</formula>
    </cfRule>
  </conditionalFormatting>
  <conditionalFormatting sqref="AA56">
    <cfRule type="cellIs" dxfId="998" priority="25" operator="notEqual">
      <formula>$AA$57-$AA$60</formula>
    </cfRule>
    <cfRule type="cellIs" dxfId="997" priority="26" operator="equal">
      <formula>$AA$57-$AA$60</formula>
    </cfRule>
  </conditionalFormatting>
  <conditionalFormatting sqref="AB56">
    <cfRule type="cellIs" dxfId="996" priority="23" operator="notEqual">
      <formula>$AB$57-$AB$60</formula>
    </cfRule>
    <cfRule type="cellIs" dxfId="995" priority="24" operator="equal">
      <formula>$AB$57-$AB$60</formula>
    </cfRule>
  </conditionalFormatting>
  <conditionalFormatting sqref="AC56">
    <cfRule type="cellIs" dxfId="994" priority="21" operator="notEqual">
      <formula>$AC$57-$AC$60</formula>
    </cfRule>
    <cfRule type="cellIs" dxfId="993" priority="22" operator="equal">
      <formula>$AC$57-$AC$60</formula>
    </cfRule>
  </conditionalFormatting>
  <conditionalFormatting sqref="AD56">
    <cfRule type="cellIs" dxfId="992" priority="19" operator="notEqual">
      <formula>$AD$57-$AD$60</formula>
    </cfRule>
    <cfRule type="cellIs" dxfId="991" priority="20" operator="equal">
      <formula>$AD$57-$AD$60</formula>
    </cfRule>
  </conditionalFormatting>
  <conditionalFormatting sqref="AE56">
    <cfRule type="cellIs" dxfId="990" priority="17" operator="notEqual">
      <formula>$AE$57-$AE$60</formula>
    </cfRule>
    <cfRule type="cellIs" dxfId="989" priority="18" operator="equal">
      <formula>$AE$57-$AE$60</formula>
    </cfRule>
  </conditionalFormatting>
  <conditionalFormatting sqref="AF56">
    <cfRule type="cellIs" dxfId="988" priority="16" operator="equal">
      <formula>$AF$57-$AF$60</formula>
    </cfRule>
  </conditionalFormatting>
  <conditionalFormatting sqref="AF56">
    <cfRule type="cellIs" dxfId="987" priority="15" operator="notEqual">
      <formula>$AF$57-$AF$60</formula>
    </cfRule>
  </conditionalFormatting>
  <conditionalFormatting sqref="AG56">
    <cfRule type="cellIs" dxfId="986" priority="14" operator="equal">
      <formula>$AG$57-$AG$60</formula>
    </cfRule>
  </conditionalFormatting>
  <conditionalFormatting sqref="AG56">
    <cfRule type="cellIs" dxfId="985" priority="13" operator="notEqual">
      <formula>$AG$57-$AG$60</formula>
    </cfRule>
  </conditionalFormatting>
  <conditionalFormatting sqref="AH56">
    <cfRule type="cellIs" dxfId="984" priority="12" operator="equal">
      <formula>$AH$57-$AH$60</formula>
    </cfRule>
  </conditionalFormatting>
  <conditionalFormatting sqref="AH56">
    <cfRule type="cellIs" dxfId="983" priority="11" operator="notEqual">
      <formula>$AH$57-$AH$60</formula>
    </cfRule>
  </conditionalFormatting>
  <conditionalFormatting sqref="AI56">
    <cfRule type="cellIs" dxfId="982" priority="10" operator="equal">
      <formula>$AI$57-$AI$60</formula>
    </cfRule>
  </conditionalFormatting>
  <conditionalFormatting sqref="AI56">
    <cfRule type="cellIs" dxfId="981" priority="9" operator="notEqual">
      <formula>$AI$57-$AI$60</formula>
    </cfRule>
  </conditionalFormatting>
  <conditionalFormatting sqref="AJ56">
    <cfRule type="cellIs" dxfId="980" priority="8" operator="equal">
      <formula>$AJ$57-$AJ$60</formula>
    </cfRule>
  </conditionalFormatting>
  <conditionalFormatting sqref="AJ56">
    <cfRule type="cellIs" dxfId="979" priority="7" operator="notEqual">
      <formula>$AJ$57-$AJ$60</formula>
    </cfRule>
  </conditionalFormatting>
  <conditionalFormatting sqref="AK56">
    <cfRule type="cellIs" dxfId="978" priority="6" operator="equal">
      <formula>$AK$57-$AK$60</formula>
    </cfRule>
  </conditionalFormatting>
  <conditionalFormatting sqref="AK56">
    <cfRule type="cellIs" dxfId="977" priority="5" operator="notEqual">
      <formula>$AK$57-$AK$60</formula>
    </cfRule>
  </conditionalFormatting>
  <conditionalFormatting sqref="AL56">
    <cfRule type="cellIs" dxfId="976" priority="4" operator="equal">
      <formula>$AL$57-$AL$60</formula>
    </cfRule>
  </conditionalFormatting>
  <conditionalFormatting sqref="AL56">
    <cfRule type="cellIs" dxfId="975" priority="3" operator="notEqual">
      <formula>$AL$57-$AL$60</formula>
    </cfRule>
  </conditionalFormatting>
  <conditionalFormatting sqref="AM56">
    <cfRule type="cellIs" dxfId="974" priority="2" operator="equal">
      <formula>$AM$57-$AM$60</formula>
    </cfRule>
  </conditionalFormatting>
  <conditionalFormatting sqref="AM56">
    <cfRule type="cellIs" dxfId="973" priority="1" operator="notEqual">
      <formula>$AM$57-$AM$60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AB18-3CF1-4B9F-9570-6F0D5E566551}">
  <sheetPr codeName="Planilha10"/>
  <dimension ref="A1:AP61"/>
  <sheetViews>
    <sheetView showGridLines="0" topLeftCell="AB1" workbookViewId="0">
      <selection activeCell="AO56" sqref="AO56:AP58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582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O1" s="20"/>
      <c r="AP1" s="103" t="s">
        <v>567</v>
      </c>
    </row>
    <row r="2" spans="1:42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O2" s="20"/>
      <c r="AP2" s="104"/>
    </row>
    <row r="3" spans="1:42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/>
      <c r="U3" s="99" t="s">
        <v>474</v>
      </c>
      <c r="V3" s="99"/>
      <c r="W3" s="99"/>
      <c r="X3" s="99"/>
      <c r="Y3" s="99"/>
      <c r="Z3" s="99"/>
      <c r="AA3" s="99"/>
      <c r="AB3" s="99"/>
      <c r="AC3" s="99" t="s">
        <v>482</v>
      </c>
      <c r="AD3" s="99"/>
      <c r="AE3" s="99" t="s">
        <v>484</v>
      </c>
      <c r="AF3" s="99"/>
      <c r="AG3" s="99"/>
      <c r="AH3" s="99" t="s">
        <v>487</v>
      </c>
      <c r="AI3" s="99"/>
      <c r="AJ3" s="99"/>
      <c r="AK3" s="99"/>
      <c r="AL3" s="99"/>
      <c r="AM3" s="99" t="s">
        <v>473</v>
      </c>
      <c r="AO3" s="20"/>
      <c r="AP3" s="104"/>
    </row>
    <row r="4" spans="1:42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473</v>
      </c>
      <c r="U4" s="10" t="s">
        <v>475</v>
      </c>
      <c r="V4" s="10" t="s">
        <v>476</v>
      </c>
      <c r="W4" s="10" t="s">
        <v>477</v>
      </c>
      <c r="X4" s="10" t="s">
        <v>478</v>
      </c>
      <c r="Y4" s="10" t="s">
        <v>479</v>
      </c>
      <c r="Z4" s="10" t="s">
        <v>480</v>
      </c>
      <c r="AA4" s="10" t="s">
        <v>481</v>
      </c>
      <c r="AB4" s="10" t="s">
        <v>473</v>
      </c>
      <c r="AC4" s="10" t="s">
        <v>483</v>
      </c>
      <c r="AD4" s="10" t="s">
        <v>473</v>
      </c>
      <c r="AE4" s="10" t="s">
        <v>485</v>
      </c>
      <c r="AF4" s="10" t="s">
        <v>486</v>
      </c>
      <c r="AG4" s="10" t="s">
        <v>473</v>
      </c>
      <c r="AH4" s="10" t="s">
        <v>488</v>
      </c>
      <c r="AI4" s="10" t="s">
        <v>489</v>
      </c>
      <c r="AJ4" s="10" t="s">
        <v>490</v>
      </c>
      <c r="AK4" s="10" t="s">
        <v>491</v>
      </c>
      <c r="AL4" s="10" t="s">
        <v>473</v>
      </c>
      <c r="AM4" s="102"/>
      <c r="AO4" s="21" t="s">
        <v>584</v>
      </c>
      <c r="AP4" s="105"/>
    </row>
    <row r="5" spans="1:42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>
        <f>'TUSD BE'!$L$5*'TUSD BE'!$L$61</f>
        <v>0</v>
      </c>
      <c r="M5" s="13">
        <f>'TUSD BE'!$M$5*'TUSD BE'!$M$61</f>
        <v>0</v>
      </c>
      <c r="N5" s="13">
        <f ca="1">'TUSD BE'!$N$5*'TUSD BE'!$N$61</f>
        <v>0</v>
      </c>
      <c r="O5" s="13">
        <f>'TUSD BE'!$O$5*'TUSD BE'!$O$61</f>
        <v>0</v>
      </c>
      <c r="P5" s="13">
        <f>'TUSD BE'!$P$5*'TUSD BE'!$P$61</f>
        <v>0</v>
      </c>
      <c r="Q5" s="13">
        <f>'TUSD BE'!$Q$5*'TUSD BE'!$Q$61</f>
        <v>0</v>
      </c>
      <c r="R5" s="13">
        <f>'TUSD BE'!$R$5*'TUSD BE'!$R$61</f>
        <v>0</v>
      </c>
      <c r="S5" s="13">
        <f>'TUSD BE'!$R$5*'TUSD BE'!$S$61</f>
        <v>0</v>
      </c>
      <c r="T5" s="13">
        <f ca="1">SUM($L$5:$S$5)</f>
        <v>0</v>
      </c>
      <c r="U5" s="13">
        <f>'TUSD BE'!$U$5*'TUSD BE'!$U$61</f>
        <v>0</v>
      </c>
      <c r="V5" s="13">
        <f>'TUSD BE'!$V$5*'TUSD BE'!$V$61</f>
        <v>0</v>
      </c>
      <c r="W5" s="13">
        <f>'TUSD BE'!$W$5*'TUSD BE'!$W$61</f>
        <v>0</v>
      </c>
      <c r="X5" s="13">
        <f>'TUSD BE'!$X$5*'TUSD BE'!$X$61</f>
        <v>0</v>
      </c>
      <c r="Y5" s="13">
        <f>'TUSD BE'!$Y$5*'TUSD BE'!$Y$61</f>
        <v>0.73817789148697632</v>
      </c>
      <c r="Z5" s="13">
        <f>'TUSD BE'!$Z$5*'TUSD BE'!$Z$61</f>
        <v>0</v>
      </c>
      <c r="AA5" s="13">
        <f>'TUSD BE'!$AA$5*'TUSD BE'!$AA$61</f>
        <v>0</v>
      </c>
      <c r="AB5" s="13">
        <f>SUM($U$5:$AA$5)</f>
        <v>0.73817789148697632</v>
      </c>
      <c r="AC5" s="13">
        <f>'TUSD BE'!$AC$5*'TUSD BE'!$AC$61</f>
        <v>-19.863805410020031</v>
      </c>
      <c r="AD5" s="13">
        <f>SUM($AC$5:$AC$5)</f>
        <v>-19.863805410020031</v>
      </c>
      <c r="AE5" s="13">
        <f ca="1">$AO$5*$AO$58</f>
        <v>0</v>
      </c>
      <c r="AF5" s="13">
        <f ca="1">$AP$5*$AP$58</f>
        <v>0</v>
      </c>
      <c r="AG5" s="13">
        <f ca="1">SUM($AE$5:$AF$5)</f>
        <v>0</v>
      </c>
      <c r="AH5" s="13">
        <f>'TUSD BE'!$AH$5*'TUSD BE'!$AH$61</f>
        <v>0</v>
      </c>
      <c r="AI5" s="13">
        <f>'TUSD BE'!$AI$5*'TUSD BE'!$AI$61</f>
        <v>0</v>
      </c>
      <c r="AJ5" s="13">
        <f ca="1">'TUSD BE'!$AJ$5*'TUSD BE'!$AJ$61</f>
        <v>0</v>
      </c>
      <c r="AK5" s="13">
        <f ca="1">'TUSD BE'!$AK$5*'TUSD BE'!$AK$61</f>
        <v>0</v>
      </c>
      <c r="AL5" s="13">
        <f ca="1">SUM($AH$5:$AK$5)</f>
        <v>0</v>
      </c>
      <c r="AM5" s="13">
        <f ca="1">SUMIF($L$4:$AL$4,"SUBTOTAL",$L$5:$AL$5)</f>
        <v>-19.125627518533054</v>
      </c>
      <c r="AO5" s="20">
        <f ca="1">+'TUSD BE'!$T$5+'TUSD BE'!$AB$5+'TUSD BE'!$AD$5+'TUSD BE'!$AL$5</f>
        <v>85.342809238252954</v>
      </c>
      <c r="AP5" s="20">
        <f ca="1">+'TUSD BE'!$T$5+'TUSD BE'!$AB$5+'TUSD BE'!$AD$5+'TUSD BE'!$AL$5</f>
        <v>85.342809238252954</v>
      </c>
    </row>
    <row r="6" spans="1:42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>
        <f>'TUSD BE'!$L$6*'TUSD BE'!$L$61</f>
        <v>0</v>
      </c>
      <c r="M6" s="13">
        <f>'TUSD BE'!$M$6*'TUSD BE'!$M$61</f>
        <v>0</v>
      </c>
      <c r="N6" s="13">
        <f ca="1">'TUSD BE'!$N$6*'TUSD BE'!$N$61</f>
        <v>0</v>
      </c>
      <c r="O6" s="13">
        <f>'TUSD BE'!$O$6*'TUSD BE'!$O$61</f>
        <v>0</v>
      </c>
      <c r="P6" s="13">
        <f>'TUSD BE'!$P$6*'TUSD BE'!$P$61</f>
        <v>0</v>
      </c>
      <c r="Q6" s="13">
        <f>'TUSD BE'!$Q$6*'TUSD BE'!$Q$61</f>
        <v>0</v>
      </c>
      <c r="R6" s="13">
        <f>'TUSD BE'!$R$6*'TUSD BE'!$R$61</f>
        <v>0</v>
      </c>
      <c r="S6" s="13">
        <f>'TUSD BE'!$R$6*'TUSD BE'!$S$61</f>
        <v>0</v>
      </c>
      <c r="T6" s="13">
        <f ca="1">SUM($L$6:$S$6)</f>
        <v>0</v>
      </c>
      <c r="U6" s="13">
        <f>'TUSD BE'!$U$6*'TUSD BE'!$U$61</f>
        <v>0</v>
      </c>
      <c r="V6" s="13">
        <f>'TUSD BE'!$V$6*'TUSD BE'!$V$61</f>
        <v>0</v>
      </c>
      <c r="W6" s="13">
        <f>'TUSD BE'!$W$6*'TUSD BE'!$W$61</f>
        <v>0</v>
      </c>
      <c r="X6" s="13">
        <f>'TUSD BE'!$X$6*'TUSD BE'!$X$61</f>
        <v>0</v>
      </c>
      <c r="Y6" s="13">
        <f>'TUSD BE'!$Y$6*'TUSD BE'!$Y$61</f>
        <v>0.2983612985811695</v>
      </c>
      <c r="Z6" s="13">
        <f>'TUSD BE'!$Z$6*'TUSD BE'!$Z$61</f>
        <v>0</v>
      </c>
      <c r="AA6" s="13">
        <f>'TUSD BE'!$AA$6*'TUSD BE'!$AA$61</f>
        <v>0</v>
      </c>
      <c r="AB6" s="13">
        <f>SUM($U$6:$AA$6)</f>
        <v>0.2983612985811695</v>
      </c>
      <c r="AC6" s="13">
        <f>'TUSD BE'!$AC$6*'TUSD BE'!$AC$61</f>
        <v>-5.5506196356434243</v>
      </c>
      <c r="AD6" s="13">
        <f>SUM($AC$6:$AC$6)</f>
        <v>-5.5506196356434243</v>
      </c>
      <c r="AE6" s="13">
        <f ca="1">$AO$6*$AO$58</f>
        <v>0</v>
      </c>
      <c r="AF6" s="13">
        <f ca="1">$AP$6*$AP$58</f>
        <v>0</v>
      </c>
      <c r="AG6" s="13">
        <f ca="1">SUM($AE$6:$AF$6)</f>
        <v>0</v>
      </c>
      <c r="AH6" s="13">
        <f>'TUSD BE'!$AH$6*'TUSD BE'!$AH$61</f>
        <v>0</v>
      </c>
      <c r="AI6" s="13">
        <f>'TUSD BE'!$AI$6*'TUSD BE'!$AI$61</f>
        <v>0</v>
      </c>
      <c r="AJ6" s="13">
        <f ca="1">'TUSD BE'!$AJ$6*'TUSD BE'!$AJ$61</f>
        <v>0</v>
      </c>
      <c r="AK6" s="13">
        <f ca="1">'TUSD BE'!$AK$6*'TUSD BE'!$AK$61</f>
        <v>0</v>
      </c>
      <c r="AL6" s="13">
        <f ca="1">SUM($AH$6:$AK$6)</f>
        <v>0</v>
      </c>
      <c r="AM6" s="13">
        <f ca="1">SUMIF($L$4:$AL$4,"SUBTOTAL",$L$6:$AL$6)</f>
        <v>-5.2522583370622549</v>
      </c>
      <c r="AO6" s="20">
        <f ca="1">+'TUSD BE'!$T$6+'TUSD BE'!$AB$6+'TUSD BE'!$AD$6+'TUSD BE'!$AL$6</f>
        <v>26.530592178616633</v>
      </c>
      <c r="AP6" s="20">
        <f ca="1">+'TUSD BE'!$T$6+'TUSD BE'!$AB$6+'TUSD BE'!$AD$6+'TUSD BE'!$AL$6</f>
        <v>26.530592178616633</v>
      </c>
    </row>
    <row r="7" spans="1:42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>
        <f>'TUSD BE'!$L$7*'TUSD BE'!$L$61</f>
        <v>0</v>
      </c>
      <c r="M7" s="13">
        <f>'TUSD BE'!$M$7*'TUSD BE'!$M$61</f>
        <v>2.8687155438428511E-2</v>
      </c>
      <c r="N7" s="13">
        <f ca="1">'TUSD BE'!$N$7*'TUSD BE'!$N$61</f>
        <v>0</v>
      </c>
      <c r="O7" s="13">
        <f>'TUSD BE'!$O$7*'TUSD BE'!$O$61</f>
        <v>0</v>
      </c>
      <c r="P7" s="13">
        <f>'TUSD BE'!$P$7*'TUSD BE'!$P$61</f>
        <v>0</v>
      </c>
      <c r="Q7" s="13">
        <f>'TUSD BE'!$Q$7*'TUSD BE'!$Q$61</f>
        <v>1.9973916405068153</v>
      </c>
      <c r="R7" s="13">
        <f>'TUSD BE'!$R$7*'TUSD BE'!$R$61</f>
        <v>0.35774913143839271</v>
      </c>
      <c r="S7" s="13">
        <f>'TUSD BE'!$R$7*'TUSD BE'!$S$61</f>
        <v>0</v>
      </c>
      <c r="T7" s="13">
        <f ca="1">SUM($L$7:$S$7)</f>
        <v>2.3838279273836367</v>
      </c>
      <c r="U7" s="13">
        <f>'TUSD BE'!$U$7*'TUSD BE'!$U$61</f>
        <v>0</v>
      </c>
      <c r="V7" s="13">
        <f>'TUSD BE'!$V$7*'TUSD BE'!$V$61</f>
        <v>0</v>
      </c>
      <c r="W7" s="13">
        <f>'TUSD BE'!$W$7*'TUSD BE'!$W$61</f>
        <v>0</v>
      </c>
      <c r="X7" s="13">
        <f>'TUSD BE'!$X$7*'TUSD BE'!$X$61</f>
        <v>0</v>
      </c>
      <c r="Y7" s="13">
        <f>'TUSD BE'!$Y$7*'TUSD BE'!$Y$61</f>
        <v>0</v>
      </c>
      <c r="Z7" s="13">
        <f>'TUSD BE'!$Z$7*'TUSD BE'!$Z$61</f>
        <v>0</v>
      </c>
      <c r="AA7" s="13">
        <f>'TUSD BE'!$AA$7*'TUSD BE'!$AA$61</f>
        <v>0</v>
      </c>
      <c r="AB7" s="13">
        <f>SUM($U$7:$AA$7)</f>
        <v>0</v>
      </c>
      <c r="AC7" s="13">
        <f>'TUSD BE'!$AC$7*'TUSD BE'!$AC$61</f>
        <v>0</v>
      </c>
      <c r="AD7" s="13">
        <f>SUM($AC$7:$AC$7)</f>
        <v>0</v>
      </c>
      <c r="AE7" s="13">
        <f ca="1">$AO$7*$AO$58</f>
        <v>0</v>
      </c>
      <c r="AF7" s="13">
        <f ca="1">$AP$7*$AP$58</f>
        <v>0</v>
      </c>
      <c r="AG7" s="13">
        <f ca="1">SUM($AE$7:$AF$7)</f>
        <v>0</v>
      </c>
      <c r="AH7" s="13">
        <f>'TUSD BE'!$AH$7*'TUSD BE'!$AH$61</f>
        <v>-0.64683917861130169</v>
      </c>
      <c r="AI7" s="13">
        <f>'TUSD BE'!$AI$7*'TUSD BE'!$AI$61</f>
        <v>-1.7753644741839679E-2</v>
      </c>
      <c r="AJ7" s="13">
        <f ca="1">'TUSD BE'!$AJ$7*'TUSD BE'!$AJ$61</f>
        <v>0</v>
      </c>
      <c r="AK7" s="13">
        <f ca="1">'TUSD BE'!$AK$7*'TUSD BE'!$AK$61</f>
        <v>0</v>
      </c>
      <c r="AL7" s="13">
        <f ca="1">SUM($AH$7:$AK$7)</f>
        <v>-0.6645928233531414</v>
      </c>
      <c r="AM7" s="13">
        <f ca="1">SUMIF($L$4:$AL$4,"SUBTOTAL",$L$7:$AL$7)</f>
        <v>1.7192351040304952</v>
      </c>
      <c r="AO7" s="20">
        <f ca="1">+'TUSD BE'!$T$7+'TUSD BE'!$AB$7+'TUSD BE'!$AD$7+'TUSD BE'!$AL$7</f>
        <v>101.16710460736806</v>
      </c>
      <c r="AP7" s="20">
        <f ca="1">+'TUSD BE'!$T$7+'TUSD BE'!$AB$7+'TUSD BE'!$AD$7+'TUSD BE'!$AL$7</f>
        <v>101.16710460736806</v>
      </c>
    </row>
    <row r="8" spans="1:42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>
        <f>'TUSD BE'!$L$8*'TUSD BE'!$L$61</f>
        <v>0</v>
      </c>
      <c r="M8" s="13">
        <f>'TUSD BE'!$M$8*'TUSD BE'!$M$61</f>
        <v>2.8687155438428511E-2</v>
      </c>
      <c r="N8" s="13">
        <f ca="1">'TUSD BE'!$N$8*'TUSD BE'!$N$61</f>
        <v>0</v>
      </c>
      <c r="O8" s="13">
        <f>'TUSD BE'!$O$8*'TUSD BE'!$O$61</f>
        <v>0</v>
      </c>
      <c r="P8" s="13">
        <f>'TUSD BE'!$P$8*'TUSD BE'!$P$61</f>
        <v>0</v>
      </c>
      <c r="Q8" s="13">
        <f>'TUSD BE'!$Q$8*'TUSD BE'!$Q$61</f>
        <v>0</v>
      </c>
      <c r="R8" s="13">
        <f>'TUSD BE'!$R$8*'TUSD BE'!$R$61</f>
        <v>0</v>
      </c>
      <c r="S8" s="13">
        <f>'TUSD BE'!$R$8*'TUSD BE'!$S$61</f>
        <v>0</v>
      </c>
      <c r="T8" s="13">
        <f ca="1">SUM($L$8:$S$8)</f>
        <v>2.8687155438428511E-2</v>
      </c>
      <c r="U8" s="13">
        <f>'TUSD BE'!$U$8*'TUSD BE'!$U$61</f>
        <v>0</v>
      </c>
      <c r="V8" s="13">
        <f>'TUSD BE'!$V$8*'TUSD BE'!$V$61</f>
        <v>0</v>
      </c>
      <c r="W8" s="13">
        <f>'TUSD BE'!$W$8*'TUSD BE'!$W$61</f>
        <v>0</v>
      </c>
      <c r="X8" s="13">
        <f>'TUSD BE'!$X$8*'TUSD BE'!$X$61</f>
        <v>0</v>
      </c>
      <c r="Y8" s="13">
        <f>'TUSD BE'!$Y$8*'TUSD BE'!$Y$61</f>
        <v>0</v>
      </c>
      <c r="Z8" s="13">
        <f>'TUSD BE'!$Z$8*'TUSD BE'!$Z$61</f>
        <v>0</v>
      </c>
      <c r="AA8" s="13">
        <f>'TUSD BE'!$AA$8*'TUSD BE'!$AA$61</f>
        <v>0</v>
      </c>
      <c r="AB8" s="13">
        <f>SUM($U$8:$AA$8)</f>
        <v>0</v>
      </c>
      <c r="AC8" s="13">
        <f>'TUSD BE'!$AC$8*'TUSD BE'!$AC$61</f>
        <v>0</v>
      </c>
      <c r="AD8" s="13">
        <f>SUM($AC$8:$AC$8)</f>
        <v>0</v>
      </c>
      <c r="AE8" s="13">
        <f ca="1">$AO$8*$AO$58</f>
        <v>0</v>
      </c>
      <c r="AF8" s="13">
        <f ca="1">$AP$8*$AP$58</f>
        <v>0</v>
      </c>
      <c r="AG8" s="13">
        <f ca="1">SUM($AE$8:$AF$8)</f>
        <v>0</v>
      </c>
      <c r="AH8" s="13">
        <f>'TUSD BE'!$AH$8*'TUSD BE'!$AH$61</f>
        <v>-0.64683917861130169</v>
      </c>
      <c r="AI8" s="13">
        <f>'TUSD BE'!$AI$8*'TUSD BE'!$AI$61</f>
        <v>-1.7753644741839679E-2</v>
      </c>
      <c r="AJ8" s="13">
        <f ca="1">'TUSD BE'!$AJ$8*'TUSD BE'!$AJ$61</f>
        <v>0</v>
      </c>
      <c r="AK8" s="13">
        <f ca="1">'TUSD BE'!$AK$8*'TUSD BE'!$AK$61</f>
        <v>0</v>
      </c>
      <c r="AL8" s="13">
        <f ca="1">SUM($AH$8:$AK$8)</f>
        <v>-0.6645928233531414</v>
      </c>
      <c r="AM8" s="13">
        <f ca="1">SUMIF($L$4:$AL$4,"SUBTOTAL",$L$8:$AL$8)</f>
        <v>-0.63590566791471292</v>
      </c>
      <c r="AO8" s="20">
        <f ca="1">+'TUSD BE'!$T$8+'TUSD BE'!$AB$8+'TUSD BE'!$AD$8+'TUSD BE'!$AL$8</f>
        <v>10.509130302349831</v>
      </c>
      <c r="AP8" s="20">
        <f ca="1">+'TUSD BE'!$T$8+'TUSD BE'!$AB$8+'TUSD BE'!$AD$8+'TUSD BE'!$AL$8</f>
        <v>10.509130302349831</v>
      </c>
    </row>
    <row r="9" spans="1:42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>
        <f>'TUSD BE'!$L$9*'TUSD BE'!$L$61</f>
        <v>0</v>
      </c>
      <c r="M9" s="13">
        <f>'TUSD BE'!$M$9*'TUSD BE'!$M$61</f>
        <v>0</v>
      </c>
      <c r="N9" s="13">
        <f ca="1">'TUSD BE'!$N$9*'TUSD BE'!$N$61</f>
        <v>0</v>
      </c>
      <c r="O9" s="13">
        <f>'TUSD BE'!$O$9*'TUSD BE'!$O$61</f>
        <v>0</v>
      </c>
      <c r="P9" s="13">
        <f>'TUSD BE'!$P$9*'TUSD BE'!$P$61</f>
        <v>0</v>
      </c>
      <c r="Q9" s="13">
        <f>'TUSD BE'!$Q$9*'TUSD BE'!$Q$61</f>
        <v>0</v>
      </c>
      <c r="R9" s="13">
        <f>'TUSD BE'!$R$9*'TUSD BE'!$R$61</f>
        <v>0</v>
      </c>
      <c r="S9" s="13">
        <f>'TUSD BE'!$R$9*'TUSD BE'!$S$61</f>
        <v>0</v>
      </c>
      <c r="T9" s="13">
        <f ca="1">SUM($L$9:$S$9)</f>
        <v>0</v>
      </c>
      <c r="U9" s="13">
        <f>'TUSD BE'!$U$9*'TUSD BE'!$U$61</f>
        <v>0</v>
      </c>
      <c r="V9" s="13">
        <f>'TUSD BE'!$V$9*'TUSD BE'!$V$61</f>
        <v>0</v>
      </c>
      <c r="W9" s="13">
        <f>'TUSD BE'!$W$9*'TUSD BE'!$W$61</f>
        <v>0</v>
      </c>
      <c r="X9" s="13">
        <f>'TUSD BE'!$X$9*'TUSD BE'!$X$61</f>
        <v>0</v>
      </c>
      <c r="Y9" s="13">
        <f>'TUSD BE'!$Y$9*'TUSD BE'!$Y$61</f>
        <v>0.73817789148697632</v>
      </c>
      <c r="Z9" s="13">
        <f>'TUSD BE'!$Z$9*'TUSD BE'!$Z$61</f>
        <v>0</v>
      </c>
      <c r="AA9" s="13">
        <f>'TUSD BE'!$AA$9*'TUSD BE'!$AA$61</f>
        <v>0</v>
      </c>
      <c r="AB9" s="13">
        <f>SUM($U$9:$AA$9)</f>
        <v>0.73817789148697632</v>
      </c>
      <c r="AC9" s="13">
        <f>'TUSD BE'!$AC$9*'TUSD BE'!$AC$61</f>
        <v>-12.720068186357057</v>
      </c>
      <c r="AD9" s="13">
        <f>SUM($AC$9:$AC$9)</f>
        <v>-12.720068186357057</v>
      </c>
      <c r="AE9" s="13">
        <v>0</v>
      </c>
      <c r="AF9" s="13">
        <f ca="1">$AP$9*$AP$58</f>
        <v>0</v>
      </c>
      <c r="AG9" s="13">
        <f ca="1">SUM($AE$9:$AF$9)</f>
        <v>0</v>
      </c>
      <c r="AH9" s="13">
        <f>'TUSD BE'!$AH$9*'TUSD BE'!$AH$61</f>
        <v>0</v>
      </c>
      <c r="AI9" s="13">
        <f>'TUSD BE'!$AI$9*'TUSD BE'!$AI$61</f>
        <v>0</v>
      </c>
      <c r="AJ9" s="13">
        <f ca="1">'TUSD BE'!$AJ$9*'TUSD BE'!$AJ$61</f>
        <v>0</v>
      </c>
      <c r="AK9" s="13">
        <f ca="1">'TUSD BE'!$AK$9*'TUSD BE'!$AK$61</f>
        <v>0</v>
      </c>
      <c r="AL9" s="13">
        <f ca="1">SUM($AH$9:$AK$9)</f>
        <v>0</v>
      </c>
      <c r="AM9" s="13">
        <f ca="1">SUMIF($L$4:$AL$4,"SUBTOTAL",$L$9:$AL$9)</f>
        <v>-11.98189029487008</v>
      </c>
      <c r="AO9" s="20"/>
      <c r="AP9" s="20">
        <f ca="1">+'TUSD BE'!$T$9+'TUSD BE'!$AB$9+'TUSD BE'!$AD$9+'TUSD BE'!$AL$9</f>
        <v>62.384798645813262</v>
      </c>
    </row>
    <row r="10" spans="1:42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>
        <f>'TUSD BE'!$L$10*'TUSD BE'!$L$61</f>
        <v>0</v>
      </c>
      <c r="M10" s="13">
        <f>'TUSD BE'!$M$10*'TUSD BE'!$M$61</f>
        <v>0</v>
      </c>
      <c r="N10" s="13">
        <f ca="1">'TUSD BE'!$N$10*'TUSD BE'!$N$61</f>
        <v>0</v>
      </c>
      <c r="O10" s="13">
        <f>'TUSD BE'!$O$10*'TUSD BE'!$O$61</f>
        <v>0</v>
      </c>
      <c r="P10" s="13">
        <f>'TUSD BE'!$P$10*'TUSD BE'!$P$61</f>
        <v>0</v>
      </c>
      <c r="Q10" s="13">
        <f>'TUSD BE'!$Q$10*'TUSD BE'!$Q$61</f>
        <v>0</v>
      </c>
      <c r="R10" s="13">
        <f>'TUSD BE'!$R$10*'TUSD BE'!$R$61</f>
        <v>0</v>
      </c>
      <c r="S10" s="13">
        <f>'TUSD BE'!$R$10*'TUSD BE'!$S$61</f>
        <v>0</v>
      </c>
      <c r="T10" s="13">
        <f ca="1">SUM($L$10:$S$10)</f>
        <v>0</v>
      </c>
      <c r="U10" s="13">
        <f>'TUSD BE'!$U$10*'TUSD BE'!$U$61</f>
        <v>0</v>
      </c>
      <c r="V10" s="13">
        <f>'TUSD BE'!$V$10*'TUSD BE'!$V$61</f>
        <v>0</v>
      </c>
      <c r="W10" s="13">
        <f>'TUSD BE'!$W$10*'TUSD BE'!$W$61</f>
        <v>0</v>
      </c>
      <c r="X10" s="13">
        <f>'TUSD BE'!$X$10*'TUSD BE'!$X$61</f>
        <v>0</v>
      </c>
      <c r="Y10" s="13">
        <f>'TUSD BE'!$Y$10*'TUSD BE'!$Y$61</f>
        <v>0.2983612985811695</v>
      </c>
      <c r="Z10" s="13">
        <f>'TUSD BE'!$Z$10*'TUSD BE'!$Z$61</f>
        <v>0</v>
      </c>
      <c r="AA10" s="13">
        <f>'TUSD BE'!$AA$10*'TUSD BE'!$AA$61</f>
        <v>0</v>
      </c>
      <c r="AB10" s="13">
        <f>SUM($U$10:$AA$10)</f>
        <v>0.2983612985811695</v>
      </c>
      <c r="AC10" s="13">
        <f>'TUSD BE'!$AC$10*'TUSD BE'!$AC$61</f>
        <v>-3.5543265574891265</v>
      </c>
      <c r="AD10" s="13">
        <f>SUM($AC$10:$AC$10)</f>
        <v>-3.5543265574891265</v>
      </c>
      <c r="AE10" s="13">
        <v>0</v>
      </c>
      <c r="AF10" s="13">
        <f ca="1">$AP$10*$AP$58</f>
        <v>0</v>
      </c>
      <c r="AG10" s="13">
        <f ca="1">SUM($AE$10:$AF$10)</f>
        <v>0</v>
      </c>
      <c r="AH10" s="13">
        <f>'TUSD BE'!$AH$10*'TUSD BE'!$AH$61</f>
        <v>0</v>
      </c>
      <c r="AI10" s="13">
        <f>'TUSD BE'!$AI$10*'TUSD BE'!$AI$61</f>
        <v>0</v>
      </c>
      <c r="AJ10" s="13">
        <f ca="1">'TUSD BE'!$AJ$10*'TUSD BE'!$AJ$61</f>
        <v>0</v>
      </c>
      <c r="AK10" s="13">
        <f ca="1">'TUSD BE'!$AK$10*'TUSD BE'!$AK$61</f>
        <v>0</v>
      </c>
      <c r="AL10" s="13">
        <f ca="1">SUM($AH$10:$AK$10)</f>
        <v>0</v>
      </c>
      <c r="AM10" s="13">
        <f ca="1">SUMIF($L$4:$AL$4,"SUBTOTAL",$L$10:$AL$10)</f>
        <v>-3.2559652589079571</v>
      </c>
      <c r="AO10" s="20"/>
      <c r="AP10" s="20">
        <f ca="1">+'TUSD BE'!$T$10+'TUSD BE'!$AB$10+'TUSD BE'!$AD$10+'TUSD BE'!$AL$10</f>
        <v>20.115054176733011</v>
      </c>
    </row>
    <row r="11" spans="1:42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>
        <f>'TUSD BE'!$L$11*'TUSD BE'!$L$61</f>
        <v>0</v>
      </c>
      <c r="M11" s="13">
        <f>'TUSD BE'!$M$11*'TUSD BE'!$M$61</f>
        <v>0</v>
      </c>
      <c r="N11" s="13">
        <f ca="1">'TUSD BE'!$N$11*'TUSD BE'!$N$61</f>
        <v>0</v>
      </c>
      <c r="O11" s="13">
        <f>'TUSD BE'!$O$11*'TUSD BE'!$O$61</f>
        <v>0</v>
      </c>
      <c r="P11" s="13">
        <f>'TUSD BE'!$P$11*'TUSD BE'!$P$61</f>
        <v>0</v>
      </c>
      <c r="Q11" s="13">
        <f>'TUSD BE'!$Q$11*'TUSD BE'!$Q$61</f>
        <v>0</v>
      </c>
      <c r="R11" s="13">
        <f>'TUSD BE'!$R$11*'TUSD BE'!$R$61</f>
        <v>0</v>
      </c>
      <c r="S11" s="13">
        <f>'TUSD BE'!$R$11*'TUSD BE'!$S$61</f>
        <v>0</v>
      </c>
      <c r="T11" s="13">
        <f ca="1">SUM($L$11:$S$11)</f>
        <v>0</v>
      </c>
      <c r="U11" s="13">
        <f>'TUSD BE'!$U$11*'TUSD BE'!$U$61</f>
        <v>0</v>
      </c>
      <c r="V11" s="13">
        <f>'TUSD BE'!$V$11*'TUSD BE'!$V$61</f>
        <v>0</v>
      </c>
      <c r="W11" s="13">
        <f>'TUSD BE'!$W$11*'TUSD BE'!$W$61</f>
        <v>0</v>
      </c>
      <c r="X11" s="13">
        <f>'TUSD BE'!$X$11*'TUSD BE'!$X$61</f>
        <v>0</v>
      </c>
      <c r="Y11" s="13">
        <f>'TUSD BE'!$Y$11*'TUSD BE'!$Y$61</f>
        <v>0</v>
      </c>
      <c r="Z11" s="13">
        <f>'TUSD BE'!$Z$11*'TUSD BE'!$Z$61</f>
        <v>0</v>
      </c>
      <c r="AA11" s="13">
        <f>'TUSD BE'!$AA$11*'TUSD BE'!$AA$61</f>
        <v>0</v>
      </c>
      <c r="AB11" s="13">
        <f>SUM($U$11:$AA$11)</f>
        <v>0</v>
      </c>
      <c r="AC11" s="13">
        <f>'TUSD BE'!$AC$11*'TUSD BE'!$AC$61</f>
        <v>0</v>
      </c>
      <c r="AD11" s="13">
        <f>SUM($AC$11:$AC$11)</f>
        <v>0</v>
      </c>
      <c r="AE11" s="13">
        <v>0</v>
      </c>
      <c r="AF11" s="13">
        <f ca="1">$AP$11*$AP$58</f>
        <v>0</v>
      </c>
      <c r="AG11" s="13">
        <f ca="1">SUM($AE$11:$AF$11)</f>
        <v>0</v>
      </c>
      <c r="AH11" s="13">
        <f>'TUSD BE'!$AH$11*'TUSD BE'!$AH$61</f>
        <v>-0.64683917861130169</v>
      </c>
      <c r="AI11" s="13">
        <f>'TUSD BE'!$AI$11*'TUSD BE'!$AI$61</f>
        <v>-1.7753644741839679E-2</v>
      </c>
      <c r="AJ11" s="13">
        <f ca="1">'TUSD BE'!$AJ$11*'TUSD BE'!$AJ$61</f>
        <v>0</v>
      </c>
      <c r="AK11" s="13">
        <f ca="1">'TUSD BE'!$AK$11*'TUSD BE'!$AK$61</f>
        <v>0</v>
      </c>
      <c r="AL11" s="13">
        <f ca="1">SUM($AH$11:$AK$11)</f>
        <v>-0.6645928233531414</v>
      </c>
      <c r="AM11" s="13">
        <f ca="1">SUMIF($L$4:$AL$4,"SUBTOTAL",$L$11:$AL$11)</f>
        <v>-0.6645928233531414</v>
      </c>
      <c r="AO11" s="20"/>
      <c r="AP11" s="20">
        <f ca="1">+'TUSD BE'!$T$11+'TUSD BE'!$AB$11+'TUSD BE'!$AD$11+'TUSD BE'!$AL$11</f>
        <v>9.5897848406939463</v>
      </c>
    </row>
    <row r="12" spans="1:42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>
        <f>'TUSD BE'!$L$12*'TUSD BE'!$L$61</f>
        <v>0</v>
      </c>
      <c r="M12" s="13">
        <f>'TUSD BE'!$M$12*'TUSD BE'!$M$61</f>
        <v>3.2855557971422407E-4</v>
      </c>
      <c r="N12" s="13">
        <f ca="1">'TUSD BE'!$N$12*'TUSD BE'!$N$61</f>
        <v>0</v>
      </c>
      <c r="O12" s="13">
        <f>'TUSD BE'!$O$12*'TUSD BE'!$O$61</f>
        <v>0</v>
      </c>
      <c r="P12" s="13">
        <f>'TUSD BE'!$P$12*'TUSD BE'!$P$61</f>
        <v>0</v>
      </c>
      <c r="Q12" s="13">
        <f>'TUSD BE'!$Q$12*'TUSD BE'!$Q$61</f>
        <v>0</v>
      </c>
      <c r="R12" s="13">
        <f>'TUSD BE'!$R$12*'TUSD BE'!$R$61</f>
        <v>0</v>
      </c>
      <c r="S12" s="13">
        <f>'TUSD BE'!$R$12*'TUSD BE'!$S$61</f>
        <v>0</v>
      </c>
      <c r="T12" s="13">
        <f ca="1">SUM($L$12:$S$12)</f>
        <v>3.2855557971422407E-4</v>
      </c>
      <c r="U12" s="13">
        <f>'TUSD BE'!$U$12*'TUSD BE'!$U$61</f>
        <v>0</v>
      </c>
      <c r="V12" s="13">
        <f>'TUSD BE'!$V$12*'TUSD BE'!$V$61</f>
        <v>0</v>
      </c>
      <c r="W12" s="13">
        <f>'TUSD BE'!$W$12*'TUSD BE'!$W$61</f>
        <v>0</v>
      </c>
      <c r="X12" s="13">
        <f>'TUSD BE'!$X$12*'TUSD BE'!$X$61</f>
        <v>0</v>
      </c>
      <c r="Y12" s="13">
        <f>'TUSD BE'!$Y$12*'TUSD BE'!$Y$61</f>
        <v>0</v>
      </c>
      <c r="Z12" s="13">
        <f>'TUSD BE'!$Z$12*'TUSD BE'!$Z$61</f>
        <v>0</v>
      </c>
      <c r="AA12" s="13">
        <f>'TUSD BE'!$AA$12*'TUSD BE'!$AA$61</f>
        <v>0</v>
      </c>
      <c r="AB12" s="13">
        <f>SUM($U$12:$AA$12)</f>
        <v>0</v>
      </c>
      <c r="AC12" s="13">
        <f>'TUSD BE'!$AC$12*'TUSD BE'!$AC$61</f>
        <v>-1.6008127511510242</v>
      </c>
      <c r="AD12" s="13">
        <f>SUM($AC$12:$AC$12)</f>
        <v>-1.6008127511510242</v>
      </c>
      <c r="AE12" s="13">
        <f ca="1">$AO$12*$AO$58</f>
        <v>0</v>
      </c>
      <c r="AF12" s="13">
        <f ca="1">$AP$12*$AP$58</f>
        <v>0</v>
      </c>
      <c r="AG12" s="13">
        <f ca="1">SUM($AE$12:$AF$12)</f>
        <v>0</v>
      </c>
      <c r="AH12" s="13">
        <f>'TUSD BE'!$AH$12*'TUSD BE'!$AH$61</f>
        <v>0</v>
      </c>
      <c r="AI12" s="13">
        <f>'TUSD BE'!$AI$12*'TUSD BE'!$AI$61</f>
        <v>0</v>
      </c>
      <c r="AJ12" s="13">
        <f ca="1">'TUSD BE'!$AJ$12*'TUSD BE'!$AJ$61</f>
        <v>0</v>
      </c>
      <c r="AK12" s="13">
        <f ca="1">'TUSD BE'!$AK$12*'TUSD BE'!$AK$61</f>
        <v>0</v>
      </c>
      <c r="AL12" s="13">
        <f ca="1">SUM($AH$12:$AK$12)</f>
        <v>0</v>
      </c>
      <c r="AM12" s="13">
        <f ca="1">SUMIF($L$4:$AL$4,"SUBTOTAL",$L$12:$AL$12)</f>
        <v>-1.6004841955713101</v>
      </c>
      <c r="AO12" s="20">
        <f ca="1">+'TUSD BE'!$T$12+'TUSD BE'!$AB$12+'TUSD BE'!$AD$12+'TUSD BE'!$AL$12</f>
        <v>5.1551020985534279</v>
      </c>
      <c r="AP12" s="20">
        <f ca="1">+'TUSD BE'!$T$12+'TUSD BE'!$AB$12+'TUSD BE'!$AD$12+'TUSD BE'!$AL$12</f>
        <v>5.1551020985534279</v>
      </c>
    </row>
    <row r="13" spans="1:42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>
        <f>'TUSD BE'!$L$13*'TUSD BE'!$L$61</f>
        <v>0</v>
      </c>
      <c r="M13" s="13">
        <f>'TUSD BE'!$M$13*'TUSD BE'!$M$61</f>
        <v>0</v>
      </c>
      <c r="N13" s="13">
        <f ca="1">'TUSD BE'!$N$13*'TUSD BE'!$N$61</f>
        <v>0</v>
      </c>
      <c r="O13" s="13">
        <f>'TUSD BE'!$O$13*'TUSD BE'!$O$61</f>
        <v>0</v>
      </c>
      <c r="P13" s="13">
        <f>'TUSD BE'!$P$13*'TUSD BE'!$P$61</f>
        <v>0</v>
      </c>
      <c r="Q13" s="13">
        <f>'TUSD BE'!$Q$13*'TUSD BE'!$Q$61</f>
        <v>0</v>
      </c>
      <c r="R13" s="13">
        <f>'TUSD BE'!$R$13*'TUSD BE'!$R$61</f>
        <v>0</v>
      </c>
      <c r="S13" s="13">
        <f>'TUSD BE'!$R$13*'TUSD BE'!$S$61</f>
        <v>0</v>
      </c>
      <c r="T13" s="13">
        <f ca="1">SUM($L$13:$S$13)</f>
        <v>0</v>
      </c>
      <c r="U13" s="13">
        <f>'TUSD BE'!$U$13*'TUSD BE'!$U$61</f>
        <v>0</v>
      </c>
      <c r="V13" s="13">
        <f>'TUSD BE'!$V$13*'TUSD BE'!$V$61</f>
        <v>0</v>
      </c>
      <c r="W13" s="13">
        <f>'TUSD BE'!$W$13*'TUSD BE'!$W$61</f>
        <v>0</v>
      </c>
      <c r="X13" s="13">
        <f>'TUSD BE'!$X$13*'TUSD BE'!$X$61</f>
        <v>0</v>
      </c>
      <c r="Y13" s="13">
        <f>'TUSD BE'!$Y$13*'TUSD BE'!$Y$61</f>
        <v>0.2983612985811695</v>
      </c>
      <c r="Z13" s="13">
        <f>'TUSD BE'!$Z$13*'TUSD BE'!$Z$61</f>
        <v>0</v>
      </c>
      <c r="AA13" s="13">
        <f>'TUSD BE'!$AA$13*'TUSD BE'!$AA$61</f>
        <v>0</v>
      </c>
      <c r="AB13" s="13">
        <f>SUM($U$13:$AA$13)</f>
        <v>0.2983612985811695</v>
      </c>
      <c r="AC13" s="13">
        <f>'TUSD BE'!$AC$13*'TUSD BE'!$AC$61</f>
        <v>-5.5506196356434243</v>
      </c>
      <c r="AD13" s="13">
        <f>SUM($AC$13:$AC$13)</f>
        <v>-5.5506196356434243</v>
      </c>
      <c r="AE13" s="13">
        <f ca="1">$AO$13*$AO$58</f>
        <v>0</v>
      </c>
      <c r="AF13" s="13">
        <f ca="1">$AP$13*$AP$58</f>
        <v>0</v>
      </c>
      <c r="AG13" s="13">
        <f ca="1">SUM($AE$13:$AF$13)</f>
        <v>0</v>
      </c>
      <c r="AH13" s="13">
        <f>'TUSD BE'!$AH$13*'TUSD BE'!$AH$61</f>
        <v>0</v>
      </c>
      <c r="AI13" s="13">
        <f>'TUSD BE'!$AI$13*'TUSD BE'!$AI$61</f>
        <v>0</v>
      </c>
      <c r="AJ13" s="13">
        <f ca="1">'TUSD BE'!$AJ$13*'TUSD BE'!$AJ$61</f>
        <v>0</v>
      </c>
      <c r="AK13" s="13">
        <f ca="1">'TUSD BE'!$AK$13*'TUSD BE'!$AK$61</f>
        <v>0</v>
      </c>
      <c r="AL13" s="13">
        <f ca="1">SUM($AH$13:$AK$13)</f>
        <v>0</v>
      </c>
      <c r="AM13" s="13">
        <f ca="1">SUMIF($L$4:$AL$4,"SUBTOTAL",$L$13:$AL$13)</f>
        <v>-5.2522583370622549</v>
      </c>
      <c r="AO13" s="20">
        <f ca="1">+'TUSD BE'!$T$13+'TUSD BE'!$AB$13+'TUSD BE'!$AD$13+'TUSD BE'!$AL$13</f>
        <v>26.530592178616633</v>
      </c>
      <c r="AP13" s="20">
        <f ca="1">+'TUSD BE'!$T$13+'TUSD BE'!$AB$13+'TUSD BE'!$AD$13+'TUSD BE'!$AL$13</f>
        <v>26.530592178616633</v>
      </c>
    </row>
    <row r="14" spans="1:42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>
        <f>'TUSD BE'!$L$14*'TUSD BE'!$L$61</f>
        <v>0</v>
      </c>
      <c r="M14" s="13">
        <f>'TUSD BE'!$M$14*'TUSD BE'!$M$61</f>
        <v>2.8687155438428511E-2</v>
      </c>
      <c r="N14" s="13">
        <f ca="1">'TUSD BE'!$N$14*'TUSD BE'!$N$61</f>
        <v>0</v>
      </c>
      <c r="O14" s="13">
        <f>'TUSD BE'!$O$14*'TUSD BE'!$O$61</f>
        <v>0</v>
      </c>
      <c r="P14" s="13">
        <f>'TUSD BE'!$P$14*'TUSD BE'!$P$61</f>
        <v>0</v>
      </c>
      <c r="Q14" s="13">
        <f>'TUSD BE'!$Q$14*'TUSD BE'!$Q$61</f>
        <v>1.9973916405068153</v>
      </c>
      <c r="R14" s="13">
        <f>'TUSD BE'!$R$14*'TUSD BE'!$R$61</f>
        <v>0.35774913143839271</v>
      </c>
      <c r="S14" s="13">
        <f>'TUSD BE'!$R$14*'TUSD BE'!$S$61</f>
        <v>0</v>
      </c>
      <c r="T14" s="13">
        <f ca="1">SUM($L$14:$S$14)</f>
        <v>2.3838279273836367</v>
      </c>
      <c r="U14" s="13">
        <f>'TUSD BE'!$U$14*'TUSD BE'!$U$61</f>
        <v>0</v>
      </c>
      <c r="V14" s="13">
        <f>'TUSD BE'!$V$14*'TUSD BE'!$V$61</f>
        <v>0</v>
      </c>
      <c r="W14" s="13">
        <f>'TUSD BE'!$W$14*'TUSD BE'!$W$61</f>
        <v>0</v>
      </c>
      <c r="X14" s="13">
        <f>'TUSD BE'!$X$14*'TUSD BE'!$X$61</f>
        <v>0</v>
      </c>
      <c r="Y14" s="13">
        <f>'TUSD BE'!$Y$14*'TUSD BE'!$Y$61</f>
        <v>17.760198591447665</v>
      </c>
      <c r="Z14" s="13">
        <f>'TUSD BE'!$Z$14*'TUSD BE'!$Z$61</f>
        <v>0</v>
      </c>
      <c r="AA14" s="13">
        <f>'TUSD BE'!$AA$14*'TUSD BE'!$AA$61</f>
        <v>0</v>
      </c>
      <c r="AB14" s="13">
        <f>SUM($U$14:$AA$14)</f>
        <v>17.760198591447665</v>
      </c>
      <c r="AC14" s="13">
        <f>'TUSD BE'!$AC$14*'TUSD BE'!$AC$61</f>
        <v>-477.72531880326886</v>
      </c>
      <c r="AD14" s="13">
        <f>SUM($AC$14:$AC$14)</f>
        <v>-477.72531880326886</v>
      </c>
      <c r="AE14" s="13">
        <f ca="1">$AO$14*$AO$58</f>
        <v>0</v>
      </c>
      <c r="AF14" s="13">
        <f ca="1">$AP$14*$AP$58</f>
        <v>0</v>
      </c>
      <c r="AG14" s="13">
        <f ca="1">SUM($AE$14:$AF$14)</f>
        <v>0</v>
      </c>
      <c r="AH14" s="13">
        <f>'TUSD BE'!$AH$14*'TUSD BE'!$AH$61</f>
        <v>-0.64683917861130169</v>
      </c>
      <c r="AI14" s="13">
        <f>'TUSD BE'!$AI$14*'TUSD BE'!$AI$61</f>
        <v>-1.7753644741839679E-2</v>
      </c>
      <c r="AJ14" s="13">
        <f ca="1">'TUSD BE'!$AJ$14*'TUSD BE'!$AJ$61</f>
        <v>0</v>
      </c>
      <c r="AK14" s="13">
        <f ca="1">'TUSD BE'!$AK$14*'TUSD BE'!$AK$61</f>
        <v>0</v>
      </c>
      <c r="AL14" s="13">
        <f ca="1">SUM($AH$14:$AK$14)</f>
        <v>-0.6645928233531414</v>
      </c>
      <c r="AM14" s="13">
        <f ca="1">SUMIF($L$4:$AL$4,"SUBTOTAL",$L$14:$AL$14)</f>
        <v>-458.24588510779068</v>
      </c>
      <c r="AO14" s="20">
        <f ca="1">+'TUSD BE'!$T$14+'TUSD BE'!$AB$14+'TUSD BE'!$AD$14+'TUSD BE'!$AL$14</f>
        <v>2153.8687622235329</v>
      </c>
      <c r="AP14" s="20">
        <f ca="1">+'TUSD BE'!$T$14+'TUSD BE'!$AB$14+'TUSD BE'!$AD$14+'TUSD BE'!$AL$14</f>
        <v>2153.8687622235329</v>
      </c>
    </row>
    <row r="15" spans="1:42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>
        <f>'TUSD BE'!$L$15*'TUSD BE'!$L$61</f>
        <v>0</v>
      </c>
      <c r="M15" s="13">
        <f>'TUSD BE'!$M$15*'TUSD BE'!$M$61</f>
        <v>2.8687155438428511E-2</v>
      </c>
      <c r="N15" s="13">
        <f ca="1">'TUSD BE'!$N$15*'TUSD BE'!$N$61</f>
        <v>0</v>
      </c>
      <c r="O15" s="13">
        <f>'TUSD BE'!$O$15*'TUSD BE'!$O$61</f>
        <v>0</v>
      </c>
      <c r="P15" s="13">
        <f>'TUSD BE'!$P$15*'TUSD BE'!$P$61</f>
        <v>0</v>
      </c>
      <c r="Q15" s="13">
        <f>'TUSD BE'!$Q$15*'TUSD BE'!$Q$61</f>
        <v>1.9973916405068153</v>
      </c>
      <c r="R15" s="13">
        <f>'TUSD BE'!$R$15*'TUSD BE'!$R$61</f>
        <v>0.35774913143839271</v>
      </c>
      <c r="S15" s="13">
        <f>'TUSD BE'!$R$15*'TUSD BE'!$S$61</f>
        <v>0</v>
      </c>
      <c r="T15" s="13">
        <f ca="1">SUM($L$15:$S$15)</f>
        <v>2.3838279273836367</v>
      </c>
      <c r="U15" s="13">
        <f>'TUSD BE'!$U$15*'TUSD BE'!$U$61</f>
        <v>0</v>
      </c>
      <c r="V15" s="13">
        <f>'TUSD BE'!$V$15*'TUSD BE'!$V$61</f>
        <v>0</v>
      </c>
      <c r="W15" s="13">
        <f>'TUSD BE'!$W$15*'TUSD BE'!$W$61</f>
        <v>0</v>
      </c>
      <c r="X15" s="13">
        <f>'TUSD BE'!$X$15*'TUSD BE'!$X$61</f>
        <v>0</v>
      </c>
      <c r="Y15" s="13">
        <f>'TUSD BE'!$Y$15*'TUSD BE'!$Y$61</f>
        <v>0</v>
      </c>
      <c r="Z15" s="13">
        <f>'TUSD BE'!$Z$15*'TUSD BE'!$Z$61</f>
        <v>0</v>
      </c>
      <c r="AA15" s="13">
        <f>'TUSD BE'!$AA$15*'TUSD BE'!$AA$61</f>
        <v>0</v>
      </c>
      <c r="AB15" s="13">
        <f>SUM($U$15:$AA$15)</f>
        <v>0</v>
      </c>
      <c r="AC15" s="13">
        <f>'TUSD BE'!$AC$15*'TUSD BE'!$AC$61</f>
        <v>0</v>
      </c>
      <c r="AD15" s="13">
        <f>SUM($AC$15:$AC$15)</f>
        <v>0</v>
      </c>
      <c r="AE15" s="13">
        <f ca="1">$AO$15*$AO$58</f>
        <v>0</v>
      </c>
      <c r="AF15" s="13">
        <f ca="1">$AP$15*$AP$58</f>
        <v>0</v>
      </c>
      <c r="AG15" s="13">
        <f ca="1">SUM($AE$15:$AF$15)</f>
        <v>0</v>
      </c>
      <c r="AH15" s="13">
        <f>'TUSD BE'!$AH$15*'TUSD BE'!$AH$61</f>
        <v>-0.64683917861130169</v>
      </c>
      <c r="AI15" s="13">
        <f>'TUSD BE'!$AI$15*'TUSD BE'!$AI$61</f>
        <v>-1.7753644741839679E-2</v>
      </c>
      <c r="AJ15" s="13">
        <f ca="1">'TUSD BE'!$AJ$15*'TUSD BE'!$AJ$61</f>
        <v>0</v>
      </c>
      <c r="AK15" s="13">
        <f ca="1">'TUSD BE'!$AK$15*'TUSD BE'!$AK$61</f>
        <v>0</v>
      </c>
      <c r="AL15" s="13">
        <f ca="1">SUM($AH$15:$AK$15)</f>
        <v>-0.6645928233531414</v>
      </c>
      <c r="AM15" s="13">
        <f ca="1">SUMIF($L$4:$AL$4,"SUBTOTAL",$L$15:$AL$15)</f>
        <v>1.7192351040304952</v>
      </c>
      <c r="AO15" s="20">
        <f ca="1">+'TUSD BE'!$T$15+'TUSD BE'!$AB$15+'TUSD BE'!$AD$15+'TUSD BE'!$AL$15</f>
        <v>101.16710460736806</v>
      </c>
      <c r="AP15" s="20">
        <f ca="1">+'TUSD BE'!$T$15+'TUSD BE'!$AB$15+'TUSD BE'!$AD$15+'TUSD BE'!$AL$15</f>
        <v>101.16710460736806</v>
      </c>
    </row>
    <row r="16" spans="1:42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>
        <f>'TUSD BE'!$L$16*'TUSD BE'!$L$61</f>
        <v>0</v>
      </c>
      <c r="M16" s="13">
        <f>'TUSD BE'!$M$16*'TUSD BE'!$M$61</f>
        <v>2.8687155438428511E-2</v>
      </c>
      <c r="N16" s="13">
        <f ca="1">'TUSD BE'!$N$16*'TUSD BE'!$N$61</f>
        <v>0</v>
      </c>
      <c r="O16" s="13">
        <f>'TUSD BE'!$O$16*'TUSD BE'!$O$61</f>
        <v>0</v>
      </c>
      <c r="P16" s="13">
        <f>'TUSD BE'!$P$16*'TUSD BE'!$P$61</f>
        <v>0</v>
      </c>
      <c r="Q16" s="13">
        <f>'TUSD BE'!$Q$16*'TUSD BE'!$Q$61</f>
        <v>0</v>
      </c>
      <c r="R16" s="13">
        <f>'TUSD BE'!$R$16*'TUSD BE'!$R$61</f>
        <v>0</v>
      </c>
      <c r="S16" s="13">
        <f>'TUSD BE'!$R$16*'TUSD BE'!$S$61</f>
        <v>0</v>
      </c>
      <c r="T16" s="13">
        <f ca="1">SUM($L$16:$S$16)</f>
        <v>2.8687155438428511E-2</v>
      </c>
      <c r="U16" s="13">
        <f>'TUSD BE'!$U$16*'TUSD BE'!$U$61</f>
        <v>0</v>
      </c>
      <c r="V16" s="13">
        <f>'TUSD BE'!$V$16*'TUSD BE'!$V$61</f>
        <v>0</v>
      </c>
      <c r="W16" s="13">
        <f>'TUSD BE'!$W$16*'TUSD BE'!$W$61</f>
        <v>0</v>
      </c>
      <c r="X16" s="13">
        <f>'TUSD BE'!$X$16*'TUSD BE'!$X$61</f>
        <v>0</v>
      </c>
      <c r="Y16" s="13">
        <f>'TUSD BE'!$Y$16*'TUSD BE'!$Y$61</f>
        <v>17.760198591447665</v>
      </c>
      <c r="Z16" s="13">
        <f>'TUSD BE'!$Z$16*'TUSD BE'!$Z$61</f>
        <v>0</v>
      </c>
      <c r="AA16" s="13">
        <f>'TUSD BE'!$AA$16*'TUSD BE'!$AA$61</f>
        <v>0</v>
      </c>
      <c r="AB16" s="13">
        <f>SUM($U$16:$AA$16)</f>
        <v>17.760198591447665</v>
      </c>
      <c r="AC16" s="13">
        <f>'TUSD BE'!$AC$16*'TUSD BE'!$AC$61</f>
        <v>-477.72531880326886</v>
      </c>
      <c r="AD16" s="13">
        <f>SUM($AC$16:$AC$16)</f>
        <v>-477.72531880326886</v>
      </c>
      <c r="AE16" s="13">
        <f ca="1">$AO$16*$AO$58</f>
        <v>0</v>
      </c>
      <c r="AF16" s="13">
        <f ca="1">$AP$16*$AP$58</f>
        <v>0</v>
      </c>
      <c r="AG16" s="13">
        <f ca="1">SUM($AE$16:$AF$16)</f>
        <v>0</v>
      </c>
      <c r="AH16" s="13">
        <f>'TUSD BE'!$AH$16*'TUSD BE'!$AH$61</f>
        <v>-0.64683917861130169</v>
      </c>
      <c r="AI16" s="13">
        <f>'TUSD BE'!$AI$16*'TUSD BE'!$AI$61</f>
        <v>-1.7753644741839679E-2</v>
      </c>
      <c r="AJ16" s="13">
        <f ca="1">'TUSD BE'!$AJ$16*'TUSD BE'!$AJ$61</f>
        <v>0</v>
      </c>
      <c r="AK16" s="13">
        <f ca="1">'TUSD BE'!$AK$16*'TUSD BE'!$AK$61</f>
        <v>0</v>
      </c>
      <c r="AL16" s="13">
        <f ca="1">SUM($AH$16:$AK$16)</f>
        <v>-0.6645928233531414</v>
      </c>
      <c r="AM16" s="13">
        <f ca="1">SUMIF($L$4:$AL$4,"SUBTOTAL",$L$16:$AL$16)</f>
        <v>-460.60102587973591</v>
      </c>
      <c r="AO16" s="20">
        <f ca="1">+'TUSD BE'!$T$16+'TUSD BE'!$AB$16+'TUSD BE'!$AD$16+'TUSD BE'!$AL$16</f>
        <v>2063.2107879185151</v>
      </c>
      <c r="AP16" s="20">
        <f ca="1">+'TUSD BE'!$T$16+'TUSD BE'!$AB$16+'TUSD BE'!$AD$16+'TUSD BE'!$AL$16</f>
        <v>2063.2107879185151</v>
      </c>
    </row>
    <row r="17" spans="1:42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>
        <f>'TUSD BE'!$L$17*'TUSD BE'!$L$61</f>
        <v>0</v>
      </c>
      <c r="M17" s="13">
        <f>'TUSD BE'!$M$17*'TUSD BE'!$M$61</f>
        <v>2.8687155438428511E-2</v>
      </c>
      <c r="N17" s="13">
        <f ca="1">'TUSD BE'!$N$17*'TUSD BE'!$N$61</f>
        <v>0</v>
      </c>
      <c r="O17" s="13">
        <f>'TUSD BE'!$O$17*'TUSD BE'!$O$61</f>
        <v>0</v>
      </c>
      <c r="P17" s="13">
        <f>'TUSD BE'!$P$17*'TUSD BE'!$P$61</f>
        <v>0</v>
      </c>
      <c r="Q17" s="13">
        <f>'TUSD BE'!$Q$17*'TUSD BE'!$Q$61</f>
        <v>0</v>
      </c>
      <c r="R17" s="13">
        <f>'TUSD BE'!$R$17*'TUSD BE'!$R$61</f>
        <v>0</v>
      </c>
      <c r="S17" s="13">
        <f>'TUSD BE'!$R$17*'TUSD BE'!$S$61</f>
        <v>0</v>
      </c>
      <c r="T17" s="13">
        <f ca="1">SUM($L$17:$S$17)</f>
        <v>2.8687155438428511E-2</v>
      </c>
      <c r="U17" s="13">
        <f>'TUSD BE'!$U$17*'TUSD BE'!$U$61</f>
        <v>0</v>
      </c>
      <c r="V17" s="13">
        <f>'TUSD BE'!$V$17*'TUSD BE'!$V$61</f>
        <v>0</v>
      </c>
      <c r="W17" s="13">
        <f>'TUSD BE'!$W$17*'TUSD BE'!$W$61</f>
        <v>0</v>
      </c>
      <c r="X17" s="13">
        <f>'TUSD BE'!$X$17*'TUSD BE'!$X$61</f>
        <v>0</v>
      </c>
      <c r="Y17" s="13">
        <f>'TUSD BE'!$Y$17*'TUSD BE'!$Y$61</f>
        <v>0</v>
      </c>
      <c r="Z17" s="13">
        <f>'TUSD BE'!$Z$17*'TUSD BE'!$Z$61</f>
        <v>0</v>
      </c>
      <c r="AA17" s="13">
        <f>'TUSD BE'!$AA$17*'TUSD BE'!$AA$61</f>
        <v>0</v>
      </c>
      <c r="AB17" s="13">
        <f>SUM($U$17:$AA$17)</f>
        <v>0</v>
      </c>
      <c r="AC17" s="13">
        <f>'TUSD BE'!$AC$17*'TUSD BE'!$AC$61</f>
        <v>0</v>
      </c>
      <c r="AD17" s="13">
        <f>SUM($AC$17:$AC$17)</f>
        <v>0</v>
      </c>
      <c r="AE17" s="13">
        <f ca="1">$AO$17*$AO$58</f>
        <v>0</v>
      </c>
      <c r="AF17" s="13">
        <f ca="1">$AP$17*$AP$58</f>
        <v>0</v>
      </c>
      <c r="AG17" s="13">
        <f ca="1">SUM($AE$17:$AF$17)</f>
        <v>0</v>
      </c>
      <c r="AH17" s="13">
        <f>'TUSD BE'!$AH$17*'TUSD BE'!$AH$61</f>
        <v>-0.64683917861130169</v>
      </c>
      <c r="AI17" s="13">
        <f>'TUSD BE'!$AI$17*'TUSD BE'!$AI$61</f>
        <v>-1.7753644741839679E-2</v>
      </c>
      <c r="AJ17" s="13">
        <f ca="1">'TUSD BE'!$AJ$17*'TUSD BE'!$AJ$61</f>
        <v>0</v>
      </c>
      <c r="AK17" s="13">
        <f ca="1">'TUSD BE'!$AK$17*'TUSD BE'!$AK$61</f>
        <v>0</v>
      </c>
      <c r="AL17" s="13">
        <f ca="1">SUM($AH$17:$AK$17)</f>
        <v>-0.6645928233531414</v>
      </c>
      <c r="AM17" s="13">
        <f ca="1">SUMIF($L$4:$AL$4,"SUBTOTAL",$L$17:$AL$17)</f>
        <v>-0.63590566791471292</v>
      </c>
      <c r="AO17" s="20">
        <f ca="1">+'TUSD BE'!$T$17+'TUSD BE'!$AB$17+'TUSD BE'!$AD$17+'TUSD BE'!$AL$17</f>
        <v>10.509130302349831</v>
      </c>
      <c r="AP17" s="20">
        <f ca="1">+'TUSD BE'!$T$17+'TUSD BE'!$AB$17+'TUSD BE'!$AD$17+'TUSD BE'!$AL$17</f>
        <v>10.509130302349831</v>
      </c>
    </row>
    <row r="18" spans="1:42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>
        <f>'TUSD BE'!$L$18*'TUSD BE'!$L$61</f>
        <v>0</v>
      </c>
      <c r="M18" s="13">
        <f>'TUSD BE'!$M$18*'TUSD BE'!$M$61</f>
        <v>3.3803314451367285E-4</v>
      </c>
      <c r="N18" s="13">
        <f ca="1">'TUSD BE'!$N$18*'TUSD BE'!$N$61</f>
        <v>0</v>
      </c>
      <c r="O18" s="13">
        <f>'TUSD BE'!$O$18*'TUSD BE'!$O$61</f>
        <v>0</v>
      </c>
      <c r="P18" s="13">
        <f>'TUSD BE'!$P$18*'TUSD BE'!$P$61</f>
        <v>0</v>
      </c>
      <c r="Q18" s="13">
        <f>'TUSD BE'!$Q$18*'TUSD BE'!$Q$61</f>
        <v>0</v>
      </c>
      <c r="R18" s="13">
        <f>'TUSD BE'!$R$18*'TUSD BE'!$R$61</f>
        <v>0</v>
      </c>
      <c r="S18" s="13">
        <f>'TUSD BE'!$R$18*'TUSD BE'!$S$61</f>
        <v>0</v>
      </c>
      <c r="T18" s="13">
        <f ca="1">SUM($L$18:$S$18)</f>
        <v>3.3803314451367285E-4</v>
      </c>
      <c r="U18" s="13">
        <f>'TUSD BE'!$U$18*'TUSD BE'!$U$61</f>
        <v>0</v>
      </c>
      <c r="V18" s="13">
        <f>'TUSD BE'!$V$18*'TUSD BE'!$V$61</f>
        <v>0</v>
      </c>
      <c r="W18" s="13">
        <f>'TUSD BE'!$W$18*'TUSD BE'!$W$61</f>
        <v>0</v>
      </c>
      <c r="X18" s="13">
        <f>'TUSD BE'!$X$18*'TUSD BE'!$X$61</f>
        <v>0</v>
      </c>
      <c r="Y18" s="13">
        <f>'TUSD BE'!$Y$18*'TUSD BE'!$Y$61</f>
        <v>0</v>
      </c>
      <c r="Z18" s="13">
        <f>'TUSD BE'!$Z$18*'TUSD BE'!$Z$61</f>
        <v>0</v>
      </c>
      <c r="AA18" s="13">
        <f>'TUSD BE'!$AA$18*'TUSD BE'!$AA$61</f>
        <v>0</v>
      </c>
      <c r="AB18" s="13">
        <f>SUM($U$18:$AA$18)</f>
        <v>0</v>
      </c>
      <c r="AC18" s="13">
        <f>'TUSD BE'!$AC$18*'TUSD BE'!$AC$61</f>
        <v>-2.5902064980407165</v>
      </c>
      <c r="AD18" s="13">
        <f>SUM($AC$18:$AC$18)</f>
        <v>-2.5902064980407165</v>
      </c>
      <c r="AE18" s="13">
        <f ca="1">$AO$18*$AO$58</f>
        <v>0</v>
      </c>
      <c r="AF18" s="13">
        <f ca="1">$AP$18*$AP$58</f>
        <v>0</v>
      </c>
      <c r="AG18" s="13">
        <f ca="1">SUM($AE$18:$AF$18)</f>
        <v>0</v>
      </c>
      <c r="AH18" s="13">
        <f>'TUSD BE'!$AH$18*'TUSD BE'!$AH$61</f>
        <v>0</v>
      </c>
      <c r="AI18" s="13">
        <f>'TUSD BE'!$AI$18*'TUSD BE'!$AI$61</f>
        <v>0</v>
      </c>
      <c r="AJ18" s="13">
        <f ca="1">'TUSD BE'!$AJ$18*'TUSD BE'!$AJ$61</f>
        <v>0</v>
      </c>
      <c r="AK18" s="13">
        <f ca="1">'TUSD BE'!$AK$18*'TUSD BE'!$AK$61</f>
        <v>0</v>
      </c>
      <c r="AL18" s="13">
        <f ca="1">SUM($AH$18:$AK$18)</f>
        <v>0</v>
      </c>
      <c r="AM18" s="13">
        <f ca="1">SUMIF($L$4:$AL$4,"SUBTOTAL",$L$18:$AL$18)</f>
        <v>-2.5898684648962029</v>
      </c>
      <c r="AO18" s="20">
        <f ca="1">+'TUSD BE'!$T$18+'TUSD BE'!$AB$18+'TUSD BE'!$AD$18+'TUSD BE'!$AL$18</f>
        <v>8.3350457581349975</v>
      </c>
      <c r="AP18" s="20">
        <f ca="1">+'TUSD BE'!$T$18+'TUSD BE'!$AB$18+'TUSD BE'!$AD$18+'TUSD BE'!$AL$18</f>
        <v>8.3350457581349975</v>
      </c>
    </row>
    <row r="19" spans="1:42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>
        <f>'TUSD BE'!$L$19*'TUSD BE'!$L$61</f>
        <v>0</v>
      </c>
      <c r="M19" s="13">
        <f>'TUSD BE'!$M$19*'TUSD BE'!$M$61</f>
        <v>3.3803314451367285E-4</v>
      </c>
      <c r="N19" s="13">
        <f ca="1">'TUSD BE'!$N$19*'TUSD BE'!$N$61</f>
        <v>0</v>
      </c>
      <c r="O19" s="13">
        <f>'TUSD BE'!$O$19*'TUSD BE'!$O$61</f>
        <v>0</v>
      </c>
      <c r="P19" s="13">
        <f>'TUSD BE'!$P$19*'TUSD BE'!$P$61</f>
        <v>0</v>
      </c>
      <c r="Q19" s="13">
        <f>'TUSD BE'!$Q$19*'TUSD BE'!$Q$61</f>
        <v>0</v>
      </c>
      <c r="R19" s="13">
        <f>'TUSD BE'!$R$19*'TUSD BE'!$R$61</f>
        <v>0</v>
      </c>
      <c r="S19" s="13">
        <f>'TUSD BE'!$R$19*'TUSD BE'!$S$61</f>
        <v>0</v>
      </c>
      <c r="T19" s="13">
        <f ca="1">SUM($L$19:$S$19)</f>
        <v>3.3803314451367285E-4</v>
      </c>
      <c r="U19" s="13">
        <f>'TUSD BE'!$U$19*'TUSD BE'!$U$61</f>
        <v>0</v>
      </c>
      <c r="V19" s="13">
        <f>'TUSD BE'!$V$19*'TUSD BE'!$V$61</f>
        <v>0</v>
      </c>
      <c r="W19" s="13">
        <f>'TUSD BE'!$W$19*'TUSD BE'!$W$61</f>
        <v>0</v>
      </c>
      <c r="X19" s="13">
        <f>'TUSD BE'!$X$19*'TUSD BE'!$X$61</f>
        <v>0</v>
      </c>
      <c r="Y19" s="13">
        <f>'TUSD BE'!$Y$19*'TUSD BE'!$Y$61</f>
        <v>0</v>
      </c>
      <c r="Z19" s="13">
        <f>'TUSD BE'!$Z$19*'TUSD BE'!$Z$61</f>
        <v>0</v>
      </c>
      <c r="AA19" s="13">
        <f>'TUSD BE'!$AA$19*'TUSD BE'!$AA$61</f>
        <v>0</v>
      </c>
      <c r="AB19" s="13">
        <f>SUM($U$19:$AA$19)</f>
        <v>0</v>
      </c>
      <c r="AC19" s="13">
        <f>'TUSD BE'!$AC$19*'TUSD BE'!$AC$61</f>
        <v>-5.2698373562632872</v>
      </c>
      <c r="AD19" s="13">
        <f>SUM($AC$19:$AC$19)</f>
        <v>-5.2698373562632872</v>
      </c>
      <c r="AE19" s="13">
        <f ca="1">$AO$19*$AO$58</f>
        <v>0</v>
      </c>
      <c r="AF19" s="13">
        <f ca="1">$AP$19*$AP$58</f>
        <v>0</v>
      </c>
      <c r="AG19" s="13">
        <f ca="1">SUM($AE$19:$AF$19)</f>
        <v>0</v>
      </c>
      <c r="AH19" s="13">
        <f>'TUSD BE'!$AH$19*'TUSD BE'!$AH$61</f>
        <v>0</v>
      </c>
      <c r="AI19" s="13">
        <f>'TUSD BE'!$AI$19*'TUSD BE'!$AI$61</f>
        <v>0</v>
      </c>
      <c r="AJ19" s="13">
        <f ca="1">'TUSD BE'!$AJ$19*'TUSD BE'!$AJ$61</f>
        <v>0</v>
      </c>
      <c r="AK19" s="13">
        <f ca="1">'TUSD BE'!$AK$19*'TUSD BE'!$AK$61</f>
        <v>0</v>
      </c>
      <c r="AL19" s="13">
        <f ca="1">SUM($AH$19:$AK$19)</f>
        <v>0</v>
      </c>
      <c r="AM19" s="13">
        <f ca="1">SUMIF($L$4:$AL$4,"SUBTOTAL",$L$19:$AL$19)</f>
        <v>-5.2694993231187732</v>
      </c>
      <c r="AO19" s="20">
        <f ca="1">+'TUSD BE'!$T$19+'TUSD BE'!$AB$19+'TUSD BE'!$AD$19+'TUSD BE'!$AL$19</f>
        <v>16.946643819598687</v>
      </c>
      <c r="AP19" s="20">
        <f ca="1">+'TUSD BE'!$T$19+'TUSD BE'!$AB$19+'TUSD BE'!$AD$19+'TUSD BE'!$AL$19</f>
        <v>16.946643819598687</v>
      </c>
    </row>
    <row r="20" spans="1:42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>
        <f>'TUSD BE'!$L$20*'TUSD BE'!$L$61</f>
        <v>0</v>
      </c>
      <c r="M20" s="13">
        <f>'TUSD BE'!$M$20*'TUSD BE'!$M$61</f>
        <v>3.4802260327260519E-2</v>
      </c>
      <c r="N20" s="13">
        <f ca="1">'TUSD BE'!$N$20*'TUSD BE'!$N$61</f>
        <v>0</v>
      </c>
      <c r="O20" s="13">
        <f>'TUSD BE'!$O$20*'TUSD BE'!$O$61</f>
        <v>0</v>
      </c>
      <c r="P20" s="13">
        <f>'TUSD BE'!$P$20*'TUSD BE'!$P$61</f>
        <v>0</v>
      </c>
      <c r="Q20" s="13">
        <f>'TUSD BE'!$Q$20*'TUSD BE'!$Q$61</f>
        <v>2.3778471910795425</v>
      </c>
      <c r="R20" s="13">
        <f>'TUSD BE'!$R$20*'TUSD BE'!$R$61</f>
        <v>0.35774913143839271</v>
      </c>
      <c r="S20" s="13">
        <f>'TUSD BE'!$R$20*'TUSD BE'!$S$61</f>
        <v>0</v>
      </c>
      <c r="T20" s="13">
        <f ca="1">SUM($L$20:$S$20)</f>
        <v>2.7703985828451958</v>
      </c>
      <c r="U20" s="13">
        <f>'TUSD BE'!$U$20*'TUSD BE'!$U$61</f>
        <v>0</v>
      </c>
      <c r="V20" s="13">
        <f>'TUSD BE'!$V$20*'TUSD BE'!$V$61</f>
        <v>0</v>
      </c>
      <c r="W20" s="13">
        <f>'TUSD BE'!$W$20*'TUSD BE'!$W$61</f>
        <v>0</v>
      </c>
      <c r="X20" s="13">
        <f>'TUSD BE'!$X$20*'TUSD BE'!$X$61</f>
        <v>0</v>
      </c>
      <c r="Y20" s="13">
        <f>'TUSD BE'!$Y$20*'TUSD BE'!$Y$61</f>
        <v>6.5021257048099246</v>
      </c>
      <c r="Z20" s="13">
        <f>'TUSD BE'!$Z$20*'TUSD BE'!$Z$61</f>
        <v>0</v>
      </c>
      <c r="AA20" s="13">
        <f>'TUSD BE'!$AA$20*'TUSD BE'!$AA$61</f>
        <v>0</v>
      </c>
      <c r="AB20" s="13">
        <f>SUM($U$20:$AA$20)</f>
        <v>6.5021257048099246</v>
      </c>
      <c r="AC20" s="13">
        <f>'TUSD BE'!$AC$20*'TUSD BE'!$AC$61</f>
        <v>-223.20717824036007</v>
      </c>
      <c r="AD20" s="13">
        <f>SUM($AC$20:$AC$20)</f>
        <v>-223.20717824036007</v>
      </c>
      <c r="AE20" s="13">
        <f ca="1">$AO$20*$AO$58</f>
        <v>0</v>
      </c>
      <c r="AF20" s="13">
        <f ca="1">$AP$20*$AP$58</f>
        <v>0</v>
      </c>
      <c r="AG20" s="13">
        <f ca="1">SUM($AE$20:$AF$20)</f>
        <v>0</v>
      </c>
      <c r="AH20" s="13">
        <f>'TUSD BE'!$AH$20*'TUSD BE'!$AH$61</f>
        <v>-1.675341822786415</v>
      </c>
      <c r="AI20" s="13">
        <f>'TUSD BE'!$AI$20*'TUSD BE'!$AI$61</f>
        <v>-4.5982718002258699E-2</v>
      </c>
      <c r="AJ20" s="13">
        <f ca="1">'TUSD BE'!$AJ$20*'TUSD BE'!$AJ$61</f>
        <v>0</v>
      </c>
      <c r="AK20" s="13">
        <f ca="1">'TUSD BE'!$AK$20*'TUSD BE'!$AK$61</f>
        <v>0</v>
      </c>
      <c r="AL20" s="13">
        <f ca="1">SUM($AH$20:$AK$20)</f>
        <v>-1.7213245407886737</v>
      </c>
      <c r="AM20" s="13">
        <f ca="1">SUMIF($L$4:$AL$4,"SUBTOTAL",$L$20:$AL$20)</f>
        <v>-215.65597849349362</v>
      </c>
      <c r="AO20" s="20">
        <f ca="1">+'TUSD BE'!$T$20+'TUSD BE'!$AB$20+'TUSD BE'!$AD$20+'TUSD BE'!$AL$20</f>
        <v>1037.9045365135451</v>
      </c>
      <c r="AP20" s="20">
        <f ca="1">+'TUSD BE'!$T$20+'TUSD BE'!$AB$20+'TUSD BE'!$AD$20+'TUSD BE'!$AL$20</f>
        <v>1037.9045365135451</v>
      </c>
    </row>
    <row r="21" spans="1:42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>
        <f>'TUSD BE'!$L$21*'TUSD BE'!$L$61</f>
        <v>0</v>
      </c>
      <c r="M21" s="13">
        <f>'TUSD BE'!$M$21*'TUSD BE'!$M$61</f>
        <v>3.4802260327260519E-2</v>
      </c>
      <c r="N21" s="13">
        <f ca="1">'TUSD BE'!$N$21*'TUSD BE'!$N$61</f>
        <v>0</v>
      </c>
      <c r="O21" s="13">
        <f>'TUSD BE'!$O$21*'TUSD BE'!$O$61</f>
        <v>0</v>
      </c>
      <c r="P21" s="13">
        <f>'TUSD BE'!$P$21*'TUSD BE'!$P$61</f>
        <v>0</v>
      </c>
      <c r="Q21" s="13">
        <f>'TUSD BE'!$Q$21*'TUSD BE'!$Q$61</f>
        <v>2.3778471910795425</v>
      </c>
      <c r="R21" s="13">
        <f>'TUSD BE'!$R$21*'TUSD BE'!$R$61</f>
        <v>0.35774913143839271</v>
      </c>
      <c r="S21" s="13">
        <f>'TUSD BE'!$R$21*'TUSD BE'!$S$61</f>
        <v>0</v>
      </c>
      <c r="T21" s="13">
        <f ca="1">SUM($L$21:$S$21)</f>
        <v>2.7703985828451958</v>
      </c>
      <c r="U21" s="13">
        <f>'TUSD BE'!$U$21*'TUSD BE'!$U$61</f>
        <v>0</v>
      </c>
      <c r="V21" s="13">
        <f>'TUSD BE'!$V$21*'TUSD BE'!$V$61</f>
        <v>0</v>
      </c>
      <c r="W21" s="13">
        <f>'TUSD BE'!$W$21*'TUSD BE'!$W$61</f>
        <v>0</v>
      </c>
      <c r="X21" s="13">
        <f>'TUSD BE'!$X$21*'TUSD BE'!$X$61</f>
        <v>0</v>
      </c>
      <c r="Y21" s="13">
        <f>'TUSD BE'!$Y$21*'TUSD BE'!$Y$61</f>
        <v>3.9012762238558834</v>
      </c>
      <c r="Z21" s="13">
        <f>'TUSD BE'!$Z$21*'TUSD BE'!$Z$61</f>
        <v>0</v>
      </c>
      <c r="AA21" s="13">
        <f>'TUSD BE'!$AA$21*'TUSD BE'!$AA$61</f>
        <v>0</v>
      </c>
      <c r="AB21" s="13">
        <f>SUM($U$21:$AA$21)</f>
        <v>3.9012762238558834</v>
      </c>
      <c r="AC21" s="13">
        <f>'TUSD BE'!$AC$21*'TUSD BE'!$AC$61</f>
        <v>-133.92439447213792</v>
      </c>
      <c r="AD21" s="13">
        <f>SUM($AC$21:$AC$21)</f>
        <v>-133.92439447213792</v>
      </c>
      <c r="AE21" s="13">
        <f ca="1">$AO$21*$AO$58</f>
        <v>0</v>
      </c>
      <c r="AF21" s="13">
        <f ca="1">$AP$21*$AP$58</f>
        <v>0</v>
      </c>
      <c r="AG21" s="13">
        <f ca="1">SUM($AE$21:$AF$21)</f>
        <v>0</v>
      </c>
      <c r="AH21" s="13">
        <f>'TUSD BE'!$AH$21*'TUSD BE'!$AH$61</f>
        <v>-1.675341822786415</v>
      </c>
      <c r="AI21" s="13">
        <f>'TUSD BE'!$AI$21*'TUSD BE'!$AI$61</f>
        <v>-4.5982718002258699E-2</v>
      </c>
      <c r="AJ21" s="13">
        <f ca="1">'TUSD BE'!$AJ$21*'TUSD BE'!$AJ$61</f>
        <v>0</v>
      </c>
      <c r="AK21" s="13">
        <f ca="1">'TUSD BE'!$AK$21*'TUSD BE'!$AK$61</f>
        <v>0</v>
      </c>
      <c r="AL21" s="13">
        <f ca="1">SUM($AH$21:$AK$21)</f>
        <v>-1.7213245407886737</v>
      </c>
      <c r="AM21" s="13">
        <f ca="1">SUMIF($L$4:$AL$4,"SUBTOTAL",$L$21:$AL$21)</f>
        <v>-128.97404420622553</v>
      </c>
      <c r="AO21" s="20">
        <f ca="1">+'TUSD BE'!$T$21+'TUSD BE'!$AB$21+'TUSD BE'!$AD$21+'TUSD BE'!$AL$21</f>
        <v>675.20132246377875</v>
      </c>
      <c r="AP21" s="20">
        <f ca="1">+'TUSD BE'!$T$21+'TUSD BE'!$AB$21+'TUSD BE'!$AD$21+'TUSD BE'!$AL$21</f>
        <v>675.20132246377875</v>
      </c>
    </row>
    <row r="22" spans="1:42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>
        <f>'TUSD BE'!$L$22*'TUSD BE'!$L$61</f>
        <v>0</v>
      </c>
      <c r="M22" s="13">
        <f>'TUSD BE'!$M$22*'TUSD BE'!$M$61</f>
        <v>3.4802260327260519E-2</v>
      </c>
      <c r="N22" s="13">
        <f ca="1">'TUSD BE'!$N$22*'TUSD BE'!$N$61</f>
        <v>0</v>
      </c>
      <c r="O22" s="13">
        <f>'TUSD BE'!$O$22*'TUSD BE'!$O$61</f>
        <v>0</v>
      </c>
      <c r="P22" s="13">
        <f>'TUSD BE'!$P$22*'TUSD BE'!$P$61</f>
        <v>0</v>
      </c>
      <c r="Q22" s="13">
        <f>'TUSD BE'!$Q$22*'TUSD BE'!$Q$61</f>
        <v>2.3778471910795425</v>
      </c>
      <c r="R22" s="13">
        <f>'TUSD BE'!$R$22*'TUSD BE'!$R$61</f>
        <v>0.35774913143839271</v>
      </c>
      <c r="S22" s="13">
        <f>'TUSD BE'!$R$22*'TUSD BE'!$S$61</f>
        <v>0</v>
      </c>
      <c r="T22" s="13">
        <f ca="1">SUM($L$22:$S$22)</f>
        <v>2.7703985828451958</v>
      </c>
      <c r="U22" s="13">
        <f>'TUSD BE'!$U$22*'TUSD BE'!$U$61</f>
        <v>0</v>
      </c>
      <c r="V22" s="13">
        <f>'TUSD BE'!$V$22*'TUSD BE'!$V$61</f>
        <v>0</v>
      </c>
      <c r="W22" s="13">
        <f>'TUSD BE'!$W$22*'TUSD BE'!$W$61</f>
        <v>0</v>
      </c>
      <c r="X22" s="13">
        <f>'TUSD BE'!$X$22*'TUSD BE'!$X$61</f>
        <v>0</v>
      </c>
      <c r="Y22" s="13">
        <f>'TUSD BE'!$Y$22*'TUSD BE'!$Y$61</f>
        <v>1.3016161832465221</v>
      </c>
      <c r="Z22" s="13">
        <f>'TUSD BE'!$Z$22*'TUSD BE'!$Z$61</f>
        <v>0</v>
      </c>
      <c r="AA22" s="13">
        <f>'TUSD BE'!$AA$22*'TUSD BE'!$AA$61</f>
        <v>0</v>
      </c>
      <c r="AB22" s="13">
        <f>SUM($U$22:$AA$22)</f>
        <v>1.3016161832465221</v>
      </c>
      <c r="AC22" s="13">
        <f>'TUSD BE'!$AC$22*'TUSD BE'!$AC$61</f>
        <v>-44.64139188411108</v>
      </c>
      <c r="AD22" s="13">
        <f>SUM($AC$22:$AC$22)</f>
        <v>-44.64139188411108</v>
      </c>
      <c r="AE22" s="13">
        <f ca="1">$AO$22*$AO$58</f>
        <v>0</v>
      </c>
      <c r="AF22" s="13">
        <f ca="1">$AP$22*$AP$58</f>
        <v>0</v>
      </c>
      <c r="AG22" s="13">
        <f ca="1">SUM($AE$22:$AF$22)</f>
        <v>0</v>
      </c>
      <c r="AH22" s="13">
        <f>'TUSD BE'!$AH$22*'TUSD BE'!$AH$61</f>
        <v>-1.675341822786415</v>
      </c>
      <c r="AI22" s="13">
        <f>'TUSD BE'!$AI$22*'TUSD BE'!$AI$61</f>
        <v>-4.5982718002258699E-2</v>
      </c>
      <c r="AJ22" s="13">
        <f ca="1">'TUSD BE'!$AJ$22*'TUSD BE'!$AJ$61</f>
        <v>0</v>
      </c>
      <c r="AK22" s="13">
        <f ca="1">'TUSD BE'!$AK$22*'TUSD BE'!$AK$61</f>
        <v>0</v>
      </c>
      <c r="AL22" s="13">
        <f ca="1">SUM($AH$22:$AK$22)</f>
        <v>-1.7213245407886737</v>
      </c>
      <c r="AM22" s="13">
        <f ca="1">SUMIF($L$4:$AL$4,"SUBTOTAL",$L$22:$AL$22)</f>
        <v>-42.290701658808032</v>
      </c>
      <c r="AO22" s="20">
        <f ca="1">+'TUSD BE'!$T$22+'TUSD BE'!$AB$22+'TUSD BE'!$AD$22+'TUSD BE'!$AL$22</f>
        <v>312.53205820730005</v>
      </c>
      <c r="AP22" s="20">
        <f ca="1">+'TUSD BE'!$T$22+'TUSD BE'!$AB$22+'TUSD BE'!$AD$22+'TUSD BE'!$AL$22</f>
        <v>312.53205820730005</v>
      </c>
    </row>
    <row r="23" spans="1:42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>
        <f>'TUSD BE'!$L$23*'TUSD BE'!$L$61</f>
        <v>0</v>
      </c>
      <c r="M23" s="13">
        <f>'TUSD BE'!$M$23*'TUSD BE'!$M$61</f>
        <v>3.4802260327260519E-2</v>
      </c>
      <c r="N23" s="13">
        <f ca="1">'TUSD BE'!$N$23*'TUSD BE'!$N$61</f>
        <v>0</v>
      </c>
      <c r="O23" s="13">
        <f>'TUSD BE'!$O$23*'TUSD BE'!$O$61</f>
        <v>0</v>
      </c>
      <c r="P23" s="13">
        <f>'TUSD BE'!$P$23*'TUSD BE'!$P$61</f>
        <v>0</v>
      </c>
      <c r="Q23" s="13">
        <f>'TUSD BE'!$Q$23*'TUSD BE'!$Q$61</f>
        <v>2.3778471910795425</v>
      </c>
      <c r="R23" s="13">
        <f>'TUSD BE'!$R$23*'TUSD BE'!$R$61</f>
        <v>0.35774913143839271</v>
      </c>
      <c r="S23" s="13">
        <f>'TUSD BE'!$R$23*'TUSD BE'!$S$61</f>
        <v>0</v>
      </c>
      <c r="T23" s="13">
        <f ca="1">SUM($L$23:$S$23)</f>
        <v>2.7703985828451958</v>
      </c>
      <c r="U23" s="13">
        <f>'TUSD BE'!$U$23*'TUSD BE'!$U$61</f>
        <v>0</v>
      </c>
      <c r="V23" s="13">
        <f>'TUSD BE'!$V$23*'TUSD BE'!$V$61</f>
        <v>0</v>
      </c>
      <c r="W23" s="13">
        <f>'TUSD BE'!$W$23*'TUSD BE'!$W$61</f>
        <v>0</v>
      </c>
      <c r="X23" s="13">
        <f>'TUSD BE'!$X$23*'TUSD BE'!$X$61</f>
        <v>0</v>
      </c>
      <c r="Y23" s="13">
        <f>'TUSD BE'!$Y$23*'TUSD BE'!$Y$61</f>
        <v>2.4070948551103224</v>
      </c>
      <c r="Z23" s="13">
        <f>'TUSD BE'!$Z$23*'TUSD BE'!$Z$61</f>
        <v>0</v>
      </c>
      <c r="AA23" s="13">
        <f>'TUSD BE'!$AA$23*'TUSD BE'!$AA$61</f>
        <v>0</v>
      </c>
      <c r="AB23" s="13">
        <f>SUM($U$23:$AA$23)</f>
        <v>2.4070948551103224</v>
      </c>
      <c r="AC23" s="13">
        <f>'TUSD BE'!$AC$23*'TUSD BE'!$AC$61</f>
        <v>-82.669356341216755</v>
      </c>
      <c r="AD23" s="13">
        <f>SUM($AC$23:$AC$23)</f>
        <v>-82.669356341216755</v>
      </c>
      <c r="AE23" s="13">
        <f ca="1">$AO$23*$AO$58</f>
        <v>0</v>
      </c>
      <c r="AF23" s="13">
        <f ca="1">$AP$23*$AP$58</f>
        <v>0</v>
      </c>
      <c r="AG23" s="13">
        <f ca="1">SUM($AE$23:$AF$23)</f>
        <v>0</v>
      </c>
      <c r="AH23" s="13">
        <f>'TUSD BE'!$AH$23*'TUSD BE'!$AH$61</f>
        <v>-1.675341822786415</v>
      </c>
      <c r="AI23" s="13">
        <f>'TUSD BE'!$AI$23*'TUSD BE'!$AI$61</f>
        <v>-4.5982718002258699E-2</v>
      </c>
      <c r="AJ23" s="13">
        <f ca="1">'TUSD BE'!$AJ$23*'TUSD BE'!$AJ$61</f>
        <v>0</v>
      </c>
      <c r="AK23" s="13">
        <f ca="1">'TUSD BE'!$AK$23*'TUSD BE'!$AK$61</f>
        <v>0</v>
      </c>
      <c r="AL23" s="13">
        <f ca="1">SUM($AH$23:$AK$23)</f>
        <v>-1.7213245407886737</v>
      </c>
      <c r="AM23" s="13">
        <f ca="1">SUMIF($L$4:$AL$4,"SUBTOTAL",$L$23:$AL$23)</f>
        <v>-79.213187444049908</v>
      </c>
      <c r="AO23" s="20">
        <f ca="1">+'TUSD BE'!$T$23+'TUSD BE'!$AB$23+'TUSD BE'!$AD$23+'TUSD BE'!$AL$23</f>
        <v>466.95038811523096</v>
      </c>
      <c r="AP23" s="20">
        <f ca="1">+'TUSD BE'!$T$23+'TUSD BE'!$AB$23+'TUSD BE'!$AD$23+'TUSD BE'!$AL$23</f>
        <v>466.95038811523096</v>
      </c>
    </row>
    <row r="24" spans="1:42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>
        <f>'TUSD BE'!$L$24*'TUSD BE'!$L$61</f>
        <v>0</v>
      </c>
      <c r="M24" s="13">
        <f>'TUSD BE'!$M$24*'TUSD BE'!$M$61</f>
        <v>3.4802260327260519E-2</v>
      </c>
      <c r="N24" s="13">
        <f ca="1">'TUSD BE'!$N$24*'TUSD BE'!$N$61</f>
        <v>0</v>
      </c>
      <c r="O24" s="13">
        <f>'TUSD BE'!$O$24*'TUSD BE'!$O$61</f>
        <v>0</v>
      </c>
      <c r="P24" s="13">
        <f>'TUSD BE'!$P$24*'TUSD BE'!$P$61</f>
        <v>0</v>
      </c>
      <c r="Q24" s="13">
        <f>'TUSD BE'!$Q$24*'TUSD BE'!$Q$61</f>
        <v>0</v>
      </c>
      <c r="R24" s="13">
        <f>'TUSD BE'!$R$24*'TUSD BE'!$R$61</f>
        <v>0</v>
      </c>
      <c r="S24" s="13">
        <f>'TUSD BE'!$R$24*'TUSD BE'!$S$61</f>
        <v>0</v>
      </c>
      <c r="T24" s="13">
        <f ca="1">SUM($L$24:$S$24)</f>
        <v>3.4802260327260519E-2</v>
      </c>
      <c r="U24" s="13">
        <f>'TUSD BE'!$U$24*'TUSD BE'!$U$61</f>
        <v>0</v>
      </c>
      <c r="V24" s="13">
        <f>'TUSD BE'!$V$24*'TUSD BE'!$V$61</f>
        <v>0</v>
      </c>
      <c r="W24" s="13">
        <f>'TUSD BE'!$W$24*'TUSD BE'!$W$61</f>
        <v>0</v>
      </c>
      <c r="X24" s="13">
        <f>'TUSD BE'!$X$24*'TUSD BE'!$X$61</f>
        <v>0</v>
      </c>
      <c r="Y24" s="13">
        <f>'TUSD BE'!$Y$24*'TUSD BE'!$Y$61</f>
        <v>2.4070948551103224</v>
      </c>
      <c r="Z24" s="13">
        <f>'TUSD BE'!$Z$24*'TUSD BE'!$Z$61</f>
        <v>0</v>
      </c>
      <c r="AA24" s="13">
        <f>'TUSD BE'!$AA$24*'TUSD BE'!$AA$61</f>
        <v>0</v>
      </c>
      <c r="AB24" s="13">
        <f>SUM($U$24:$AA$24)</f>
        <v>2.4070948551103224</v>
      </c>
      <c r="AC24" s="13">
        <f>'TUSD BE'!$AC$24*'TUSD BE'!$AC$61</f>
        <v>-82.669356341216755</v>
      </c>
      <c r="AD24" s="13">
        <f>SUM($AC$24:$AC$24)</f>
        <v>-82.669356341216755</v>
      </c>
      <c r="AE24" s="13">
        <f ca="1">$AO$24*$AO$58</f>
        <v>0</v>
      </c>
      <c r="AF24" s="13">
        <f ca="1">$AP$24*$AP$58</f>
        <v>0</v>
      </c>
      <c r="AG24" s="13">
        <f ca="1">SUM($AE$24:$AF$24)</f>
        <v>0</v>
      </c>
      <c r="AH24" s="13">
        <f>'TUSD BE'!$AH$24*'TUSD BE'!$AH$61</f>
        <v>-1.675341822786415</v>
      </c>
      <c r="AI24" s="13">
        <f>'TUSD BE'!$AI$24*'TUSD BE'!$AI$61</f>
        <v>-4.5982718002258699E-2</v>
      </c>
      <c r="AJ24" s="13">
        <f ca="1">'TUSD BE'!$AJ$24*'TUSD BE'!$AJ$61</f>
        <v>0</v>
      </c>
      <c r="AK24" s="13">
        <f ca="1">'TUSD BE'!$AK$24*'TUSD BE'!$AK$61</f>
        <v>0</v>
      </c>
      <c r="AL24" s="13">
        <f ca="1">SUM($AH$24:$AK$24)</f>
        <v>-1.7213245407886737</v>
      </c>
      <c r="AM24" s="13">
        <f ca="1">SUMIF($L$4:$AL$4,"SUBTOTAL",$L$24:$AL$24)</f>
        <v>-81.948783766567843</v>
      </c>
      <c r="AO24" s="20">
        <f ca="1">+'TUSD BE'!$T$24+'TUSD BE'!$AB$24+'TUSD BE'!$AD$24+'TUSD BE'!$AL$24</f>
        <v>361.757929311574</v>
      </c>
      <c r="AP24" s="20">
        <f ca="1">+'TUSD BE'!$T$24+'TUSD BE'!$AB$24+'TUSD BE'!$AD$24+'TUSD BE'!$AL$24</f>
        <v>361.757929311574</v>
      </c>
    </row>
    <row r="25" spans="1:42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>
        <f>'TUSD BE'!$L$25*'TUSD BE'!$L$61</f>
        <v>0</v>
      </c>
      <c r="M25" s="13">
        <f>'TUSD BE'!$M$25*'TUSD BE'!$M$61</f>
        <v>3.4802260327260519E-2</v>
      </c>
      <c r="N25" s="13">
        <f ca="1">'TUSD BE'!$N$25*'TUSD BE'!$N$61</f>
        <v>0</v>
      </c>
      <c r="O25" s="13">
        <f>'TUSD BE'!$O$25*'TUSD BE'!$O$61</f>
        <v>0</v>
      </c>
      <c r="P25" s="13">
        <f>'TUSD BE'!$P$25*'TUSD BE'!$P$61</f>
        <v>0</v>
      </c>
      <c r="Q25" s="13">
        <f>'TUSD BE'!$Q$25*'TUSD BE'!$Q$61</f>
        <v>0</v>
      </c>
      <c r="R25" s="13">
        <f>'TUSD BE'!$R$25*'TUSD BE'!$R$61</f>
        <v>0</v>
      </c>
      <c r="S25" s="13">
        <f>'TUSD BE'!$R$25*'TUSD BE'!$S$61</f>
        <v>0</v>
      </c>
      <c r="T25" s="13">
        <f ca="1">SUM($L$25:$S$25)</f>
        <v>3.4802260327260519E-2</v>
      </c>
      <c r="U25" s="13">
        <f>'TUSD BE'!$U$25*'TUSD BE'!$U$61</f>
        <v>0</v>
      </c>
      <c r="V25" s="13">
        <f>'TUSD BE'!$V$25*'TUSD BE'!$V$61</f>
        <v>0</v>
      </c>
      <c r="W25" s="13">
        <f>'TUSD BE'!$W$25*'TUSD BE'!$W$61</f>
        <v>0</v>
      </c>
      <c r="X25" s="13">
        <f>'TUSD BE'!$X$25*'TUSD BE'!$X$61</f>
        <v>0</v>
      </c>
      <c r="Y25" s="13">
        <f>'TUSD BE'!$Y$25*'TUSD BE'!$Y$61</f>
        <v>2.4070948551103224</v>
      </c>
      <c r="Z25" s="13">
        <f>'TUSD BE'!$Z$25*'TUSD BE'!$Z$61</f>
        <v>0</v>
      </c>
      <c r="AA25" s="13">
        <f>'TUSD BE'!$AA$25*'TUSD BE'!$AA$61</f>
        <v>0</v>
      </c>
      <c r="AB25" s="13">
        <f>SUM($U$25:$AA$25)</f>
        <v>2.4070948551103224</v>
      </c>
      <c r="AC25" s="13">
        <f>'TUSD BE'!$AC$25*'TUSD BE'!$AC$61</f>
        <v>-82.669356341216755</v>
      </c>
      <c r="AD25" s="13">
        <f>SUM($AC$25:$AC$25)</f>
        <v>-82.669356341216755</v>
      </c>
      <c r="AE25" s="13">
        <f ca="1">$AO$25*$AO$58</f>
        <v>0</v>
      </c>
      <c r="AF25" s="13">
        <f ca="1">$AP$25*$AP$58</f>
        <v>0</v>
      </c>
      <c r="AG25" s="13">
        <f ca="1">SUM($AE$25:$AF$25)</f>
        <v>0</v>
      </c>
      <c r="AH25" s="13">
        <f>'TUSD BE'!$AH$25*'TUSD BE'!$AH$61</f>
        <v>-1.675341822786415</v>
      </c>
      <c r="AI25" s="13">
        <f>'TUSD BE'!$AI$25*'TUSD BE'!$AI$61</f>
        <v>-4.5982718002258699E-2</v>
      </c>
      <c r="AJ25" s="13">
        <f ca="1">'TUSD BE'!$AJ$25*'TUSD BE'!$AJ$61</f>
        <v>0</v>
      </c>
      <c r="AK25" s="13">
        <f ca="1">'TUSD BE'!$AK$25*'TUSD BE'!$AK$61</f>
        <v>0</v>
      </c>
      <c r="AL25" s="13">
        <f ca="1">SUM($AH$25:$AK$25)</f>
        <v>-1.7213245407886737</v>
      </c>
      <c r="AM25" s="13">
        <f ca="1">SUMIF($L$4:$AL$4,"SUBTOTAL",$L$25:$AL$25)</f>
        <v>-81.948783766567843</v>
      </c>
      <c r="AO25" s="20">
        <f ca="1">+'TUSD BE'!$T$25+'TUSD BE'!$AB$25+'TUSD BE'!$AD$25+'TUSD BE'!$AL$25</f>
        <v>361.757929311574</v>
      </c>
      <c r="AP25" s="20">
        <f ca="1">+'TUSD BE'!$T$25+'TUSD BE'!$AB$25+'TUSD BE'!$AD$25+'TUSD BE'!$AL$25</f>
        <v>361.757929311574</v>
      </c>
    </row>
    <row r="26" spans="1:42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>
        <f>'TUSD BE'!$L$26*'TUSD BE'!$L$61</f>
        <v>0</v>
      </c>
      <c r="M26" s="13">
        <f>'TUSD BE'!$M$26*'TUSD BE'!$M$61</f>
        <v>3.4802260327260519E-2</v>
      </c>
      <c r="N26" s="13">
        <f ca="1">'TUSD BE'!$N$26*'TUSD BE'!$N$61</f>
        <v>0</v>
      </c>
      <c r="O26" s="13">
        <f>'TUSD BE'!$O$26*'TUSD BE'!$O$61</f>
        <v>0</v>
      </c>
      <c r="P26" s="13">
        <f>'TUSD BE'!$P$26*'TUSD BE'!$P$61</f>
        <v>0</v>
      </c>
      <c r="Q26" s="13">
        <f>'TUSD BE'!$Q$26*'TUSD BE'!$Q$61</f>
        <v>0</v>
      </c>
      <c r="R26" s="13">
        <f>'TUSD BE'!$R$26*'TUSD BE'!$R$61</f>
        <v>0</v>
      </c>
      <c r="S26" s="13">
        <f>'TUSD BE'!$R$26*'TUSD BE'!$S$61</f>
        <v>0</v>
      </c>
      <c r="T26" s="13">
        <f ca="1">SUM($L$26:$S$26)</f>
        <v>3.4802260327260519E-2</v>
      </c>
      <c r="U26" s="13">
        <f>'TUSD BE'!$U$26*'TUSD BE'!$U$61</f>
        <v>0</v>
      </c>
      <c r="V26" s="13">
        <f>'TUSD BE'!$V$26*'TUSD BE'!$V$61</f>
        <v>0</v>
      </c>
      <c r="W26" s="13">
        <f>'TUSD BE'!$W$26*'TUSD BE'!$W$61</f>
        <v>0</v>
      </c>
      <c r="X26" s="13">
        <f>'TUSD BE'!$X$26*'TUSD BE'!$X$61</f>
        <v>0</v>
      </c>
      <c r="Y26" s="13">
        <f>'TUSD BE'!$Y$26*'TUSD BE'!$Y$61</f>
        <v>2.4070948551103224</v>
      </c>
      <c r="Z26" s="13">
        <f>'TUSD BE'!$Z$26*'TUSD BE'!$Z$61</f>
        <v>0</v>
      </c>
      <c r="AA26" s="13">
        <f>'TUSD BE'!$AA$26*'TUSD BE'!$AA$61</f>
        <v>0</v>
      </c>
      <c r="AB26" s="13">
        <f>SUM($U$26:$AA$26)</f>
        <v>2.4070948551103224</v>
      </c>
      <c r="AC26" s="13">
        <f>'TUSD BE'!$AC$26*'TUSD BE'!$AC$61</f>
        <v>-82.669356341216755</v>
      </c>
      <c r="AD26" s="13">
        <f>SUM($AC$26:$AC$26)</f>
        <v>-82.669356341216755</v>
      </c>
      <c r="AE26" s="13">
        <f ca="1">$AO$26*$AO$58</f>
        <v>0</v>
      </c>
      <c r="AF26" s="13">
        <f ca="1">$AP$26*$AP$58</f>
        <v>0</v>
      </c>
      <c r="AG26" s="13">
        <f ca="1">SUM($AE$26:$AF$26)</f>
        <v>0</v>
      </c>
      <c r="AH26" s="13">
        <f>'TUSD BE'!$AH$26*'TUSD BE'!$AH$61</f>
        <v>-1.675341822786415</v>
      </c>
      <c r="AI26" s="13">
        <f>'TUSD BE'!$AI$26*'TUSD BE'!$AI$61</f>
        <v>-4.5982718002258699E-2</v>
      </c>
      <c r="AJ26" s="13">
        <f ca="1">'TUSD BE'!$AJ$26*'TUSD BE'!$AJ$61</f>
        <v>0</v>
      </c>
      <c r="AK26" s="13">
        <f ca="1">'TUSD BE'!$AK$26*'TUSD BE'!$AK$61</f>
        <v>0</v>
      </c>
      <c r="AL26" s="13">
        <f ca="1">SUM($AH$26:$AK$26)</f>
        <v>-1.7213245407886737</v>
      </c>
      <c r="AM26" s="13">
        <f ca="1">SUMIF($L$4:$AL$4,"SUBTOTAL",$L$26:$AL$26)</f>
        <v>-81.948783766567843</v>
      </c>
      <c r="AO26" s="20">
        <f ca="1">+'TUSD BE'!$T$26+'TUSD BE'!$AB$26+'TUSD BE'!$AD$26+'TUSD BE'!$AL$26</f>
        <v>361.757929311574</v>
      </c>
      <c r="AP26" s="20">
        <f ca="1">+'TUSD BE'!$T$26+'TUSD BE'!$AB$26+'TUSD BE'!$AD$26+'TUSD BE'!$AL$26</f>
        <v>361.757929311574</v>
      </c>
    </row>
    <row r="27" spans="1:42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>
        <f>'TUSD BE'!$L$27*'TUSD BE'!$L$61</f>
        <v>0</v>
      </c>
      <c r="M27" s="13">
        <f>'TUSD BE'!$M$27*'TUSD BE'!$M$61</f>
        <v>3.4802260327260519E-2</v>
      </c>
      <c r="N27" s="13">
        <f ca="1">'TUSD BE'!$N$27*'TUSD BE'!$N$61</f>
        <v>0</v>
      </c>
      <c r="O27" s="13">
        <f>'TUSD BE'!$O$27*'TUSD BE'!$O$61</f>
        <v>0</v>
      </c>
      <c r="P27" s="13">
        <f>'TUSD BE'!$P$27*'TUSD BE'!$P$61</f>
        <v>0</v>
      </c>
      <c r="Q27" s="13">
        <f>'TUSD BE'!$Q$27*'TUSD BE'!$Q$61</f>
        <v>0</v>
      </c>
      <c r="R27" s="13">
        <f>'TUSD BE'!$R$27*'TUSD BE'!$R$61</f>
        <v>0</v>
      </c>
      <c r="S27" s="13">
        <f>'TUSD BE'!$R$27*'TUSD BE'!$S$61</f>
        <v>0</v>
      </c>
      <c r="T27" s="13">
        <f ca="1">SUM($L$27:$S$27)</f>
        <v>3.4802260327260519E-2</v>
      </c>
      <c r="U27" s="13">
        <f>'TUSD BE'!$U$27*'TUSD BE'!$U$61</f>
        <v>0</v>
      </c>
      <c r="V27" s="13">
        <f>'TUSD BE'!$V$27*'TUSD BE'!$V$61</f>
        <v>0</v>
      </c>
      <c r="W27" s="13">
        <f>'TUSD BE'!$W$27*'TUSD BE'!$W$61</f>
        <v>0</v>
      </c>
      <c r="X27" s="13">
        <f>'TUSD BE'!$X$27*'TUSD BE'!$X$61</f>
        <v>0</v>
      </c>
      <c r="Y27" s="13">
        <f>'TUSD BE'!$Y$27*'TUSD BE'!$Y$61</f>
        <v>2.4070948551103224</v>
      </c>
      <c r="Z27" s="13">
        <f>'TUSD BE'!$Z$27*'TUSD BE'!$Z$61</f>
        <v>0</v>
      </c>
      <c r="AA27" s="13">
        <f>'TUSD BE'!$AA$27*'TUSD BE'!$AA$61</f>
        <v>0</v>
      </c>
      <c r="AB27" s="13">
        <f>SUM($U$27:$AA$27)</f>
        <v>2.4070948551103224</v>
      </c>
      <c r="AC27" s="13">
        <f>'TUSD BE'!$AC$27*'TUSD BE'!$AC$61</f>
        <v>-82.669356341216755</v>
      </c>
      <c r="AD27" s="13">
        <f>SUM($AC$27:$AC$27)</f>
        <v>-82.669356341216755</v>
      </c>
      <c r="AE27" s="13">
        <f ca="1">$AO$27*$AO$58</f>
        <v>0</v>
      </c>
      <c r="AF27" s="13">
        <f ca="1">$AP$27*$AP$58</f>
        <v>0</v>
      </c>
      <c r="AG27" s="13">
        <f ca="1">SUM($AE$27:$AF$27)</f>
        <v>0</v>
      </c>
      <c r="AH27" s="13">
        <f>'TUSD BE'!$AH$27*'TUSD BE'!$AH$61</f>
        <v>-1.675341822786415</v>
      </c>
      <c r="AI27" s="13">
        <f>'TUSD BE'!$AI$27*'TUSD BE'!$AI$61</f>
        <v>-4.5982718002258699E-2</v>
      </c>
      <c r="AJ27" s="13">
        <f ca="1">'TUSD BE'!$AJ$27*'TUSD BE'!$AJ$61</f>
        <v>0</v>
      </c>
      <c r="AK27" s="13">
        <f ca="1">'TUSD BE'!$AK$27*'TUSD BE'!$AK$61</f>
        <v>0</v>
      </c>
      <c r="AL27" s="13">
        <f ca="1">SUM($AH$27:$AK$27)</f>
        <v>-1.7213245407886737</v>
      </c>
      <c r="AM27" s="13">
        <f ca="1">SUMIF($L$4:$AL$4,"SUBTOTAL",$L$27:$AL$27)</f>
        <v>-81.948783766567843</v>
      </c>
      <c r="AO27" s="20">
        <f ca="1">+'TUSD BE'!$T$27+'TUSD BE'!$AB$27+'TUSD BE'!$AD$27+'TUSD BE'!$AL$27</f>
        <v>361.757929311574</v>
      </c>
      <c r="AP27" s="20">
        <f ca="1">+'TUSD BE'!$T$27+'TUSD BE'!$AB$27+'TUSD BE'!$AD$27+'TUSD BE'!$AL$27</f>
        <v>361.757929311574</v>
      </c>
    </row>
    <row r="28" spans="1:42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>
        <f>'TUSD BE'!$L$28*'TUSD BE'!$L$61</f>
        <v>0</v>
      </c>
      <c r="M28" s="13">
        <f>'TUSD BE'!$M$28*'TUSD BE'!$M$61</f>
        <v>3.4802260327260519E-2</v>
      </c>
      <c r="N28" s="13">
        <f ca="1">'TUSD BE'!$N$28*'TUSD BE'!$N$61</f>
        <v>0</v>
      </c>
      <c r="O28" s="13">
        <f>'TUSD BE'!$O$28*'TUSD BE'!$O$61</f>
        <v>0</v>
      </c>
      <c r="P28" s="13">
        <f>'TUSD BE'!$P$28*'TUSD BE'!$P$61</f>
        <v>0</v>
      </c>
      <c r="Q28" s="13">
        <f>'TUSD BE'!$Q$28*'TUSD BE'!$Q$61</f>
        <v>2.3778471910795425</v>
      </c>
      <c r="R28" s="13">
        <f>'TUSD BE'!$R$28*'TUSD BE'!$R$61</f>
        <v>0.35774913143839271</v>
      </c>
      <c r="S28" s="13">
        <f>'TUSD BE'!$R$28*'TUSD BE'!$S$61</f>
        <v>0</v>
      </c>
      <c r="T28" s="13">
        <f ca="1">SUM($L$28:$S$28)</f>
        <v>2.7703985828451958</v>
      </c>
      <c r="U28" s="13">
        <f>'TUSD BE'!$U$28*'TUSD BE'!$U$61</f>
        <v>0</v>
      </c>
      <c r="V28" s="13">
        <f>'TUSD BE'!$V$28*'TUSD BE'!$V$61</f>
        <v>0</v>
      </c>
      <c r="W28" s="13">
        <f>'TUSD BE'!$W$28*'TUSD BE'!$W$61</f>
        <v>0</v>
      </c>
      <c r="X28" s="13">
        <f>'TUSD BE'!$X$28*'TUSD BE'!$X$61</f>
        <v>0</v>
      </c>
      <c r="Y28" s="13">
        <f>'TUSD BE'!$Y$28*'TUSD BE'!$Y$61</f>
        <v>2.4070948551103224</v>
      </c>
      <c r="Z28" s="13">
        <f>'TUSD BE'!$Z$28*'TUSD BE'!$Z$61</f>
        <v>0</v>
      </c>
      <c r="AA28" s="13">
        <f>'TUSD BE'!$AA$28*'TUSD BE'!$AA$61</f>
        <v>0</v>
      </c>
      <c r="AB28" s="13">
        <f>SUM($U$28:$AA$28)</f>
        <v>2.4070948551103224</v>
      </c>
      <c r="AC28" s="13">
        <f>'TUSD BE'!$AC$28*'TUSD BE'!$AC$61</f>
        <v>-82.669356341216755</v>
      </c>
      <c r="AD28" s="13">
        <f>SUM($AC$28:$AC$28)</f>
        <v>-82.669356341216755</v>
      </c>
      <c r="AE28" s="13">
        <f ca="1">$AO$28*$AO$58</f>
        <v>0</v>
      </c>
      <c r="AF28" s="13">
        <f ca="1">$AP$28*$AP$58</f>
        <v>0</v>
      </c>
      <c r="AG28" s="13">
        <f ca="1">SUM($AE$28:$AF$28)</f>
        <v>0</v>
      </c>
      <c r="AH28" s="13">
        <f>'TUSD BE'!$AH$28*'TUSD BE'!$AH$61</f>
        <v>-1.675341822786415</v>
      </c>
      <c r="AI28" s="13">
        <f>'TUSD BE'!$AI$28*'TUSD BE'!$AI$61</f>
        <v>-4.5982718002258699E-2</v>
      </c>
      <c r="AJ28" s="13">
        <f ca="1">'TUSD BE'!$AJ$28*'TUSD BE'!$AJ$61</f>
        <v>0</v>
      </c>
      <c r="AK28" s="13">
        <f ca="1">'TUSD BE'!$AK$28*'TUSD BE'!$AK$61</f>
        <v>0</v>
      </c>
      <c r="AL28" s="13">
        <f ca="1">SUM($AH$28:$AK$28)</f>
        <v>-1.7213245407886737</v>
      </c>
      <c r="AM28" s="13">
        <f ca="1">SUMIF($L$4:$AL$4,"SUBTOTAL",$L$28:$AL$28)</f>
        <v>-79.213187444049908</v>
      </c>
      <c r="AO28" s="20">
        <f ca="1">+'TUSD BE'!$T$28+'TUSD BE'!$AB$28+'TUSD BE'!$AD$28+'TUSD BE'!$AL$28</f>
        <v>466.95038811523096</v>
      </c>
      <c r="AP28" s="20">
        <f ca="1">+'TUSD BE'!$T$28+'TUSD BE'!$AB$28+'TUSD BE'!$AD$28+'TUSD BE'!$AL$28</f>
        <v>466.95038811523096</v>
      </c>
    </row>
    <row r="29" spans="1:42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>
        <f>'TUSD BE'!$L$29*'TUSD BE'!$L$61</f>
        <v>0</v>
      </c>
      <c r="M29" s="13">
        <f>'TUSD BE'!$M$29*'TUSD BE'!$M$61</f>
        <v>3.4802260327260519E-2</v>
      </c>
      <c r="N29" s="13">
        <f ca="1">'TUSD BE'!$N$29*'TUSD BE'!$N$61</f>
        <v>0</v>
      </c>
      <c r="O29" s="13">
        <f>'TUSD BE'!$O$29*'TUSD BE'!$O$61</f>
        <v>0</v>
      </c>
      <c r="P29" s="13">
        <f>'TUSD BE'!$P$29*'TUSD BE'!$P$61</f>
        <v>0</v>
      </c>
      <c r="Q29" s="13">
        <f>'TUSD BE'!$Q$29*'TUSD BE'!$Q$61</f>
        <v>0</v>
      </c>
      <c r="R29" s="13">
        <f>'TUSD BE'!$R$29*'TUSD BE'!$R$61</f>
        <v>0</v>
      </c>
      <c r="S29" s="13">
        <f>'TUSD BE'!$R$29*'TUSD BE'!$S$61</f>
        <v>0</v>
      </c>
      <c r="T29" s="13">
        <f ca="1">SUM($L$29:$S$29)</f>
        <v>3.4802260327260519E-2</v>
      </c>
      <c r="U29" s="13">
        <f>'TUSD BE'!$U$29*'TUSD BE'!$U$61</f>
        <v>0</v>
      </c>
      <c r="V29" s="13">
        <f>'TUSD BE'!$V$29*'TUSD BE'!$V$61</f>
        <v>0</v>
      </c>
      <c r="W29" s="13">
        <f>'TUSD BE'!$W$29*'TUSD BE'!$W$61</f>
        <v>0</v>
      </c>
      <c r="X29" s="13">
        <f>'TUSD BE'!$X$29*'TUSD BE'!$X$61</f>
        <v>0</v>
      </c>
      <c r="Y29" s="13">
        <f>'TUSD BE'!$Y$29*'TUSD BE'!$Y$61</f>
        <v>2.4070948551103224</v>
      </c>
      <c r="Z29" s="13">
        <f>'TUSD BE'!$Z$29*'TUSD BE'!$Z$61</f>
        <v>0</v>
      </c>
      <c r="AA29" s="13">
        <f>'TUSD BE'!$AA$29*'TUSD BE'!$AA$61</f>
        <v>0</v>
      </c>
      <c r="AB29" s="13">
        <f>SUM($U$29:$AA$29)</f>
        <v>2.4070948551103224</v>
      </c>
      <c r="AC29" s="13">
        <f>'TUSD BE'!$AC$29*'TUSD BE'!$AC$61</f>
        <v>-82.669356341216755</v>
      </c>
      <c r="AD29" s="13">
        <f>SUM($AC$29:$AC$29)</f>
        <v>-82.669356341216755</v>
      </c>
      <c r="AE29" s="13">
        <f ca="1">$AO$29*$AO$58</f>
        <v>0</v>
      </c>
      <c r="AF29" s="13">
        <f ca="1">$AP$29*$AP$58</f>
        <v>0</v>
      </c>
      <c r="AG29" s="13">
        <f ca="1">SUM($AE$29:$AF$29)</f>
        <v>0</v>
      </c>
      <c r="AH29" s="13">
        <f>'TUSD BE'!$AH$29*'TUSD BE'!$AH$61</f>
        <v>-1.675341822786415</v>
      </c>
      <c r="AI29" s="13">
        <f>'TUSD BE'!$AI$29*'TUSD BE'!$AI$61</f>
        <v>-4.5982718002258699E-2</v>
      </c>
      <c r="AJ29" s="13">
        <f ca="1">'TUSD BE'!$AJ$29*'TUSD BE'!$AJ$61</f>
        <v>0</v>
      </c>
      <c r="AK29" s="13">
        <f ca="1">'TUSD BE'!$AK$29*'TUSD BE'!$AK$61</f>
        <v>0</v>
      </c>
      <c r="AL29" s="13">
        <f ca="1">SUM($AH$29:$AK$29)</f>
        <v>-1.7213245407886737</v>
      </c>
      <c r="AM29" s="13">
        <f ca="1">SUMIF($L$4:$AL$4,"SUBTOTAL",$L$29:$AL$29)</f>
        <v>-81.948783766567843</v>
      </c>
      <c r="AO29" s="20">
        <f ca="1">+'TUSD BE'!$T$29+'TUSD BE'!$AB$29+'TUSD BE'!$AD$29+'TUSD BE'!$AL$29</f>
        <v>361.757929311574</v>
      </c>
      <c r="AP29" s="20">
        <f ca="1">+'TUSD BE'!$T$29+'TUSD BE'!$AB$29+'TUSD BE'!$AD$29+'TUSD BE'!$AL$29</f>
        <v>361.757929311574</v>
      </c>
    </row>
    <row r="30" spans="1:42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>
        <f>'TUSD BE'!$L$30*'TUSD BE'!$L$61</f>
        <v>0</v>
      </c>
      <c r="M30" s="13">
        <f>'TUSD BE'!$M$30*'TUSD BE'!$M$61</f>
        <v>3.4802260327260519E-2</v>
      </c>
      <c r="N30" s="13">
        <f ca="1">'TUSD BE'!$N$30*'TUSD BE'!$N$61</f>
        <v>0</v>
      </c>
      <c r="O30" s="13">
        <f>'TUSD BE'!$O$30*'TUSD BE'!$O$61</f>
        <v>0</v>
      </c>
      <c r="P30" s="13">
        <f>'TUSD BE'!$P$30*'TUSD BE'!$P$61</f>
        <v>0</v>
      </c>
      <c r="Q30" s="13">
        <f>'TUSD BE'!$Q$30*'TUSD BE'!$Q$61</f>
        <v>0</v>
      </c>
      <c r="R30" s="13">
        <f>'TUSD BE'!$R$30*'TUSD BE'!$R$61</f>
        <v>0</v>
      </c>
      <c r="S30" s="13">
        <f>'TUSD BE'!$R$30*'TUSD BE'!$S$61</f>
        <v>0</v>
      </c>
      <c r="T30" s="13">
        <f ca="1">SUM($L$30:$S$30)</f>
        <v>3.4802260327260519E-2</v>
      </c>
      <c r="U30" s="13">
        <f>'TUSD BE'!$U$30*'TUSD BE'!$U$61</f>
        <v>0</v>
      </c>
      <c r="V30" s="13">
        <f>'TUSD BE'!$V$30*'TUSD BE'!$V$61</f>
        <v>0</v>
      </c>
      <c r="W30" s="13">
        <f>'TUSD BE'!$W$30*'TUSD BE'!$W$61</f>
        <v>0</v>
      </c>
      <c r="X30" s="13">
        <f>'TUSD BE'!$X$30*'TUSD BE'!$X$61</f>
        <v>0</v>
      </c>
      <c r="Y30" s="13">
        <f>'TUSD BE'!$Y$30*'TUSD BE'!$Y$61</f>
        <v>2.4070948551103224</v>
      </c>
      <c r="Z30" s="13">
        <f>'TUSD BE'!$Z$30*'TUSD BE'!$Z$61</f>
        <v>0</v>
      </c>
      <c r="AA30" s="13">
        <f>'TUSD BE'!$AA$30*'TUSD BE'!$AA$61</f>
        <v>0</v>
      </c>
      <c r="AB30" s="13">
        <f>SUM($U$30:$AA$30)</f>
        <v>2.4070948551103224</v>
      </c>
      <c r="AC30" s="13">
        <f>'TUSD BE'!$AC$30*'TUSD BE'!$AC$61</f>
        <v>-82.669356341216755</v>
      </c>
      <c r="AD30" s="13">
        <f>SUM($AC$30:$AC$30)</f>
        <v>-82.669356341216755</v>
      </c>
      <c r="AE30" s="13">
        <f ca="1">$AO$30*$AO$58</f>
        <v>0</v>
      </c>
      <c r="AF30" s="13">
        <f ca="1">$AP$30*$AP$58</f>
        <v>0</v>
      </c>
      <c r="AG30" s="13">
        <f ca="1">SUM($AE$30:$AF$30)</f>
        <v>0</v>
      </c>
      <c r="AH30" s="13">
        <f>'TUSD BE'!$AH$30*'TUSD BE'!$AH$61</f>
        <v>-1.675341822786415</v>
      </c>
      <c r="AI30" s="13">
        <f>'TUSD BE'!$AI$30*'TUSD BE'!$AI$61</f>
        <v>-4.5982718002258699E-2</v>
      </c>
      <c r="AJ30" s="13">
        <f ca="1">'TUSD BE'!$AJ$30*'TUSD BE'!$AJ$61</f>
        <v>0</v>
      </c>
      <c r="AK30" s="13">
        <f ca="1">'TUSD BE'!$AK$30*'TUSD BE'!$AK$61</f>
        <v>0</v>
      </c>
      <c r="AL30" s="13">
        <f ca="1">SUM($AH$30:$AK$30)</f>
        <v>-1.7213245407886737</v>
      </c>
      <c r="AM30" s="13">
        <f ca="1">SUMIF($L$4:$AL$4,"SUBTOTAL",$L$30:$AL$30)</f>
        <v>-81.948783766567843</v>
      </c>
      <c r="AO30" s="20">
        <f ca="1">+'TUSD BE'!$T$30+'TUSD BE'!$AB$30+'TUSD BE'!$AD$30+'TUSD BE'!$AL$30</f>
        <v>361.757929311574</v>
      </c>
      <c r="AP30" s="20">
        <f ca="1">+'TUSD BE'!$T$30+'TUSD BE'!$AB$30+'TUSD BE'!$AD$30+'TUSD BE'!$AL$30</f>
        <v>361.757929311574</v>
      </c>
    </row>
    <row r="31" spans="1:42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>
        <f>'TUSD BE'!$L$31*'TUSD BE'!$L$61</f>
        <v>0</v>
      </c>
      <c r="M31" s="13">
        <f>'TUSD BE'!$M$31*'TUSD BE'!$M$61</f>
        <v>3.4802260327260519E-2</v>
      </c>
      <c r="N31" s="13">
        <f ca="1">'TUSD BE'!$N$31*'TUSD BE'!$N$61</f>
        <v>0</v>
      </c>
      <c r="O31" s="13">
        <f>'TUSD BE'!$O$31*'TUSD BE'!$O$61</f>
        <v>0</v>
      </c>
      <c r="P31" s="13">
        <f>'TUSD BE'!$P$31*'TUSD BE'!$P$61</f>
        <v>0</v>
      </c>
      <c r="Q31" s="13">
        <f>'TUSD BE'!$Q$31*'TUSD BE'!$Q$61</f>
        <v>0</v>
      </c>
      <c r="R31" s="13">
        <f>'TUSD BE'!$R$31*'TUSD BE'!$R$61</f>
        <v>0</v>
      </c>
      <c r="S31" s="13">
        <f>'TUSD BE'!$R$31*'TUSD BE'!$S$61</f>
        <v>0</v>
      </c>
      <c r="T31" s="13">
        <f ca="1">SUM($L$31:$S$31)</f>
        <v>3.4802260327260519E-2</v>
      </c>
      <c r="U31" s="13">
        <f>'TUSD BE'!$U$31*'TUSD BE'!$U$61</f>
        <v>0</v>
      </c>
      <c r="V31" s="13">
        <f>'TUSD BE'!$V$31*'TUSD BE'!$V$61</f>
        <v>0</v>
      </c>
      <c r="W31" s="13">
        <f>'TUSD BE'!$W$31*'TUSD BE'!$W$61</f>
        <v>0</v>
      </c>
      <c r="X31" s="13">
        <f>'TUSD BE'!$X$31*'TUSD BE'!$X$61</f>
        <v>0</v>
      </c>
      <c r="Y31" s="13">
        <f>'TUSD BE'!$Y$31*'TUSD BE'!$Y$61</f>
        <v>2.4070948551103224</v>
      </c>
      <c r="Z31" s="13">
        <f>'TUSD BE'!$Z$31*'TUSD BE'!$Z$61</f>
        <v>0</v>
      </c>
      <c r="AA31" s="13">
        <f>'TUSD BE'!$AA$31*'TUSD BE'!$AA$61</f>
        <v>0</v>
      </c>
      <c r="AB31" s="13">
        <f>SUM($U$31:$AA$31)</f>
        <v>2.4070948551103224</v>
      </c>
      <c r="AC31" s="13">
        <f>'TUSD BE'!$AC$31*'TUSD BE'!$AC$61</f>
        <v>-82.669356341216755</v>
      </c>
      <c r="AD31" s="13">
        <f>SUM($AC$31:$AC$31)</f>
        <v>-82.669356341216755</v>
      </c>
      <c r="AE31" s="13">
        <f ca="1">$AO$31*$AO$58</f>
        <v>0</v>
      </c>
      <c r="AF31" s="13">
        <f ca="1">$AP$31*$AP$58</f>
        <v>0</v>
      </c>
      <c r="AG31" s="13">
        <f ca="1">SUM($AE$31:$AF$31)</f>
        <v>0</v>
      </c>
      <c r="AH31" s="13">
        <f>'TUSD BE'!$AH$31*'TUSD BE'!$AH$61</f>
        <v>-1.675341822786415</v>
      </c>
      <c r="AI31" s="13">
        <f>'TUSD BE'!$AI$31*'TUSD BE'!$AI$61</f>
        <v>-4.5982718002258699E-2</v>
      </c>
      <c r="AJ31" s="13">
        <f ca="1">'TUSD BE'!$AJ$31*'TUSD BE'!$AJ$61</f>
        <v>0</v>
      </c>
      <c r="AK31" s="13">
        <f ca="1">'TUSD BE'!$AK$31*'TUSD BE'!$AK$61</f>
        <v>0</v>
      </c>
      <c r="AL31" s="13">
        <f ca="1">SUM($AH$31:$AK$31)</f>
        <v>-1.7213245407886737</v>
      </c>
      <c r="AM31" s="13">
        <f ca="1">SUMIF($L$4:$AL$4,"SUBTOTAL",$L$31:$AL$31)</f>
        <v>-81.948783766567843</v>
      </c>
      <c r="AO31" s="20">
        <f ca="1">+'TUSD BE'!$T$31+'TUSD BE'!$AB$31+'TUSD BE'!$AD$31+'TUSD BE'!$AL$31</f>
        <v>361.757929311574</v>
      </c>
      <c r="AP31" s="20">
        <f ca="1">+'TUSD BE'!$T$31+'TUSD BE'!$AB$31+'TUSD BE'!$AD$31+'TUSD BE'!$AL$31</f>
        <v>361.757929311574</v>
      </c>
    </row>
    <row r="32" spans="1:42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>
        <f>'TUSD BE'!$L$32*'TUSD BE'!$L$61</f>
        <v>0</v>
      </c>
      <c r="M32" s="13">
        <f>'TUSD BE'!$M$32*'TUSD BE'!$M$61</f>
        <v>3.4802260327260519E-2</v>
      </c>
      <c r="N32" s="13">
        <f ca="1">'TUSD BE'!$N$32*'TUSD BE'!$N$61</f>
        <v>0</v>
      </c>
      <c r="O32" s="13">
        <f>'TUSD BE'!$O$32*'TUSD BE'!$O$61</f>
        <v>0</v>
      </c>
      <c r="P32" s="13">
        <f>'TUSD BE'!$P$32*'TUSD BE'!$P$61</f>
        <v>0</v>
      </c>
      <c r="Q32" s="13">
        <f>'TUSD BE'!$Q$32*'TUSD BE'!$Q$61</f>
        <v>0</v>
      </c>
      <c r="R32" s="13">
        <f>'TUSD BE'!$R$32*'TUSD BE'!$R$61</f>
        <v>0</v>
      </c>
      <c r="S32" s="13">
        <f>'TUSD BE'!$R$32*'TUSD BE'!$S$61</f>
        <v>0</v>
      </c>
      <c r="T32" s="13">
        <f ca="1">SUM($L$32:$S$32)</f>
        <v>3.4802260327260519E-2</v>
      </c>
      <c r="U32" s="13">
        <f>'TUSD BE'!$U$32*'TUSD BE'!$U$61</f>
        <v>0</v>
      </c>
      <c r="V32" s="13">
        <f>'TUSD BE'!$V$32*'TUSD BE'!$V$61</f>
        <v>0</v>
      </c>
      <c r="W32" s="13">
        <f>'TUSD BE'!$W$32*'TUSD BE'!$W$61</f>
        <v>0</v>
      </c>
      <c r="X32" s="13">
        <f>'TUSD BE'!$X$32*'TUSD BE'!$X$61</f>
        <v>0</v>
      </c>
      <c r="Y32" s="13">
        <f>'TUSD BE'!$Y$32*'TUSD BE'!$Y$61</f>
        <v>2.4070948551103224</v>
      </c>
      <c r="Z32" s="13">
        <f>'TUSD BE'!$Z$32*'TUSD BE'!$Z$61</f>
        <v>0</v>
      </c>
      <c r="AA32" s="13">
        <f>'TUSD BE'!$AA$32*'TUSD BE'!$AA$61</f>
        <v>0</v>
      </c>
      <c r="AB32" s="13">
        <f>SUM($U$32:$AA$32)</f>
        <v>2.4070948551103224</v>
      </c>
      <c r="AC32" s="13">
        <f>'TUSD BE'!$AC$32*'TUSD BE'!$AC$61</f>
        <v>-82.669356341216755</v>
      </c>
      <c r="AD32" s="13">
        <f>SUM($AC$32:$AC$32)</f>
        <v>-82.669356341216755</v>
      </c>
      <c r="AE32" s="13">
        <f ca="1">$AO$32*$AO$58</f>
        <v>0</v>
      </c>
      <c r="AF32" s="13">
        <f ca="1">$AP$32*$AP$58</f>
        <v>0</v>
      </c>
      <c r="AG32" s="13">
        <f ca="1">SUM($AE$32:$AF$32)</f>
        <v>0</v>
      </c>
      <c r="AH32" s="13">
        <f>'TUSD BE'!$AH$32*'TUSD BE'!$AH$61</f>
        <v>-1.675341822786415</v>
      </c>
      <c r="AI32" s="13">
        <f>'TUSD BE'!$AI$32*'TUSD BE'!$AI$61</f>
        <v>-4.5982718002258699E-2</v>
      </c>
      <c r="AJ32" s="13">
        <f ca="1">'TUSD BE'!$AJ$32*'TUSD BE'!$AJ$61</f>
        <v>0</v>
      </c>
      <c r="AK32" s="13">
        <f ca="1">'TUSD BE'!$AK$32*'TUSD BE'!$AK$61</f>
        <v>0</v>
      </c>
      <c r="AL32" s="13">
        <f ca="1">SUM($AH$32:$AK$32)</f>
        <v>-1.7213245407886737</v>
      </c>
      <c r="AM32" s="13">
        <f ca="1">SUMIF($L$4:$AL$4,"SUBTOTAL",$L$32:$AL$32)</f>
        <v>-81.948783766567843</v>
      </c>
      <c r="AO32" s="20">
        <f ca="1">+'TUSD BE'!$T$32+'TUSD BE'!$AB$32+'TUSD BE'!$AD$32+'TUSD BE'!$AL$32</f>
        <v>361.757929311574</v>
      </c>
      <c r="AP32" s="20">
        <f ca="1">+'TUSD BE'!$T$32+'TUSD BE'!$AB$32+'TUSD BE'!$AD$32+'TUSD BE'!$AL$32</f>
        <v>361.757929311574</v>
      </c>
    </row>
    <row r="33" spans="1:42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>
        <f>'TUSD BE'!$L$33*'TUSD BE'!$L$61</f>
        <v>0</v>
      </c>
      <c r="M33" s="13">
        <f>'TUSD BE'!$M$33*'TUSD BE'!$M$61</f>
        <v>3.4802260327260519E-2</v>
      </c>
      <c r="N33" s="13">
        <f ca="1">'TUSD BE'!$N$33*'TUSD BE'!$N$61</f>
        <v>0</v>
      </c>
      <c r="O33" s="13">
        <f>'TUSD BE'!$O$33*'TUSD BE'!$O$61</f>
        <v>0</v>
      </c>
      <c r="P33" s="13">
        <f>'TUSD BE'!$P$33*'TUSD BE'!$P$61</f>
        <v>0</v>
      </c>
      <c r="Q33" s="13">
        <f>'TUSD BE'!$Q$33*'TUSD BE'!$Q$61</f>
        <v>2.3778471910795425</v>
      </c>
      <c r="R33" s="13">
        <f>'TUSD BE'!$R$33*'TUSD BE'!$R$61</f>
        <v>0.35774913143839271</v>
      </c>
      <c r="S33" s="13">
        <f>'TUSD BE'!$R$33*'TUSD BE'!$S$61</f>
        <v>0</v>
      </c>
      <c r="T33" s="13">
        <f ca="1">SUM($L$33:$S$33)</f>
        <v>2.7703985828451958</v>
      </c>
      <c r="U33" s="13">
        <f>'TUSD BE'!$U$33*'TUSD BE'!$U$61</f>
        <v>0</v>
      </c>
      <c r="V33" s="13">
        <f>'TUSD BE'!$V$33*'TUSD BE'!$V$61</f>
        <v>0</v>
      </c>
      <c r="W33" s="13">
        <f>'TUSD BE'!$W$33*'TUSD BE'!$W$61</f>
        <v>0</v>
      </c>
      <c r="X33" s="13">
        <f>'TUSD BE'!$X$33*'TUSD BE'!$X$61</f>
        <v>0</v>
      </c>
      <c r="Y33" s="13">
        <f>'TUSD BE'!$Y$33*'TUSD BE'!$Y$61</f>
        <v>8.3065587707338011</v>
      </c>
      <c r="Z33" s="13">
        <f>'TUSD BE'!$Z$33*'TUSD BE'!$Z$61</f>
        <v>0</v>
      </c>
      <c r="AA33" s="13">
        <f>'TUSD BE'!$AA$33*'TUSD BE'!$AA$61</f>
        <v>0</v>
      </c>
      <c r="AB33" s="13">
        <f>SUM($U$33:$AA$33)</f>
        <v>8.3065587707338011</v>
      </c>
      <c r="AC33" s="13">
        <f>'TUSD BE'!$AC$33*'TUSD BE'!$AC$61</f>
        <v>-243.87456291312361</v>
      </c>
      <c r="AD33" s="13">
        <f>SUM($AC$33:$AC$33)</f>
        <v>-243.87456291312361</v>
      </c>
      <c r="AE33" s="13">
        <f ca="1">$AO$33*$AO$58</f>
        <v>0</v>
      </c>
      <c r="AF33" s="13">
        <f ca="1">$AP$33*$AP$58</f>
        <v>0</v>
      </c>
      <c r="AG33" s="13">
        <f ca="1">SUM($AE$33:$AF$33)</f>
        <v>0</v>
      </c>
      <c r="AH33" s="13">
        <f>'TUSD BE'!$AH$33*'TUSD BE'!$AH$61</f>
        <v>-1.675341822786415</v>
      </c>
      <c r="AI33" s="13">
        <f>'TUSD BE'!$AI$33*'TUSD BE'!$AI$61</f>
        <v>-4.5982718002258699E-2</v>
      </c>
      <c r="AJ33" s="13">
        <f ca="1">'TUSD BE'!$AJ$33*'TUSD BE'!$AJ$61</f>
        <v>0</v>
      </c>
      <c r="AK33" s="13">
        <f ca="1">'TUSD BE'!$AK$33*'TUSD BE'!$AK$61</f>
        <v>0</v>
      </c>
      <c r="AL33" s="13">
        <f ca="1">SUM($AH$33:$AK$33)</f>
        <v>-1.7213245407886737</v>
      </c>
      <c r="AM33" s="13">
        <f ca="1">SUMIF($L$4:$AL$4,"SUBTOTAL",$L$33:$AL$33)</f>
        <v>-234.51893010033331</v>
      </c>
      <c r="AO33" s="20">
        <f ca="1">+'TUSD BE'!$T$33+'TUSD BE'!$AB$33+'TUSD BE'!$AD$33+'TUSD BE'!$AL$33</f>
        <v>1156.8939862333145</v>
      </c>
      <c r="AP33" s="20">
        <f ca="1">+'TUSD BE'!$T$33+'TUSD BE'!$AB$33+'TUSD BE'!$AD$33+'TUSD BE'!$AL$33</f>
        <v>1156.8939862333145</v>
      </c>
    </row>
    <row r="34" spans="1:42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>
        <f>'TUSD BE'!$L$34*'TUSD BE'!$L$61</f>
        <v>0</v>
      </c>
      <c r="M34" s="13">
        <f>'TUSD BE'!$M$34*'TUSD BE'!$M$61</f>
        <v>3.4802260327260519E-2</v>
      </c>
      <c r="N34" s="13">
        <f ca="1">'TUSD BE'!$N$34*'TUSD BE'!$N$61</f>
        <v>0</v>
      </c>
      <c r="O34" s="13">
        <f>'TUSD BE'!$O$34*'TUSD BE'!$O$61</f>
        <v>0</v>
      </c>
      <c r="P34" s="13">
        <f>'TUSD BE'!$P$34*'TUSD BE'!$P$61</f>
        <v>0</v>
      </c>
      <c r="Q34" s="13">
        <f>'TUSD BE'!$Q$34*'TUSD BE'!$Q$61</f>
        <v>2.3778471910795425</v>
      </c>
      <c r="R34" s="13">
        <f>'TUSD BE'!$R$34*'TUSD BE'!$R$61</f>
        <v>0.35774913143839271</v>
      </c>
      <c r="S34" s="13">
        <f>'TUSD BE'!$R$34*'TUSD BE'!$S$61</f>
        <v>0</v>
      </c>
      <c r="T34" s="13">
        <f ca="1">SUM($L$34:$S$34)</f>
        <v>2.7703985828451958</v>
      </c>
      <c r="U34" s="13">
        <f>'TUSD BE'!$U$34*'TUSD BE'!$U$61</f>
        <v>0</v>
      </c>
      <c r="V34" s="13">
        <f>'TUSD BE'!$V$34*'TUSD BE'!$V$61</f>
        <v>0</v>
      </c>
      <c r="W34" s="13">
        <f>'TUSD BE'!$W$34*'TUSD BE'!$W$61</f>
        <v>0</v>
      </c>
      <c r="X34" s="13">
        <f>'TUSD BE'!$X$34*'TUSD BE'!$X$61</f>
        <v>0</v>
      </c>
      <c r="Y34" s="13">
        <f>'TUSD BE'!$Y$34*'TUSD BE'!$Y$61</f>
        <v>4.9829821082246797</v>
      </c>
      <c r="Z34" s="13">
        <f>'TUSD BE'!$Z$34*'TUSD BE'!$Z$61</f>
        <v>0</v>
      </c>
      <c r="AA34" s="13">
        <f>'TUSD BE'!$AA$34*'TUSD BE'!$AA$61</f>
        <v>0</v>
      </c>
      <c r="AB34" s="13">
        <f>SUM($U$34:$AA$34)</f>
        <v>4.9829821082246797</v>
      </c>
      <c r="AC34" s="13">
        <f>'TUSD BE'!$AC$34*'TUSD BE'!$AC$61</f>
        <v>-146.32469398391322</v>
      </c>
      <c r="AD34" s="13">
        <f>SUM($AC$34:$AC$34)</f>
        <v>-146.32469398391322</v>
      </c>
      <c r="AE34" s="13">
        <f ca="1">$AO$34*$AO$58</f>
        <v>0</v>
      </c>
      <c r="AF34" s="13">
        <f ca="1">$AP$34*$AP$58</f>
        <v>0</v>
      </c>
      <c r="AG34" s="13">
        <f ca="1">SUM($AE$34:$AF$34)</f>
        <v>0</v>
      </c>
      <c r="AH34" s="13">
        <f>'TUSD BE'!$AH$34*'TUSD BE'!$AH$61</f>
        <v>-1.675341822786415</v>
      </c>
      <c r="AI34" s="13">
        <f>'TUSD BE'!$AI$34*'TUSD BE'!$AI$61</f>
        <v>-4.5982718002258699E-2</v>
      </c>
      <c r="AJ34" s="13">
        <f ca="1">'TUSD BE'!$AJ$34*'TUSD BE'!$AJ$61</f>
        <v>0</v>
      </c>
      <c r="AK34" s="13">
        <f ca="1">'TUSD BE'!$AK$34*'TUSD BE'!$AK$61</f>
        <v>0</v>
      </c>
      <c r="AL34" s="13">
        <f ca="1">SUM($AH$34:$AK$34)</f>
        <v>-1.7213245407886737</v>
      </c>
      <c r="AM34" s="13">
        <f ca="1">SUMIF($L$4:$AL$4,"SUBTOTAL",$L$34:$AL$34)</f>
        <v>-140.29263783363203</v>
      </c>
      <c r="AO34" s="20">
        <f ca="1">+'TUSD BE'!$T$34+'TUSD BE'!$AB$34+'TUSD BE'!$AD$34+'TUSD BE'!$AL$34</f>
        <v>746.56677793740369</v>
      </c>
      <c r="AP34" s="20">
        <f ca="1">+'TUSD BE'!$T$34+'TUSD BE'!$AB$34+'TUSD BE'!$AD$34+'TUSD BE'!$AL$34</f>
        <v>746.56677793740369</v>
      </c>
    </row>
    <row r="35" spans="1:42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>
        <f>'TUSD BE'!$L$35*'TUSD BE'!$L$61</f>
        <v>0</v>
      </c>
      <c r="M35" s="13">
        <f>'TUSD BE'!$M$35*'TUSD BE'!$M$61</f>
        <v>3.4802260327260519E-2</v>
      </c>
      <c r="N35" s="13">
        <f ca="1">'TUSD BE'!$N$35*'TUSD BE'!$N$61</f>
        <v>0</v>
      </c>
      <c r="O35" s="13">
        <f>'TUSD BE'!$O$35*'TUSD BE'!$O$61</f>
        <v>0</v>
      </c>
      <c r="P35" s="13">
        <f>'TUSD BE'!$P$35*'TUSD BE'!$P$61</f>
        <v>0</v>
      </c>
      <c r="Q35" s="13">
        <f>'TUSD BE'!$Q$35*'TUSD BE'!$Q$61</f>
        <v>2.3778471910795425</v>
      </c>
      <c r="R35" s="13">
        <f>'TUSD BE'!$R$35*'TUSD BE'!$R$61</f>
        <v>0.35774913143839271</v>
      </c>
      <c r="S35" s="13">
        <f>'TUSD BE'!$R$35*'TUSD BE'!$S$61</f>
        <v>0</v>
      </c>
      <c r="T35" s="13">
        <f ca="1">SUM($L$35:$S$35)</f>
        <v>2.7703985828451958</v>
      </c>
      <c r="U35" s="13">
        <f>'TUSD BE'!$U$35*'TUSD BE'!$U$61</f>
        <v>0</v>
      </c>
      <c r="V35" s="13">
        <f>'TUSD BE'!$V$35*'TUSD BE'!$V$61</f>
        <v>0</v>
      </c>
      <c r="W35" s="13">
        <f>'TUSD BE'!$W$35*'TUSD BE'!$W$61</f>
        <v>0</v>
      </c>
      <c r="X35" s="13">
        <f>'TUSD BE'!$X$35*'TUSD BE'!$X$61</f>
        <v>0</v>
      </c>
      <c r="Y35" s="13">
        <f>'TUSD BE'!$Y$35*'TUSD BE'!$Y$61</f>
        <v>1.6605988909098819</v>
      </c>
      <c r="Z35" s="13">
        <f>'TUSD BE'!$Z$35*'TUSD BE'!$Z$61</f>
        <v>0</v>
      </c>
      <c r="AA35" s="13">
        <f>'TUSD BE'!$AA$35*'TUSD BE'!$AA$61</f>
        <v>0</v>
      </c>
      <c r="AB35" s="13">
        <f>SUM($U$35:$AA$35)</f>
        <v>1.6605988909098819</v>
      </c>
      <c r="AC35" s="13">
        <f>'TUSD BE'!$AC$35*'TUSD BE'!$AC$61</f>
        <v>-48.774897994637747</v>
      </c>
      <c r="AD35" s="13">
        <f>SUM($AC$35:$AC$35)</f>
        <v>-48.774897994637747</v>
      </c>
      <c r="AE35" s="13">
        <f ca="1">$AO$35*$AO$58</f>
        <v>0</v>
      </c>
      <c r="AF35" s="13">
        <f ca="1">$AP$35*$AP$58</f>
        <v>0</v>
      </c>
      <c r="AG35" s="13">
        <f ca="1">SUM($AE$35:$AF$35)</f>
        <v>0</v>
      </c>
      <c r="AH35" s="13">
        <f>'TUSD BE'!$AH$35*'TUSD BE'!$AH$61</f>
        <v>-1.675341822786415</v>
      </c>
      <c r="AI35" s="13">
        <f>'TUSD BE'!$AI$35*'TUSD BE'!$AI$61</f>
        <v>-4.5982718002258699E-2</v>
      </c>
      <c r="AJ35" s="13">
        <f ca="1">'TUSD BE'!$AJ$35*'TUSD BE'!$AJ$61</f>
        <v>0</v>
      </c>
      <c r="AK35" s="13">
        <f ca="1">'TUSD BE'!$AK$35*'TUSD BE'!$AK$61</f>
        <v>0</v>
      </c>
      <c r="AL35" s="13">
        <f ca="1">SUM($AH$35:$AK$35)</f>
        <v>-1.7213245407886737</v>
      </c>
      <c r="AM35" s="13">
        <f ca="1">SUMIF($L$4:$AL$4,"SUBTOTAL",$L$35:$AL$35)</f>
        <v>-46.065225061671342</v>
      </c>
      <c r="AO35" s="20">
        <f ca="1">+'TUSD BE'!$T$35+'TUSD BE'!$AB$35+'TUSD BE'!$AD$35+'TUSD BE'!$AL$35</f>
        <v>336.27457374733518</v>
      </c>
      <c r="AP35" s="20">
        <f ca="1">+'TUSD BE'!$T$35+'TUSD BE'!$AB$35+'TUSD BE'!$AD$35+'TUSD BE'!$AL$35</f>
        <v>336.27457374733518</v>
      </c>
    </row>
    <row r="36" spans="1:42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>
        <f>'TUSD BE'!$L$36*'TUSD BE'!$L$61</f>
        <v>0</v>
      </c>
      <c r="M36" s="13">
        <f>'TUSD BE'!$M$36*'TUSD BE'!$M$61</f>
        <v>3.4802260327260519E-2</v>
      </c>
      <c r="N36" s="13">
        <f ca="1">'TUSD BE'!$N$36*'TUSD BE'!$N$61</f>
        <v>0</v>
      </c>
      <c r="O36" s="13">
        <f>'TUSD BE'!$O$36*'TUSD BE'!$O$61</f>
        <v>0</v>
      </c>
      <c r="P36" s="13">
        <f>'TUSD BE'!$P$36*'TUSD BE'!$P$61</f>
        <v>0</v>
      </c>
      <c r="Q36" s="13">
        <f>'TUSD BE'!$Q$36*'TUSD BE'!$Q$61</f>
        <v>2.3778471910795425</v>
      </c>
      <c r="R36" s="13">
        <f>'TUSD BE'!$R$36*'TUSD BE'!$R$61</f>
        <v>0.35774913143839271</v>
      </c>
      <c r="S36" s="13">
        <f>'TUSD BE'!$R$36*'TUSD BE'!$S$61</f>
        <v>0</v>
      </c>
      <c r="T36" s="13">
        <f ca="1">SUM($L$36:$S$36)</f>
        <v>2.7703985828451958</v>
      </c>
      <c r="U36" s="13">
        <f>'TUSD BE'!$U$36*'TUSD BE'!$U$61</f>
        <v>0</v>
      </c>
      <c r="V36" s="13">
        <f>'TUSD BE'!$V$36*'TUSD BE'!$V$61</f>
        <v>0</v>
      </c>
      <c r="W36" s="13">
        <f>'TUSD BE'!$W$36*'TUSD BE'!$W$61</f>
        <v>0</v>
      </c>
      <c r="X36" s="13">
        <f>'TUSD BE'!$X$36*'TUSD BE'!$X$61</f>
        <v>0</v>
      </c>
      <c r="Y36" s="13">
        <f>'TUSD BE'!$Y$36*'TUSD BE'!$Y$61</f>
        <v>2.4070948551103224</v>
      </c>
      <c r="Z36" s="13">
        <f>'TUSD BE'!$Z$36*'TUSD BE'!$Z$61</f>
        <v>0</v>
      </c>
      <c r="AA36" s="13">
        <f>'TUSD BE'!$AA$36*'TUSD BE'!$AA$61</f>
        <v>0</v>
      </c>
      <c r="AB36" s="13">
        <f>SUM($U$36:$AA$36)</f>
        <v>2.4070948551103224</v>
      </c>
      <c r="AC36" s="13">
        <f>'TUSD BE'!$AC$36*'TUSD BE'!$AC$61</f>
        <v>-82.669356341216755</v>
      </c>
      <c r="AD36" s="13">
        <f>SUM($AC$36:$AC$36)</f>
        <v>-82.669356341216755</v>
      </c>
      <c r="AE36" s="13">
        <f ca="1">$AO$36*$AO$58</f>
        <v>0</v>
      </c>
      <c r="AF36" s="13">
        <f ca="1">$AP$36*$AP$58</f>
        <v>0</v>
      </c>
      <c r="AG36" s="13">
        <f ca="1">SUM($AE$36:$AF$36)</f>
        <v>0</v>
      </c>
      <c r="AH36" s="13">
        <f>'TUSD BE'!$AH$36*'TUSD BE'!$AH$61</f>
        <v>-1.675341822786415</v>
      </c>
      <c r="AI36" s="13">
        <f>'TUSD BE'!$AI$36*'TUSD BE'!$AI$61</f>
        <v>-4.5982718002258699E-2</v>
      </c>
      <c r="AJ36" s="13">
        <f ca="1">'TUSD BE'!$AJ$36*'TUSD BE'!$AJ$61</f>
        <v>0</v>
      </c>
      <c r="AK36" s="13">
        <f ca="1">'TUSD BE'!$AK$36*'TUSD BE'!$AK$61</f>
        <v>0</v>
      </c>
      <c r="AL36" s="13">
        <f ca="1">SUM($AH$36:$AK$36)</f>
        <v>-1.7213245407886737</v>
      </c>
      <c r="AM36" s="13">
        <f ca="1">SUMIF($L$4:$AL$4,"SUBTOTAL",$L$36:$AL$36)</f>
        <v>-79.213187444049908</v>
      </c>
      <c r="AO36" s="20">
        <f ca="1">+'TUSD BE'!$T$36+'TUSD BE'!$AB$36+'TUSD BE'!$AD$36+'TUSD BE'!$AL$36</f>
        <v>466.95038811523096</v>
      </c>
      <c r="AP36" s="20">
        <f ca="1">+'TUSD BE'!$T$36+'TUSD BE'!$AB$36+'TUSD BE'!$AD$36+'TUSD BE'!$AL$36</f>
        <v>466.95038811523096</v>
      </c>
    </row>
    <row r="37" spans="1:42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>
        <f>'TUSD BE'!$L$37*'TUSD BE'!$L$61</f>
        <v>0</v>
      </c>
      <c r="M37" s="13">
        <f>'TUSD BE'!$M$37*'TUSD BE'!$M$61</f>
        <v>3.4802260327260519E-2</v>
      </c>
      <c r="N37" s="13">
        <f ca="1">'TUSD BE'!$N$37*'TUSD BE'!$N$61</f>
        <v>0</v>
      </c>
      <c r="O37" s="13">
        <f>'TUSD BE'!$O$37*'TUSD BE'!$O$61</f>
        <v>0</v>
      </c>
      <c r="P37" s="13">
        <f>'TUSD BE'!$P$37*'TUSD BE'!$P$61</f>
        <v>0</v>
      </c>
      <c r="Q37" s="13">
        <f>'TUSD BE'!$Q$37*'TUSD BE'!$Q$61</f>
        <v>2.3778471910795425</v>
      </c>
      <c r="R37" s="13">
        <f>'TUSD BE'!$R$37*'TUSD BE'!$R$61</f>
        <v>0.35774913143839271</v>
      </c>
      <c r="S37" s="13">
        <f>'TUSD BE'!$R$37*'TUSD BE'!$S$61</f>
        <v>0</v>
      </c>
      <c r="T37" s="13">
        <f ca="1">SUM($L$37:$S$37)</f>
        <v>2.7703985828451958</v>
      </c>
      <c r="U37" s="13">
        <f>'TUSD BE'!$U$37*'TUSD BE'!$U$61</f>
        <v>0</v>
      </c>
      <c r="V37" s="13">
        <f>'TUSD BE'!$V$37*'TUSD BE'!$V$61</f>
        <v>0</v>
      </c>
      <c r="W37" s="13">
        <f>'TUSD BE'!$W$37*'TUSD BE'!$W$61</f>
        <v>0</v>
      </c>
      <c r="X37" s="13">
        <f>'TUSD BE'!$X$37*'TUSD BE'!$X$61</f>
        <v>0</v>
      </c>
      <c r="Y37" s="13">
        <f>'TUSD BE'!$Y$37*'TUSD BE'!$Y$61</f>
        <v>8.3065587707338011</v>
      </c>
      <c r="Z37" s="13">
        <f>'TUSD BE'!$Z$37*'TUSD BE'!$Z$61</f>
        <v>0</v>
      </c>
      <c r="AA37" s="13">
        <f>'TUSD BE'!$AA$37*'TUSD BE'!$AA$61</f>
        <v>0</v>
      </c>
      <c r="AB37" s="13">
        <f>SUM($U$37:$AA$37)</f>
        <v>8.3065587707338011</v>
      </c>
      <c r="AC37" s="13">
        <f>'TUSD BE'!$AC$37*'TUSD BE'!$AC$61</f>
        <v>-243.87456291312361</v>
      </c>
      <c r="AD37" s="13">
        <f>SUM($AC$37:$AC$37)</f>
        <v>-243.87456291312361</v>
      </c>
      <c r="AE37" s="13">
        <f ca="1">$AO$37*$AO$58</f>
        <v>0</v>
      </c>
      <c r="AF37" s="13">
        <f ca="1">$AP$37*$AP$58</f>
        <v>0</v>
      </c>
      <c r="AG37" s="13">
        <f ca="1">SUM($AE$37:$AF$37)</f>
        <v>0</v>
      </c>
      <c r="AH37" s="13">
        <f>'TUSD BE'!$AH$37*'TUSD BE'!$AH$61</f>
        <v>-1.675341822786415</v>
      </c>
      <c r="AI37" s="13">
        <f>'TUSD BE'!$AI$37*'TUSD BE'!$AI$61</f>
        <v>-4.5982718002258699E-2</v>
      </c>
      <c r="AJ37" s="13">
        <f ca="1">'TUSD BE'!$AJ$37*'TUSD BE'!$AJ$61</f>
        <v>0</v>
      </c>
      <c r="AK37" s="13">
        <f ca="1">'TUSD BE'!$AK$37*'TUSD BE'!$AK$61</f>
        <v>0</v>
      </c>
      <c r="AL37" s="13">
        <f ca="1">SUM($AH$37:$AK$37)</f>
        <v>-1.7213245407886737</v>
      </c>
      <c r="AM37" s="13">
        <f ca="1">SUMIF($L$4:$AL$4,"SUBTOTAL",$L$37:$AL$37)</f>
        <v>-234.51893010033331</v>
      </c>
      <c r="AO37" s="20">
        <f ca="1">+'TUSD BE'!$T$37+'TUSD BE'!$AB$37+'TUSD BE'!$AD$37+'TUSD BE'!$AL$37</f>
        <v>1156.8939862333145</v>
      </c>
      <c r="AP37" s="20">
        <f ca="1">+'TUSD BE'!$T$37+'TUSD BE'!$AB$37+'TUSD BE'!$AD$37+'TUSD BE'!$AL$37</f>
        <v>1156.8939862333145</v>
      </c>
    </row>
    <row r="38" spans="1:42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>
        <f>'TUSD BE'!$L$38*'TUSD BE'!$L$61</f>
        <v>0</v>
      </c>
      <c r="M38" s="13">
        <f>'TUSD BE'!$M$38*'TUSD BE'!$M$61</f>
        <v>3.4802260327260519E-2</v>
      </c>
      <c r="N38" s="13">
        <f ca="1">'TUSD BE'!$N$38*'TUSD BE'!$N$61</f>
        <v>0</v>
      </c>
      <c r="O38" s="13">
        <f>'TUSD BE'!$O$38*'TUSD BE'!$O$61</f>
        <v>0</v>
      </c>
      <c r="P38" s="13">
        <f>'TUSD BE'!$P$38*'TUSD BE'!$P$61</f>
        <v>0</v>
      </c>
      <c r="Q38" s="13">
        <f>'TUSD BE'!$Q$38*'TUSD BE'!$Q$61</f>
        <v>2.3778471910795425</v>
      </c>
      <c r="R38" s="13">
        <f>'TUSD BE'!$R$38*'TUSD BE'!$R$61</f>
        <v>0.35774913143839271</v>
      </c>
      <c r="S38" s="13">
        <f>'TUSD BE'!$R$38*'TUSD BE'!$S$61</f>
        <v>0</v>
      </c>
      <c r="T38" s="13">
        <f ca="1">SUM($L$38:$S$38)</f>
        <v>2.7703985828451958</v>
      </c>
      <c r="U38" s="13">
        <f>'TUSD BE'!$U$38*'TUSD BE'!$U$61</f>
        <v>0</v>
      </c>
      <c r="V38" s="13">
        <f>'TUSD BE'!$V$38*'TUSD BE'!$V$61</f>
        <v>0</v>
      </c>
      <c r="W38" s="13">
        <f>'TUSD BE'!$W$38*'TUSD BE'!$W$61</f>
        <v>0</v>
      </c>
      <c r="X38" s="13">
        <f>'TUSD BE'!$X$38*'TUSD BE'!$X$61</f>
        <v>0</v>
      </c>
      <c r="Y38" s="13">
        <f>'TUSD BE'!$Y$38*'TUSD BE'!$Y$61</f>
        <v>4.9829821082246797</v>
      </c>
      <c r="Z38" s="13">
        <f>'TUSD BE'!$Z$38*'TUSD BE'!$Z$61</f>
        <v>0</v>
      </c>
      <c r="AA38" s="13">
        <f>'TUSD BE'!$AA$38*'TUSD BE'!$AA$61</f>
        <v>0</v>
      </c>
      <c r="AB38" s="13">
        <f>SUM($U$38:$AA$38)</f>
        <v>4.9829821082246797</v>
      </c>
      <c r="AC38" s="13">
        <f>'TUSD BE'!$AC$38*'TUSD BE'!$AC$61</f>
        <v>-146.32469398391322</v>
      </c>
      <c r="AD38" s="13">
        <f>SUM($AC$38:$AC$38)</f>
        <v>-146.32469398391322</v>
      </c>
      <c r="AE38" s="13">
        <f ca="1">$AO$38*$AO$58</f>
        <v>0</v>
      </c>
      <c r="AF38" s="13">
        <f ca="1">$AP$38*$AP$58</f>
        <v>0</v>
      </c>
      <c r="AG38" s="13">
        <f ca="1">SUM($AE$38:$AF$38)</f>
        <v>0</v>
      </c>
      <c r="AH38" s="13">
        <f>'TUSD BE'!$AH$38*'TUSD BE'!$AH$61</f>
        <v>-1.675341822786415</v>
      </c>
      <c r="AI38" s="13">
        <f>'TUSD BE'!$AI$38*'TUSD BE'!$AI$61</f>
        <v>-4.5982718002258699E-2</v>
      </c>
      <c r="AJ38" s="13">
        <f ca="1">'TUSD BE'!$AJ$38*'TUSD BE'!$AJ$61</f>
        <v>0</v>
      </c>
      <c r="AK38" s="13">
        <f ca="1">'TUSD BE'!$AK$38*'TUSD BE'!$AK$61</f>
        <v>0</v>
      </c>
      <c r="AL38" s="13">
        <f ca="1">SUM($AH$38:$AK$38)</f>
        <v>-1.7213245407886737</v>
      </c>
      <c r="AM38" s="13">
        <f ca="1">SUMIF($L$4:$AL$4,"SUBTOTAL",$L$38:$AL$38)</f>
        <v>-140.29263783363203</v>
      </c>
      <c r="AO38" s="20">
        <f ca="1">+'TUSD BE'!$T$38+'TUSD BE'!$AB$38+'TUSD BE'!$AD$38+'TUSD BE'!$AL$38</f>
        <v>746.56677793740369</v>
      </c>
      <c r="AP38" s="20">
        <f ca="1">+'TUSD BE'!$T$38+'TUSD BE'!$AB$38+'TUSD BE'!$AD$38+'TUSD BE'!$AL$38</f>
        <v>746.56677793740369</v>
      </c>
    </row>
    <row r="39" spans="1:42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>
        <f>'TUSD BE'!$L$39*'TUSD BE'!$L$61</f>
        <v>0</v>
      </c>
      <c r="M39" s="13">
        <f>'TUSD BE'!$M$39*'TUSD BE'!$M$61</f>
        <v>3.4802260327260519E-2</v>
      </c>
      <c r="N39" s="13">
        <f ca="1">'TUSD BE'!$N$39*'TUSD BE'!$N$61</f>
        <v>0</v>
      </c>
      <c r="O39" s="13">
        <f>'TUSD BE'!$O$39*'TUSD BE'!$O$61</f>
        <v>0</v>
      </c>
      <c r="P39" s="13">
        <f>'TUSD BE'!$P$39*'TUSD BE'!$P$61</f>
        <v>0</v>
      </c>
      <c r="Q39" s="13">
        <f>'TUSD BE'!$Q$39*'TUSD BE'!$Q$61</f>
        <v>2.3778471910795425</v>
      </c>
      <c r="R39" s="13">
        <f>'TUSD BE'!$R$39*'TUSD BE'!$R$61</f>
        <v>0.35774913143839271</v>
      </c>
      <c r="S39" s="13">
        <f>'TUSD BE'!$R$39*'TUSD BE'!$S$61</f>
        <v>0</v>
      </c>
      <c r="T39" s="13">
        <f ca="1">SUM($L$39:$S$39)</f>
        <v>2.7703985828451958</v>
      </c>
      <c r="U39" s="13">
        <f>'TUSD BE'!$U$39*'TUSD BE'!$U$61</f>
        <v>0</v>
      </c>
      <c r="V39" s="13">
        <f>'TUSD BE'!$V$39*'TUSD BE'!$V$61</f>
        <v>0</v>
      </c>
      <c r="W39" s="13">
        <f>'TUSD BE'!$W$39*'TUSD BE'!$W$61</f>
        <v>0</v>
      </c>
      <c r="X39" s="13">
        <f>'TUSD BE'!$X$39*'TUSD BE'!$X$61</f>
        <v>0</v>
      </c>
      <c r="Y39" s="13">
        <f>'TUSD BE'!$Y$39*'TUSD BE'!$Y$61</f>
        <v>1.6605988909098819</v>
      </c>
      <c r="Z39" s="13">
        <f>'TUSD BE'!$Z$39*'TUSD BE'!$Z$61</f>
        <v>0</v>
      </c>
      <c r="AA39" s="13">
        <f>'TUSD BE'!$AA$39*'TUSD BE'!$AA$61</f>
        <v>0</v>
      </c>
      <c r="AB39" s="13">
        <f>SUM($U$39:$AA$39)</f>
        <v>1.6605988909098819</v>
      </c>
      <c r="AC39" s="13">
        <f>'TUSD BE'!$AC$39*'TUSD BE'!$AC$61</f>
        <v>-48.774897994637747</v>
      </c>
      <c r="AD39" s="13">
        <f>SUM($AC$39:$AC$39)</f>
        <v>-48.774897994637747</v>
      </c>
      <c r="AE39" s="13">
        <f ca="1">$AO$39*$AO$58</f>
        <v>0</v>
      </c>
      <c r="AF39" s="13">
        <f ca="1">$AP$39*$AP$58</f>
        <v>0</v>
      </c>
      <c r="AG39" s="13">
        <f ca="1">SUM($AE$39:$AF$39)</f>
        <v>0</v>
      </c>
      <c r="AH39" s="13">
        <f>'TUSD BE'!$AH$39*'TUSD BE'!$AH$61</f>
        <v>-1.675341822786415</v>
      </c>
      <c r="AI39" s="13">
        <f>'TUSD BE'!$AI$39*'TUSD BE'!$AI$61</f>
        <v>-4.5982718002258699E-2</v>
      </c>
      <c r="AJ39" s="13">
        <f ca="1">'TUSD BE'!$AJ$39*'TUSD BE'!$AJ$61</f>
        <v>0</v>
      </c>
      <c r="AK39" s="13">
        <f ca="1">'TUSD BE'!$AK$39*'TUSD BE'!$AK$61</f>
        <v>0</v>
      </c>
      <c r="AL39" s="13">
        <f ca="1">SUM($AH$39:$AK$39)</f>
        <v>-1.7213245407886737</v>
      </c>
      <c r="AM39" s="13">
        <f ca="1">SUMIF($L$4:$AL$4,"SUBTOTAL",$L$39:$AL$39)</f>
        <v>-46.065225061671342</v>
      </c>
      <c r="AO39" s="20">
        <f ca="1">+'TUSD BE'!$T$39+'TUSD BE'!$AB$39+'TUSD BE'!$AD$39+'TUSD BE'!$AL$39</f>
        <v>336.27457374733518</v>
      </c>
      <c r="AP39" s="20">
        <f ca="1">+'TUSD BE'!$T$39+'TUSD BE'!$AB$39+'TUSD BE'!$AD$39+'TUSD BE'!$AL$39</f>
        <v>336.27457374733518</v>
      </c>
    </row>
    <row r="40" spans="1:42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>
        <f>'TUSD BE'!$L$40*'TUSD BE'!$L$61</f>
        <v>0</v>
      </c>
      <c r="M40" s="13">
        <f>'TUSD BE'!$M$40*'TUSD BE'!$M$61</f>
        <v>3.4802260327260519E-2</v>
      </c>
      <c r="N40" s="13">
        <f ca="1">'TUSD BE'!$N$40*'TUSD BE'!$N$61</f>
        <v>0</v>
      </c>
      <c r="O40" s="13">
        <f>'TUSD BE'!$O$40*'TUSD BE'!$O$61</f>
        <v>0</v>
      </c>
      <c r="P40" s="13">
        <f>'TUSD BE'!$P$40*'TUSD BE'!$P$61</f>
        <v>0</v>
      </c>
      <c r="Q40" s="13">
        <f>'TUSD BE'!$Q$40*'TUSD BE'!$Q$61</f>
        <v>2.3778471910795425</v>
      </c>
      <c r="R40" s="13">
        <f>'TUSD BE'!$R$40*'TUSD BE'!$R$61</f>
        <v>0.35774913143839271</v>
      </c>
      <c r="S40" s="13">
        <f>'TUSD BE'!$R$40*'TUSD BE'!$S$61</f>
        <v>0</v>
      </c>
      <c r="T40" s="13">
        <f ca="1">SUM($L$40:$S$40)</f>
        <v>2.7703985828451958</v>
      </c>
      <c r="U40" s="13">
        <f>'TUSD BE'!$U$40*'TUSD BE'!$U$61</f>
        <v>0</v>
      </c>
      <c r="V40" s="13">
        <f>'TUSD BE'!$V$40*'TUSD BE'!$V$61</f>
        <v>0</v>
      </c>
      <c r="W40" s="13">
        <f>'TUSD BE'!$W$40*'TUSD BE'!$W$61</f>
        <v>0</v>
      </c>
      <c r="X40" s="13">
        <f>'TUSD BE'!$X$40*'TUSD BE'!$X$61</f>
        <v>0</v>
      </c>
      <c r="Y40" s="13">
        <f>'TUSD BE'!$Y$40*'TUSD BE'!$Y$61</f>
        <v>2.4070948551103224</v>
      </c>
      <c r="Z40" s="13">
        <f>'TUSD BE'!$Z$40*'TUSD BE'!$Z$61</f>
        <v>0</v>
      </c>
      <c r="AA40" s="13">
        <f>'TUSD BE'!$AA$40*'TUSD BE'!$AA$61</f>
        <v>0</v>
      </c>
      <c r="AB40" s="13">
        <f>SUM($U$40:$AA$40)</f>
        <v>2.4070948551103224</v>
      </c>
      <c r="AC40" s="13">
        <f>'TUSD BE'!$AC$40*'TUSD BE'!$AC$61</f>
        <v>-82.669356341216755</v>
      </c>
      <c r="AD40" s="13">
        <f>SUM($AC$40:$AC$40)</f>
        <v>-82.669356341216755</v>
      </c>
      <c r="AE40" s="13">
        <f ca="1">$AO$40*$AO$58</f>
        <v>0</v>
      </c>
      <c r="AF40" s="13">
        <f ca="1">$AP$40*$AP$58</f>
        <v>0</v>
      </c>
      <c r="AG40" s="13">
        <f ca="1">SUM($AE$40:$AF$40)</f>
        <v>0</v>
      </c>
      <c r="AH40" s="13">
        <f>'TUSD BE'!$AH$40*'TUSD BE'!$AH$61</f>
        <v>-1.675341822786415</v>
      </c>
      <c r="AI40" s="13">
        <f>'TUSD BE'!$AI$40*'TUSD BE'!$AI$61</f>
        <v>-4.5982718002258699E-2</v>
      </c>
      <c r="AJ40" s="13">
        <f ca="1">'TUSD BE'!$AJ$40*'TUSD BE'!$AJ$61</f>
        <v>0</v>
      </c>
      <c r="AK40" s="13">
        <f ca="1">'TUSD BE'!$AK$40*'TUSD BE'!$AK$61</f>
        <v>0</v>
      </c>
      <c r="AL40" s="13">
        <f ca="1">SUM($AH$40:$AK$40)</f>
        <v>-1.7213245407886737</v>
      </c>
      <c r="AM40" s="13">
        <f ca="1">SUMIF($L$4:$AL$4,"SUBTOTAL",$L$40:$AL$40)</f>
        <v>-79.213187444049908</v>
      </c>
      <c r="AO40" s="20">
        <f ca="1">+'TUSD BE'!$T$40+'TUSD BE'!$AB$40+'TUSD BE'!$AD$40+'TUSD BE'!$AL$40</f>
        <v>466.95038811523096</v>
      </c>
      <c r="AP40" s="20">
        <f ca="1">+'TUSD BE'!$T$40+'TUSD BE'!$AB$40+'TUSD BE'!$AD$40+'TUSD BE'!$AL$40</f>
        <v>466.95038811523096</v>
      </c>
    </row>
    <row r="41" spans="1:42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>
        <f>'TUSD BE'!$L$41*'TUSD BE'!$L$61</f>
        <v>0</v>
      </c>
      <c r="M41" s="13">
        <f>'TUSD BE'!$M$41*'TUSD BE'!$M$61</f>
        <v>3.4802260327260519E-2</v>
      </c>
      <c r="N41" s="13">
        <f ca="1">'TUSD BE'!$N$41*'TUSD BE'!$N$61</f>
        <v>0</v>
      </c>
      <c r="O41" s="13">
        <f>'TUSD BE'!$O$41*'TUSD BE'!$O$61</f>
        <v>0</v>
      </c>
      <c r="P41" s="13">
        <f>'TUSD BE'!$P$41*'TUSD BE'!$P$61</f>
        <v>0</v>
      </c>
      <c r="Q41" s="13">
        <f>'TUSD BE'!$Q$41*'TUSD BE'!$Q$61</f>
        <v>2.3778471910795425</v>
      </c>
      <c r="R41" s="13">
        <f>'TUSD BE'!$R$41*'TUSD BE'!$R$61</f>
        <v>0.35774913143839271</v>
      </c>
      <c r="S41" s="13">
        <f>'TUSD BE'!$R$41*'TUSD BE'!$S$61</f>
        <v>0</v>
      </c>
      <c r="T41" s="13">
        <f ca="1">SUM($L$41:$S$41)</f>
        <v>2.7703985828451958</v>
      </c>
      <c r="U41" s="13">
        <f>'TUSD BE'!$U$41*'TUSD BE'!$U$61</f>
        <v>0</v>
      </c>
      <c r="V41" s="13">
        <f>'TUSD BE'!$V$41*'TUSD BE'!$V$61</f>
        <v>0</v>
      </c>
      <c r="W41" s="13">
        <f>'TUSD BE'!$W$41*'TUSD BE'!$W$61</f>
        <v>0</v>
      </c>
      <c r="X41" s="13">
        <f>'TUSD BE'!$X$41*'TUSD BE'!$X$61</f>
        <v>0</v>
      </c>
      <c r="Y41" s="13">
        <f>'TUSD BE'!$Y$41*'TUSD BE'!$Y$61</f>
        <v>8.3065587707338011</v>
      </c>
      <c r="Z41" s="13">
        <f>'TUSD BE'!$Z$41*'TUSD BE'!$Z$61</f>
        <v>0</v>
      </c>
      <c r="AA41" s="13">
        <f>'TUSD BE'!$AA$41*'TUSD BE'!$AA$61</f>
        <v>0</v>
      </c>
      <c r="AB41" s="13">
        <f>SUM($U$41:$AA$41)</f>
        <v>8.3065587707338011</v>
      </c>
      <c r="AC41" s="13">
        <f>'TUSD BE'!$AC$41*'TUSD BE'!$AC$61</f>
        <v>-243.87456291312361</v>
      </c>
      <c r="AD41" s="13">
        <f>SUM($AC$41:$AC$41)</f>
        <v>-243.87456291312361</v>
      </c>
      <c r="AE41" s="13">
        <f ca="1">$AO$41*$AO$58</f>
        <v>0</v>
      </c>
      <c r="AF41" s="13">
        <f ca="1">$AP$41*$AP$58</f>
        <v>0</v>
      </c>
      <c r="AG41" s="13">
        <f ca="1">SUM($AE$41:$AF$41)</f>
        <v>0</v>
      </c>
      <c r="AH41" s="13">
        <f>'TUSD BE'!$AH$41*'TUSD BE'!$AH$61</f>
        <v>-1.675341822786415</v>
      </c>
      <c r="AI41" s="13">
        <f>'TUSD BE'!$AI$41*'TUSD BE'!$AI$61</f>
        <v>-4.5982718002258699E-2</v>
      </c>
      <c r="AJ41" s="13">
        <f ca="1">'TUSD BE'!$AJ$41*'TUSD BE'!$AJ$61</f>
        <v>0</v>
      </c>
      <c r="AK41" s="13">
        <f ca="1">'TUSD BE'!$AK$41*'TUSD BE'!$AK$61</f>
        <v>0</v>
      </c>
      <c r="AL41" s="13">
        <f ca="1">SUM($AH$41:$AK$41)</f>
        <v>-1.7213245407886737</v>
      </c>
      <c r="AM41" s="13">
        <f ca="1">SUMIF($L$4:$AL$4,"SUBTOTAL",$L$41:$AL$41)</f>
        <v>-234.51893010033331</v>
      </c>
      <c r="AO41" s="20">
        <f ca="1">+'TUSD BE'!$T$41+'TUSD BE'!$AB$41+'TUSD BE'!$AD$41+'TUSD BE'!$AL$41</f>
        <v>1156.8939862333145</v>
      </c>
      <c r="AP41" s="20">
        <f ca="1">+'TUSD BE'!$T$41+'TUSD BE'!$AB$41+'TUSD BE'!$AD$41+'TUSD BE'!$AL$41</f>
        <v>1156.8939862333145</v>
      </c>
    </row>
    <row r="42" spans="1:42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>
        <f>'TUSD BE'!$L$42*'TUSD BE'!$L$61</f>
        <v>0</v>
      </c>
      <c r="M42" s="13">
        <f>'TUSD BE'!$M$42*'TUSD BE'!$M$61</f>
        <v>3.4802260327260519E-2</v>
      </c>
      <c r="N42" s="13">
        <f ca="1">'TUSD BE'!$N$42*'TUSD BE'!$N$61</f>
        <v>0</v>
      </c>
      <c r="O42" s="13">
        <f>'TUSD BE'!$O$42*'TUSD BE'!$O$61</f>
        <v>0</v>
      </c>
      <c r="P42" s="13">
        <f>'TUSD BE'!$P$42*'TUSD BE'!$P$61</f>
        <v>0</v>
      </c>
      <c r="Q42" s="13">
        <f>'TUSD BE'!$Q$42*'TUSD BE'!$Q$61</f>
        <v>2.3778471910795425</v>
      </c>
      <c r="R42" s="13">
        <f>'TUSD BE'!$R$42*'TUSD BE'!$R$61</f>
        <v>0.35774913143839271</v>
      </c>
      <c r="S42" s="13">
        <f>'TUSD BE'!$R$42*'TUSD BE'!$S$61</f>
        <v>0</v>
      </c>
      <c r="T42" s="13">
        <f ca="1">SUM($L$42:$S$42)</f>
        <v>2.7703985828451958</v>
      </c>
      <c r="U42" s="13">
        <f>'TUSD BE'!$U$42*'TUSD BE'!$U$61</f>
        <v>0</v>
      </c>
      <c r="V42" s="13">
        <f>'TUSD BE'!$V$42*'TUSD BE'!$V$61</f>
        <v>0</v>
      </c>
      <c r="W42" s="13">
        <f>'TUSD BE'!$W$42*'TUSD BE'!$W$61</f>
        <v>0</v>
      </c>
      <c r="X42" s="13">
        <f>'TUSD BE'!$X$42*'TUSD BE'!$X$61</f>
        <v>0</v>
      </c>
      <c r="Y42" s="13">
        <f>'TUSD BE'!$Y$42*'TUSD BE'!$Y$61</f>
        <v>4.9829821082246797</v>
      </c>
      <c r="Z42" s="13">
        <f>'TUSD BE'!$Z$42*'TUSD BE'!$Z$61</f>
        <v>0</v>
      </c>
      <c r="AA42" s="13">
        <f>'TUSD BE'!$AA$42*'TUSD BE'!$AA$61</f>
        <v>0</v>
      </c>
      <c r="AB42" s="13">
        <f>SUM($U$42:$AA$42)</f>
        <v>4.9829821082246797</v>
      </c>
      <c r="AC42" s="13">
        <f>'TUSD BE'!$AC$42*'TUSD BE'!$AC$61</f>
        <v>-146.32469398391322</v>
      </c>
      <c r="AD42" s="13">
        <f>SUM($AC$42:$AC$42)</f>
        <v>-146.32469398391322</v>
      </c>
      <c r="AE42" s="13">
        <f ca="1">$AO$42*$AO$58</f>
        <v>0</v>
      </c>
      <c r="AF42" s="13">
        <f ca="1">$AP$42*$AP$58</f>
        <v>0</v>
      </c>
      <c r="AG42" s="13">
        <f ca="1">SUM($AE$42:$AF$42)</f>
        <v>0</v>
      </c>
      <c r="AH42" s="13">
        <f>'TUSD BE'!$AH$42*'TUSD BE'!$AH$61</f>
        <v>-1.675341822786415</v>
      </c>
      <c r="AI42" s="13">
        <f>'TUSD BE'!$AI$42*'TUSD BE'!$AI$61</f>
        <v>-4.5982718002258699E-2</v>
      </c>
      <c r="AJ42" s="13">
        <f ca="1">'TUSD BE'!$AJ$42*'TUSD BE'!$AJ$61</f>
        <v>0</v>
      </c>
      <c r="AK42" s="13">
        <f ca="1">'TUSD BE'!$AK$42*'TUSD BE'!$AK$61</f>
        <v>0</v>
      </c>
      <c r="AL42" s="13">
        <f ca="1">SUM($AH$42:$AK$42)</f>
        <v>-1.7213245407886737</v>
      </c>
      <c r="AM42" s="13">
        <f ca="1">SUMIF($L$4:$AL$4,"SUBTOTAL",$L$42:$AL$42)</f>
        <v>-140.29263783363203</v>
      </c>
      <c r="AO42" s="20">
        <f ca="1">+'TUSD BE'!$T$42+'TUSD BE'!$AB$42+'TUSD BE'!$AD$42+'TUSD BE'!$AL$42</f>
        <v>746.56677793740369</v>
      </c>
      <c r="AP42" s="20">
        <f ca="1">+'TUSD BE'!$T$42+'TUSD BE'!$AB$42+'TUSD BE'!$AD$42+'TUSD BE'!$AL$42</f>
        <v>746.56677793740369</v>
      </c>
    </row>
    <row r="43" spans="1:42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>
        <f>'TUSD BE'!$L$43*'TUSD BE'!$L$61</f>
        <v>0</v>
      </c>
      <c r="M43" s="13">
        <f>'TUSD BE'!$M$43*'TUSD BE'!$M$61</f>
        <v>3.4802260327260519E-2</v>
      </c>
      <c r="N43" s="13">
        <f ca="1">'TUSD BE'!$N$43*'TUSD BE'!$N$61</f>
        <v>0</v>
      </c>
      <c r="O43" s="13">
        <f>'TUSD BE'!$O$43*'TUSD BE'!$O$61</f>
        <v>0</v>
      </c>
      <c r="P43" s="13">
        <f>'TUSD BE'!$P$43*'TUSD BE'!$P$61</f>
        <v>0</v>
      </c>
      <c r="Q43" s="13">
        <f>'TUSD BE'!$Q$43*'TUSD BE'!$Q$61</f>
        <v>2.3778471910795425</v>
      </c>
      <c r="R43" s="13">
        <f>'TUSD BE'!$R$43*'TUSD BE'!$R$61</f>
        <v>0.35774913143839271</v>
      </c>
      <c r="S43" s="13">
        <f>'TUSD BE'!$R$43*'TUSD BE'!$S$61</f>
        <v>0</v>
      </c>
      <c r="T43" s="13">
        <f ca="1">SUM($L$43:$S$43)</f>
        <v>2.7703985828451958</v>
      </c>
      <c r="U43" s="13">
        <f>'TUSD BE'!$U$43*'TUSD BE'!$U$61</f>
        <v>0</v>
      </c>
      <c r="V43" s="13">
        <f>'TUSD BE'!$V$43*'TUSD BE'!$V$61</f>
        <v>0</v>
      </c>
      <c r="W43" s="13">
        <f>'TUSD BE'!$W$43*'TUSD BE'!$W$61</f>
        <v>0</v>
      </c>
      <c r="X43" s="13">
        <f>'TUSD BE'!$X$43*'TUSD BE'!$X$61</f>
        <v>0</v>
      </c>
      <c r="Y43" s="13">
        <f>'TUSD BE'!$Y$43*'TUSD BE'!$Y$61</f>
        <v>1.6605988909098819</v>
      </c>
      <c r="Z43" s="13">
        <f>'TUSD BE'!$Z$43*'TUSD BE'!$Z$61</f>
        <v>0</v>
      </c>
      <c r="AA43" s="13">
        <f>'TUSD BE'!$AA$43*'TUSD BE'!$AA$61</f>
        <v>0</v>
      </c>
      <c r="AB43" s="13">
        <f>SUM($U$43:$AA$43)</f>
        <v>1.6605988909098819</v>
      </c>
      <c r="AC43" s="13">
        <f>'TUSD BE'!$AC$43*'TUSD BE'!$AC$61</f>
        <v>-48.774897994637747</v>
      </c>
      <c r="AD43" s="13">
        <f>SUM($AC$43:$AC$43)</f>
        <v>-48.774897994637747</v>
      </c>
      <c r="AE43" s="13">
        <f ca="1">$AO$43*$AO$58</f>
        <v>0</v>
      </c>
      <c r="AF43" s="13">
        <f ca="1">$AP$43*$AP$58</f>
        <v>0</v>
      </c>
      <c r="AG43" s="13">
        <f ca="1">SUM($AE$43:$AF$43)</f>
        <v>0</v>
      </c>
      <c r="AH43" s="13">
        <f>'TUSD BE'!$AH$43*'TUSD BE'!$AH$61</f>
        <v>-1.675341822786415</v>
      </c>
      <c r="AI43" s="13">
        <f>'TUSD BE'!$AI$43*'TUSD BE'!$AI$61</f>
        <v>-4.5982718002258699E-2</v>
      </c>
      <c r="AJ43" s="13">
        <f ca="1">'TUSD BE'!$AJ$43*'TUSD BE'!$AJ$61</f>
        <v>0</v>
      </c>
      <c r="AK43" s="13">
        <f ca="1">'TUSD BE'!$AK$43*'TUSD BE'!$AK$61</f>
        <v>0</v>
      </c>
      <c r="AL43" s="13">
        <f ca="1">SUM($AH$43:$AK$43)</f>
        <v>-1.7213245407886737</v>
      </c>
      <c r="AM43" s="13">
        <f ca="1">SUMIF($L$4:$AL$4,"SUBTOTAL",$L$43:$AL$43)</f>
        <v>-46.065225061671342</v>
      </c>
      <c r="AO43" s="20">
        <f ca="1">+'TUSD BE'!$T$43+'TUSD BE'!$AB$43+'TUSD BE'!$AD$43+'TUSD BE'!$AL$43</f>
        <v>336.27457374733518</v>
      </c>
      <c r="AP43" s="20">
        <f ca="1">+'TUSD BE'!$T$43+'TUSD BE'!$AB$43+'TUSD BE'!$AD$43+'TUSD BE'!$AL$43</f>
        <v>336.27457374733518</v>
      </c>
    </row>
    <row r="44" spans="1:42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>
        <f>'TUSD BE'!$L$44*'TUSD BE'!$L$61</f>
        <v>0</v>
      </c>
      <c r="M44" s="13">
        <f>'TUSD BE'!$M$44*'TUSD BE'!$M$61</f>
        <v>3.4802260327260519E-2</v>
      </c>
      <c r="N44" s="13">
        <f ca="1">'TUSD BE'!$N$44*'TUSD BE'!$N$61</f>
        <v>0</v>
      </c>
      <c r="O44" s="13">
        <f>'TUSD BE'!$O$44*'TUSD BE'!$O$61</f>
        <v>0</v>
      </c>
      <c r="P44" s="13">
        <f>'TUSD BE'!$P$44*'TUSD BE'!$P$61</f>
        <v>0</v>
      </c>
      <c r="Q44" s="13">
        <f>'TUSD BE'!$Q$44*'TUSD BE'!$Q$61</f>
        <v>2.3778471910795425</v>
      </c>
      <c r="R44" s="13">
        <f>'TUSD BE'!$R$44*'TUSD BE'!$R$61</f>
        <v>0.35774913143839271</v>
      </c>
      <c r="S44" s="13">
        <f>'TUSD BE'!$R$44*'TUSD BE'!$S$61</f>
        <v>0</v>
      </c>
      <c r="T44" s="13">
        <f ca="1">SUM($L$44:$S$44)</f>
        <v>2.7703985828451958</v>
      </c>
      <c r="U44" s="13">
        <f>'TUSD BE'!$U$44*'TUSD BE'!$U$61</f>
        <v>0</v>
      </c>
      <c r="V44" s="13">
        <f>'TUSD BE'!$V$44*'TUSD BE'!$V$61</f>
        <v>0</v>
      </c>
      <c r="W44" s="13">
        <f>'TUSD BE'!$W$44*'TUSD BE'!$W$61</f>
        <v>0</v>
      </c>
      <c r="X44" s="13">
        <f>'TUSD BE'!$X$44*'TUSD BE'!$X$61</f>
        <v>0</v>
      </c>
      <c r="Y44" s="13">
        <f>'TUSD BE'!$Y$44*'TUSD BE'!$Y$61</f>
        <v>2.4070948551103224</v>
      </c>
      <c r="Z44" s="13">
        <f>'TUSD BE'!$Z$44*'TUSD BE'!$Z$61</f>
        <v>0</v>
      </c>
      <c r="AA44" s="13">
        <f>'TUSD BE'!$AA$44*'TUSD BE'!$AA$61</f>
        <v>0</v>
      </c>
      <c r="AB44" s="13">
        <f>SUM($U$44:$AA$44)</f>
        <v>2.4070948551103224</v>
      </c>
      <c r="AC44" s="13">
        <f>'TUSD BE'!$AC$44*'TUSD BE'!$AC$61</f>
        <v>-82.669356341216755</v>
      </c>
      <c r="AD44" s="13">
        <f>SUM($AC$44:$AC$44)</f>
        <v>-82.669356341216755</v>
      </c>
      <c r="AE44" s="13">
        <f ca="1">$AO$44*$AO$58</f>
        <v>0</v>
      </c>
      <c r="AF44" s="13">
        <f ca="1">$AP$44*$AP$58</f>
        <v>0</v>
      </c>
      <c r="AG44" s="13">
        <f ca="1">SUM($AE$44:$AF$44)</f>
        <v>0</v>
      </c>
      <c r="AH44" s="13">
        <f>'TUSD BE'!$AH$44*'TUSD BE'!$AH$61</f>
        <v>-1.675341822786415</v>
      </c>
      <c r="AI44" s="13">
        <f>'TUSD BE'!$AI$44*'TUSD BE'!$AI$61</f>
        <v>-4.5982718002258699E-2</v>
      </c>
      <c r="AJ44" s="13">
        <f ca="1">'TUSD BE'!$AJ$44*'TUSD BE'!$AJ$61</f>
        <v>0</v>
      </c>
      <c r="AK44" s="13">
        <f ca="1">'TUSD BE'!$AK$44*'TUSD BE'!$AK$61</f>
        <v>0</v>
      </c>
      <c r="AL44" s="13">
        <f ca="1">SUM($AH$44:$AK$44)</f>
        <v>-1.7213245407886737</v>
      </c>
      <c r="AM44" s="13">
        <f ca="1">SUMIF($L$4:$AL$4,"SUBTOTAL",$L$44:$AL$44)</f>
        <v>-79.213187444049908</v>
      </c>
      <c r="AO44" s="20">
        <f ca="1">+'TUSD BE'!$T$44+'TUSD BE'!$AB$44+'TUSD BE'!$AD$44+'TUSD BE'!$AL$44</f>
        <v>466.95038811523096</v>
      </c>
      <c r="AP44" s="20">
        <f ca="1">+'TUSD BE'!$T$44+'TUSD BE'!$AB$44+'TUSD BE'!$AD$44+'TUSD BE'!$AL$44</f>
        <v>466.95038811523096</v>
      </c>
    </row>
    <row r="45" spans="1:42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>
        <f>'TUSD BE'!$L$45*'TUSD BE'!$L$61</f>
        <v>0</v>
      </c>
      <c r="M45" s="13">
        <f>'TUSD BE'!$M$45*'TUSD BE'!$M$61</f>
        <v>3.4802260327260519E-2</v>
      </c>
      <c r="N45" s="13">
        <f ca="1">'TUSD BE'!$N$45*'TUSD BE'!$N$61</f>
        <v>0</v>
      </c>
      <c r="O45" s="13">
        <f>'TUSD BE'!$O$45*'TUSD BE'!$O$61</f>
        <v>0</v>
      </c>
      <c r="P45" s="13">
        <f>'TUSD BE'!$P$45*'TUSD BE'!$P$61</f>
        <v>0</v>
      </c>
      <c r="Q45" s="13">
        <f>'TUSD BE'!$Q$45*'TUSD BE'!$Q$61</f>
        <v>2.3778471910795425</v>
      </c>
      <c r="R45" s="13">
        <f>'TUSD BE'!$R$45*'TUSD BE'!$R$61</f>
        <v>0.35774913143839271</v>
      </c>
      <c r="S45" s="13">
        <f>'TUSD BE'!$R$45*'TUSD BE'!$S$61</f>
        <v>0</v>
      </c>
      <c r="T45" s="13">
        <f ca="1">SUM($L$45:$S$45)</f>
        <v>2.7703985828451958</v>
      </c>
      <c r="U45" s="13">
        <f>'TUSD BE'!$U$45*'TUSD BE'!$U$61</f>
        <v>0</v>
      </c>
      <c r="V45" s="13">
        <f>'TUSD BE'!$V$45*'TUSD BE'!$V$61</f>
        <v>0</v>
      </c>
      <c r="W45" s="13">
        <f>'TUSD BE'!$W$45*'TUSD BE'!$W$61</f>
        <v>0</v>
      </c>
      <c r="X45" s="13">
        <f>'TUSD BE'!$X$45*'TUSD BE'!$X$61</f>
        <v>0</v>
      </c>
      <c r="Y45" s="13">
        <f>'TUSD BE'!$Y$45*'TUSD BE'!$Y$61</f>
        <v>2.4070948551103224</v>
      </c>
      <c r="Z45" s="13">
        <f>'TUSD BE'!$Z$45*'TUSD BE'!$Z$61</f>
        <v>0</v>
      </c>
      <c r="AA45" s="13">
        <f>'TUSD BE'!$AA$45*'TUSD BE'!$AA$61</f>
        <v>0</v>
      </c>
      <c r="AB45" s="13">
        <f>SUM($U$45:$AA$45)</f>
        <v>2.4070948551103224</v>
      </c>
      <c r="AC45" s="13">
        <f>'TUSD BE'!$AC$45*'TUSD BE'!$AC$61</f>
        <v>-82.669356341216755</v>
      </c>
      <c r="AD45" s="13">
        <f>SUM($AC$45:$AC$45)</f>
        <v>-82.669356341216755</v>
      </c>
      <c r="AE45" s="13">
        <f ca="1">$AO$45*$AO$58</f>
        <v>0</v>
      </c>
      <c r="AF45" s="13">
        <f ca="1">$AP$45*$AP$58</f>
        <v>0</v>
      </c>
      <c r="AG45" s="13">
        <f ca="1">SUM($AE$45:$AF$45)</f>
        <v>0</v>
      </c>
      <c r="AH45" s="13">
        <f>'TUSD BE'!$AH$45*'TUSD BE'!$AH$61</f>
        <v>-1.675341822786415</v>
      </c>
      <c r="AI45" s="13">
        <f>'TUSD BE'!$AI$45*'TUSD BE'!$AI$61</f>
        <v>-4.5982718002258699E-2</v>
      </c>
      <c r="AJ45" s="13">
        <f ca="1">'TUSD BE'!$AJ$45*'TUSD BE'!$AJ$61</f>
        <v>0</v>
      </c>
      <c r="AK45" s="13">
        <f ca="1">'TUSD BE'!$AK$45*'TUSD BE'!$AK$61</f>
        <v>0</v>
      </c>
      <c r="AL45" s="13">
        <f ca="1">SUM($AH$45:$AK$45)</f>
        <v>-1.7213245407886737</v>
      </c>
      <c r="AM45" s="13">
        <f ca="1">SUMIF($L$4:$AL$4,"SUBTOTAL",$L$45:$AL$45)</f>
        <v>-79.213187444049908</v>
      </c>
      <c r="AO45" s="20">
        <f ca="1">+'TUSD BE'!$T$45+'TUSD BE'!$AB$45+'TUSD BE'!$AD$45+'TUSD BE'!$AL$45</f>
        <v>466.95038811523096</v>
      </c>
      <c r="AP45" s="20">
        <f ca="1">+'TUSD BE'!$T$45+'TUSD BE'!$AB$45+'TUSD BE'!$AD$45+'TUSD BE'!$AL$45</f>
        <v>466.95038811523096</v>
      </c>
    </row>
    <row r="46" spans="1:42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>
        <f>'TUSD BE'!$L$46*'TUSD BE'!$L$61</f>
        <v>0</v>
      </c>
      <c r="M46" s="13">
        <f>'TUSD BE'!$M$46*'TUSD BE'!$M$61</f>
        <v>3.4802260327260519E-2</v>
      </c>
      <c r="N46" s="13">
        <f ca="1">'TUSD BE'!$N$46*'TUSD BE'!$N$61</f>
        <v>0</v>
      </c>
      <c r="O46" s="13">
        <f>'TUSD BE'!$O$46*'TUSD BE'!$O$61</f>
        <v>0</v>
      </c>
      <c r="P46" s="13">
        <f>'TUSD BE'!$P$46*'TUSD BE'!$P$61</f>
        <v>0</v>
      </c>
      <c r="Q46" s="13">
        <f>'TUSD BE'!$Q$46*'TUSD BE'!$Q$61</f>
        <v>2.3778471910795425</v>
      </c>
      <c r="R46" s="13">
        <f>'TUSD BE'!$R$46*'TUSD BE'!$R$61</f>
        <v>0.35774913143839271</v>
      </c>
      <c r="S46" s="13">
        <f>'TUSD BE'!$R$46*'TUSD BE'!$S$61</f>
        <v>0</v>
      </c>
      <c r="T46" s="13">
        <f ca="1">SUM($L$46:$S$46)</f>
        <v>2.7703985828451958</v>
      </c>
      <c r="U46" s="13">
        <f>'TUSD BE'!$U$46*'TUSD BE'!$U$61</f>
        <v>0</v>
      </c>
      <c r="V46" s="13">
        <f>'TUSD BE'!$V$46*'TUSD BE'!$V$61</f>
        <v>0</v>
      </c>
      <c r="W46" s="13">
        <f>'TUSD BE'!$W$46*'TUSD BE'!$W$61</f>
        <v>0</v>
      </c>
      <c r="X46" s="13">
        <f>'TUSD BE'!$X$46*'TUSD BE'!$X$61</f>
        <v>0</v>
      </c>
      <c r="Y46" s="13">
        <f>'TUSD BE'!$Y$46*'TUSD BE'!$Y$61</f>
        <v>2.4070948551103224</v>
      </c>
      <c r="Z46" s="13">
        <f>'TUSD BE'!$Z$46*'TUSD BE'!$Z$61</f>
        <v>0</v>
      </c>
      <c r="AA46" s="13">
        <f>'TUSD BE'!$AA$46*'TUSD BE'!$AA$61</f>
        <v>0</v>
      </c>
      <c r="AB46" s="13">
        <f>SUM($U$46:$AA$46)</f>
        <v>2.4070948551103224</v>
      </c>
      <c r="AC46" s="13">
        <f>'TUSD BE'!$AC$46*'TUSD BE'!$AC$61</f>
        <v>-82.669356341216755</v>
      </c>
      <c r="AD46" s="13">
        <f>SUM($AC$46:$AC$46)</f>
        <v>-82.669356341216755</v>
      </c>
      <c r="AE46" s="13">
        <f ca="1">$AO$46*$AO$58</f>
        <v>0</v>
      </c>
      <c r="AF46" s="13">
        <f ca="1">$AP$46*$AP$58</f>
        <v>0</v>
      </c>
      <c r="AG46" s="13">
        <f ca="1">SUM($AE$46:$AF$46)</f>
        <v>0</v>
      </c>
      <c r="AH46" s="13">
        <f>'TUSD BE'!$AH$46*'TUSD BE'!$AH$61</f>
        <v>-1.675341822786415</v>
      </c>
      <c r="AI46" s="13">
        <f>'TUSD BE'!$AI$46*'TUSD BE'!$AI$61</f>
        <v>-4.5982718002258699E-2</v>
      </c>
      <c r="AJ46" s="13">
        <f ca="1">'TUSD BE'!$AJ$46*'TUSD BE'!$AJ$61</f>
        <v>0</v>
      </c>
      <c r="AK46" s="13">
        <f ca="1">'TUSD BE'!$AK$46*'TUSD BE'!$AK$61</f>
        <v>0</v>
      </c>
      <c r="AL46" s="13">
        <f ca="1">SUM($AH$46:$AK$46)</f>
        <v>-1.7213245407886737</v>
      </c>
      <c r="AM46" s="13">
        <f ca="1">SUMIF($L$4:$AL$4,"SUBTOTAL",$L$46:$AL$46)</f>
        <v>-79.213187444049908</v>
      </c>
      <c r="AO46" s="20">
        <f ca="1">+'TUSD BE'!$T$46+'TUSD BE'!$AB$46+'TUSD BE'!$AD$46+'TUSD BE'!$AL$46</f>
        <v>466.95038811523096</v>
      </c>
      <c r="AP46" s="20">
        <f ca="1">+'TUSD BE'!$T$46+'TUSD BE'!$AB$46+'TUSD BE'!$AD$46+'TUSD BE'!$AL$46</f>
        <v>466.95038811523096</v>
      </c>
    </row>
    <row r="47" spans="1:42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>
        <f>'TUSD BE'!$L$47*'TUSD BE'!$L$61</f>
        <v>0</v>
      </c>
      <c r="M47" s="13">
        <f>'TUSD BE'!$M$47*'TUSD BE'!$M$61</f>
        <v>3.4802260327260519E-2</v>
      </c>
      <c r="N47" s="13">
        <f ca="1">'TUSD BE'!$N$47*'TUSD BE'!$N$61</f>
        <v>0</v>
      </c>
      <c r="O47" s="13">
        <f>'TUSD BE'!$O$47*'TUSD BE'!$O$61</f>
        <v>0</v>
      </c>
      <c r="P47" s="13">
        <f>'TUSD BE'!$P$47*'TUSD BE'!$P$61</f>
        <v>0</v>
      </c>
      <c r="Q47" s="13">
        <f>'TUSD BE'!$Q$47*'TUSD BE'!$Q$61</f>
        <v>2.3778471910795425</v>
      </c>
      <c r="R47" s="13">
        <f>'TUSD BE'!$R$47*'TUSD BE'!$R$61</f>
        <v>0.35774913143839271</v>
      </c>
      <c r="S47" s="13">
        <f>'TUSD BE'!$R$47*'TUSD BE'!$S$61</f>
        <v>0</v>
      </c>
      <c r="T47" s="13">
        <f ca="1">SUM($L$47:$S$47)</f>
        <v>2.7703985828451958</v>
      </c>
      <c r="U47" s="13">
        <f>'TUSD BE'!$U$47*'TUSD BE'!$U$61</f>
        <v>0</v>
      </c>
      <c r="V47" s="13">
        <f>'TUSD BE'!$V$47*'TUSD BE'!$V$61</f>
        <v>0</v>
      </c>
      <c r="W47" s="13">
        <f>'TUSD BE'!$W$47*'TUSD BE'!$W$61</f>
        <v>0</v>
      </c>
      <c r="X47" s="13">
        <f>'TUSD BE'!$X$47*'TUSD BE'!$X$61</f>
        <v>0</v>
      </c>
      <c r="Y47" s="13">
        <f>'TUSD BE'!$Y$47*'TUSD BE'!$Y$61</f>
        <v>2.4070948551103224</v>
      </c>
      <c r="Z47" s="13">
        <f>'TUSD BE'!$Z$47*'TUSD BE'!$Z$61</f>
        <v>0</v>
      </c>
      <c r="AA47" s="13">
        <f>'TUSD BE'!$AA$47*'TUSD BE'!$AA$61</f>
        <v>0</v>
      </c>
      <c r="AB47" s="13">
        <f>SUM($U$47:$AA$47)</f>
        <v>2.4070948551103224</v>
      </c>
      <c r="AC47" s="13">
        <f>'TUSD BE'!$AC$47*'TUSD BE'!$AC$61</f>
        <v>-82.669356341216755</v>
      </c>
      <c r="AD47" s="13">
        <f>SUM($AC$47:$AC$47)</f>
        <v>-82.669356341216755</v>
      </c>
      <c r="AE47" s="13">
        <f ca="1">$AO$47*$AO$58</f>
        <v>0</v>
      </c>
      <c r="AF47" s="13">
        <f ca="1">$AP$47*$AP$58</f>
        <v>0</v>
      </c>
      <c r="AG47" s="13">
        <f ca="1">SUM($AE$47:$AF$47)</f>
        <v>0</v>
      </c>
      <c r="AH47" s="13">
        <f>'TUSD BE'!$AH$47*'TUSD BE'!$AH$61</f>
        <v>-1.675341822786415</v>
      </c>
      <c r="AI47" s="13">
        <f>'TUSD BE'!$AI$47*'TUSD BE'!$AI$61</f>
        <v>-4.5982718002258699E-2</v>
      </c>
      <c r="AJ47" s="13">
        <f ca="1">'TUSD BE'!$AJ$47*'TUSD BE'!$AJ$61</f>
        <v>0</v>
      </c>
      <c r="AK47" s="13">
        <f ca="1">'TUSD BE'!$AK$47*'TUSD BE'!$AK$61</f>
        <v>0</v>
      </c>
      <c r="AL47" s="13">
        <f ca="1">SUM($AH$47:$AK$47)</f>
        <v>-1.7213245407886737</v>
      </c>
      <c r="AM47" s="13">
        <f ca="1">SUMIF($L$4:$AL$4,"SUBTOTAL",$L$47:$AL$47)</f>
        <v>-79.213187444049908</v>
      </c>
      <c r="AO47" s="20">
        <f ca="1">+'TUSD BE'!$T$47+'TUSD BE'!$AB$47+'TUSD BE'!$AD$47+'TUSD BE'!$AL$47</f>
        <v>466.95038811523096</v>
      </c>
      <c r="AP47" s="20">
        <f ca="1">+'TUSD BE'!$T$47+'TUSD BE'!$AB$47+'TUSD BE'!$AD$47+'TUSD BE'!$AL$47</f>
        <v>466.95038811523096</v>
      </c>
    </row>
    <row r="48" spans="1:42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>
        <f>'TUSD BE'!$L$48*'TUSD BE'!$L$61</f>
        <v>0</v>
      </c>
      <c r="M48" s="13">
        <f>'TUSD BE'!$M$48*'TUSD BE'!$M$61</f>
        <v>3.4802260327260519E-2</v>
      </c>
      <c r="N48" s="13">
        <f ca="1">'TUSD BE'!$N$48*'TUSD BE'!$N$61</f>
        <v>0</v>
      </c>
      <c r="O48" s="13">
        <f>'TUSD BE'!$O$48*'TUSD BE'!$O$61</f>
        <v>0</v>
      </c>
      <c r="P48" s="13">
        <f>'TUSD BE'!$P$48*'TUSD BE'!$P$61</f>
        <v>0</v>
      </c>
      <c r="Q48" s="13">
        <f>'TUSD BE'!$Q$48*'TUSD BE'!$Q$61</f>
        <v>2.3778471910795425</v>
      </c>
      <c r="R48" s="13">
        <f>'TUSD BE'!$R$48*'TUSD BE'!$R$61</f>
        <v>0.35774913143839271</v>
      </c>
      <c r="S48" s="13">
        <f>'TUSD BE'!$R$48*'TUSD BE'!$S$61</f>
        <v>0</v>
      </c>
      <c r="T48" s="13">
        <f ca="1">SUM($L$48:$S$48)</f>
        <v>2.7703985828451958</v>
      </c>
      <c r="U48" s="13">
        <f>'TUSD BE'!$U$48*'TUSD BE'!$U$61</f>
        <v>0</v>
      </c>
      <c r="V48" s="13">
        <f>'TUSD BE'!$V$48*'TUSD BE'!$V$61</f>
        <v>0</v>
      </c>
      <c r="W48" s="13">
        <f>'TUSD BE'!$W$48*'TUSD BE'!$W$61</f>
        <v>0</v>
      </c>
      <c r="X48" s="13">
        <f>'TUSD BE'!$X$48*'TUSD BE'!$X$61</f>
        <v>0</v>
      </c>
      <c r="Y48" s="13">
        <f>'TUSD BE'!$Y$48*'TUSD BE'!$Y$61</f>
        <v>8.3065587707338011</v>
      </c>
      <c r="Z48" s="13">
        <f>'TUSD BE'!$Z$48*'TUSD BE'!$Z$61</f>
        <v>0</v>
      </c>
      <c r="AA48" s="13">
        <f>'TUSD BE'!$AA$48*'TUSD BE'!$AA$61</f>
        <v>0</v>
      </c>
      <c r="AB48" s="13">
        <f>SUM($U$48:$AA$48)</f>
        <v>8.3065587707338011</v>
      </c>
      <c r="AC48" s="13">
        <f>'TUSD BE'!$AC$48*'TUSD BE'!$AC$61</f>
        <v>-285.20918637878083</v>
      </c>
      <c r="AD48" s="13">
        <f>SUM($AC$48:$AC$48)</f>
        <v>-285.20918637878083</v>
      </c>
      <c r="AE48" s="13">
        <f ca="1">$AO$48*$AO$58</f>
        <v>0</v>
      </c>
      <c r="AF48" s="13">
        <f ca="1">$AP$48*$AP$58</f>
        <v>0</v>
      </c>
      <c r="AG48" s="13">
        <f ca="1">SUM($AE$48:$AF$48)</f>
        <v>0</v>
      </c>
      <c r="AH48" s="13">
        <f>'TUSD BE'!$AH$48*'TUSD BE'!$AH$61</f>
        <v>-1.675341822786415</v>
      </c>
      <c r="AI48" s="13">
        <f>'TUSD BE'!$AI$48*'TUSD BE'!$AI$61</f>
        <v>-4.5982718002258699E-2</v>
      </c>
      <c r="AJ48" s="13">
        <f ca="1">'TUSD BE'!$AJ$48*'TUSD BE'!$AJ$61</f>
        <v>0</v>
      </c>
      <c r="AK48" s="13">
        <f ca="1">'TUSD BE'!$AK$48*'TUSD BE'!$AK$61</f>
        <v>0</v>
      </c>
      <c r="AL48" s="13">
        <f ca="1">SUM($AH$48:$AK$48)</f>
        <v>-1.7213245407886737</v>
      </c>
      <c r="AM48" s="13">
        <f ca="1">SUMIF($L$4:$AL$4,"SUBTOTAL",$L$48:$AL$48)</f>
        <v>-275.85355356599047</v>
      </c>
      <c r="AO48" s="20">
        <f ca="1">+'TUSD BE'!$T$48+'TUSD BE'!$AB$48+'TUSD BE'!$AD$48+'TUSD BE'!$AL$48</f>
        <v>1289.7321203426879</v>
      </c>
      <c r="AP48" s="20">
        <f ca="1">+'TUSD BE'!$T$48+'TUSD BE'!$AB$48+'TUSD BE'!$AD$48+'TUSD BE'!$AL$48</f>
        <v>1289.7321203426879</v>
      </c>
    </row>
    <row r="49" spans="1:42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>
        <f>'TUSD BE'!$L$49*'TUSD BE'!$L$61</f>
        <v>0</v>
      </c>
      <c r="M49" s="13">
        <f>'TUSD BE'!$M$49*'TUSD BE'!$M$61</f>
        <v>3.4802260327260519E-2</v>
      </c>
      <c r="N49" s="13">
        <f ca="1">'TUSD BE'!$N$49*'TUSD BE'!$N$61</f>
        <v>0</v>
      </c>
      <c r="O49" s="13">
        <f>'TUSD BE'!$O$49*'TUSD BE'!$O$61</f>
        <v>0</v>
      </c>
      <c r="P49" s="13">
        <f>'TUSD BE'!$P$49*'TUSD BE'!$P$61</f>
        <v>0</v>
      </c>
      <c r="Q49" s="13">
        <f>'TUSD BE'!$Q$49*'TUSD BE'!$Q$61</f>
        <v>2.3778471910795425</v>
      </c>
      <c r="R49" s="13">
        <f>'TUSD BE'!$R$49*'TUSD BE'!$R$61</f>
        <v>0.35774913143839271</v>
      </c>
      <c r="S49" s="13">
        <f>'TUSD BE'!$R$49*'TUSD BE'!$S$61</f>
        <v>0</v>
      </c>
      <c r="T49" s="13">
        <f ca="1">SUM($L$49:$S$49)</f>
        <v>2.7703985828451958</v>
      </c>
      <c r="U49" s="13">
        <f>'TUSD BE'!$U$49*'TUSD BE'!$U$61</f>
        <v>0</v>
      </c>
      <c r="V49" s="13">
        <f>'TUSD BE'!$V$49*'TUSD BE'!$V$61</f>
        <v>0</v>
      </c>
      <c r="W49" s="13">
        <f>'TUSD BE'!$W$49*'TUSD BE'!$W$61</f>
        <v>0</v>
      </c>
      <c r="X49" s="13">
        <f>'TUSD BE'!$X$49*'TUSD BE'!$X$61</f>
        <v>0</v>
      </c>
      <c r="Y49" s="13">
        <f>'TUSD BE'!$Y$49*'TUSD BE'!$Y$61</f>
        <v>4.9829821082246797</v>
      </c>
      <c r="Z49" s="13">
        <f>'TUSD BE'!$Z$49*'TUSD BE'!$Z$61</f>
        <v>0</v>
      </c>
      <c r="AA49" s="13">
        <f>'TUSD BE'!$AA$49*'TUSD BE'!$AA$61</f>
        <v>0</v>
      </c>
      <c r="AB49" s="13">
        <f>SUM($U$49:$AA$49)</f>
        <v>4.9829821082246797</v>
      </c>
      <c r="AC49" s="13">
        <f>'TUSD BE'!$AC$49*'TUSD BE'!$AC$61</f>
        <v>-171.1255118272685</v>
      </c>
      <c r="AD49" s="13">
        <f>SUM($AC$49:$AC$49)</f>
        <v>-171.1255118272685</v>
      </c>
      <c r="AE49" s="13">
        <f ca="1">$AO$49*$AO$58</f>
        <v>0</v>
      </c>
      <c r="AF49" s="13">
        <f ca="1">$AP$49*$AP$58</f>
        <v>0</v>
      </c>
      <c r="AG49" s="13">
        <f ca="1">SUM($AE$49:$AF$49)</f>
        <v>0</v>
      </c>
      <c r="AH49" s="13">
        <f>'TUSD BE'!$AH$49*'TUSD BE'!$AH$61</f>
        <v>-1.675341822786415</v>
      </c>
      <c r="AI49" s="13">
        <f>'TUSD BE'!$AI$49*'TUSD BE'!$AI$61</f>
        <v>-4.5982718002258699E-2</v>
      </c>
      <c r="AJ49" s="13">
        <f ca="1">'TUSD BE'!$AJ$49*'TUSD BE'!$AJ$61</f>
        <v>0</v>
      </c>
      <c r="AK49" s="13">
        <f ca="1">'TUSD BE'!$AK$49*'TUSD BE'!$AK$61</f>
        <v>0</v>
      </c>
      <c r="AL49" s="13">
        <f ca="1">SUM($AH$49:$AK$49)</f>
        <v>-1.7213245407886737</v>
      </c>
      <c r="AM49" s="13">
        <f ca="1">SUMIF($L$4:$AL$4,"SUBTOTAL",$L$49:$AL$49)</f>
        <v>-165.0934556769873</v>
      </c>
      <c r="AO49" s="20">
        <f ca="1">+'TUSD BE'!$T$49+'TUSD BE'!$AB$49+'TUSD BE'!$AD$49+'TUSD BE'!$AL$49</f>
        <v>826.26979904838561</v>
      </c>
      <c r="AP49" s="20">
        <f ca="1">+'TUSD BE'!$T$49+'TUSD BE'!$AB$49+'TUSD BE'!$AD$49+'TUSD BE'!$AL$49</f>
        <v>826.26979904838561</v>
      </c>
    </row>
    <row r="50" spans="1:42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>
        <f>'TUSD BE'!$L$50*'TUSD BE'!$L$61</f>
        <v>0</v>
      </c>
      <c r="M50" s="13">
        <f>'TUSD BE'!$M$50*'TUSD BE'!$M$61</f>
        <v>3.4802260327260519E-2</v>
      </c>
      <c r="N50" s="13">
        <f ca="1">'TUSD BE'!$N$50*'TUSD BE'!$N$61</f>
        <v>0</v>
      </c>
      <c r="O50" s="13">
        <f>'TUSD BE'!$O$50*'TUSD BE'!$O$61</f>
        <v>0</v>
      </c>
      <c r="P50" s="13">
        <f>'TUSD BE'!$P$50*'TUSD BE'!$P$61</f>
        <v>0</v>
      </c>
      <c r="Q50" s="13">
        <f>'TUSD BE'!$Q$50*'TUSD BE'!$Q$61</f>
        <v>2.3778471910795425</v>
      </c>
      <c r="R50" s="13">
        <f>'TUSD BE'!$R$50*'TUSD BE'!$R$61</f>
        <v>0.35774913143839271</v>
      </c>
      <c r="S50" s="13">
        <f>'TUSD BE'!$R$50*'TUSD BE'!$S$61</f>
        <v>0</v>
      </c>
      <c r="T50" s="13">
        <f ca="1">SUM($L$50:$S$50)</f>
        <v>2.7703985828451958</v>
      </c>
      <c r="U50" s="13">
        <f>'TUSD BE'!$U$50*'TUSD BE'!$U$61</f>
        <v>0</v>
      </c>
      <c r="V50" s="13">
        <f>'TUSD BE'!$V$50*'TUSD BE'!$V$61</f>
        <v>0</v>
      </c>
      <c r="W50" s="13">
        <f>'TUSD BE'!$W$50*'TUSD BE'!$W$61</f>
        <v>0</v>
      </c>
      <c r="X50" s="13">
        <f>'TUSD BE'!$X$50*'TUSD BE'!$X$61</f>
        <v>0</v>
      </c>
      <c r="Y50" s="13">
        <f>'TUSD BE'!$Y$50*'TUSD BE'!$Y$61</f>
        <v>1.6605988909098819</v>
      </c>
      <c r="Z50" s="13">
        <f>'TUSD BE'!$Z$50*'TUSD BE'!$Z$61</f>
        <v>0</v>
      </c>
      <c r="AA50" s="13">
        <f>'TUSD BE'!$AA$50*'TUSD BE'!$AA$61</f>
        <v>0</v>
      </c>
      <c r="AB50" s="13">
        <f>SUM($U$50:$AA$50)</f>
        <v>1.6605988909098819</v>
      </c>
      <c r="AC50" s="13">
        <f>'TUSD BE'!$AC$50*'TUSD BE'!$AC$61</f>
        <v>-57.041910215691061</v>
      </c>
      <c r="AD50" s="13">
        <f>SUM($AC$50:$AC$50)</f>
        <v>-57.041910215691061</v>
      </c>
      <c r="AE50" s="13">
        <f ca="1">$AO$50*$AO$58</f>
        <v>0</v>
      </c>
      <c r="AF50" s="13">
        <f ca="1">$AP$50*$AP$58</f>
        <v>0</v>
      </c>
      <c r="AG50" s="13">
        <f ca="1">SUM($AE$50:$AF$50)</f>
        <v>0</v>
      </c>
      <c r="AH50" s="13">
        <f>'TUSD BE'!$AH$50*'TUSD BE'!$AH$61</f>
        <v>-1.675341822786415</v>
      </c>
      <c r="AI50" s="13">
        <f>'TUSD BE'!$AI$50*'TUSD BE'!$AI$61</f>
        <v>-4.5982718002258699E-2</v>
      </c>
      <c r="AJ50" s="13">
        <f ca="1">'TUSD BE'!$AJ$50*'TUSD BE'!$AJ$61</f>
        <v>0</v>
      </c>
      <c r="AK50" s="13">
        <f ca="1">'TUSD BE'!$AK$50*'TUSD BE'!$AK$61</f>
        <v>0</v>
      </c>
      <c r="AL50" s="13">
        <f ca="1">SUM($AH$50:$AK$50)</f>
        <v>-1.7213245407886737</v>
      </c>
      <c r="AM50" s="13">
        <f ca="1">SUMIF($L$4:$AL$4,"SUBTOTAL",$L$50:$AL$50)</f>
        <v>-54.332237282724655</v>
      </c>
      <c r="AO50" s="20">
        <f ca="1">+'TUSD BE'!$T$50+'TUSD BE'!$AB$50+'TUSD BE'!$AD$50+'TUSD BE'!$AL$50</f>
        <v>362.84248185992567</v>
      </c>
      <c r="AP50" s="20">
        <f ca="1">+'TUSD BE'!$T$50+'TUSD BE'!$AB$50+'TUSD BE'!$AD$50+'TUSD BE'!$AL$50</f>
        <v>362.84248185992567</v>
      </c>
    </row>
    <row r="51" spans="1:42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>
        <f>'TUSD BE'!$L$51*'TUSD BE'!$L$61</f>
        <v>0</v>
      </c>
      <c r="M51" s="13">
        <f>'TUSD BE'!$M$51*'TUSD BE'!$M$61</f>
        <v>3.4802260327260519E-2</v>
      </c>
      <c r="N51" s="13">
        <f ca="1">'TUSD BE'!$N$51*'TUSD BE'!$N$61</f>
        <v>0</v>
      </c>
      <c r="O51" s="13">
        <f>'TUSD BE'!$O$51*'TUSD BE'!$O$61</f>
        <v>0</v>
      </c>
      <c r="P51" s="13">
        <f>'TUSD BE'!$P$51*'TUSD BE'!$P$61</f>
        <v>0</v>
      </c>
      <c r="Q51" s="13">
        <f>'TUSD BE'!$Q$51*'TUSD BE'!$Q$61</f>
        <v>2.3778471910795425</v>
      </c>
      <c r="R51" s="13">
        <f>'TUSD BE'!$R$51*'TUSD BE'!$R$61</f>
        <v>0.35774913143839271</v>
      </c>
      <c r="S51" s="13">
        <f>'TUSD BE'!$R$51*'TUSD BE'!$S$61</f>
        <v>0</v>
      </c>
      <c r="T51" s="13">
        <f ca="1">SUM($L$51:$S$51)</f>
        <v>2.7703985828451958</v>
      </c>
      <c r="U51" s="13">
        <f>'TUSD BE'!$U$51*'TUSD BE'!$U$61</f>
        <v>0</v>
      </c>
      <c r="V51" s="13">
        <f>'TUSD BE'!$V$51*'TUSD BE'!$V$61</f>
        <v>0</v>
      </c>
      <c r="W51" s="13">
        <f>'TUSD BE'!$W$51*'TUSD BE'!$W$61</f>
        <v>0</v>
      </c>
      <c r="X51" s="13">
        <f>'TUSD BE'!$X$51*'TUSD BE'!$X$61</f>
        <v>0</v>
      </c>
      <c r="Y51" s="13">
        <f>'TUSD BE'!$Y$51*'TUSD BE'!$Y$61</f>
        <v>2.4070948551103224</v>
      </c>
      <c r="Z51" s="13">
        <f>'TUSD BE'!$Z$51*'TUSD BE'!$Z$61</f>
        <v>0</v>
      </c>
      <c r="AA51" s="13">
        <f>'TUSD BE'!$AA$51*'TUSD BE'!$AA$61</f>
        <v>0</v>
      </c>
      <c r="AB51" s="13">
        <f>SUM($U$51:$AA$51)</f>
        <v>2.4070948551103224</v>
      </c>
      <c r="AC51" s="13">
        <f>'TUSD BE'!$AC$51*'TUSD BE'!$AC$61</f>
        <v>-82.669356341216755</v>
      </c>
      <c r="AD51" s="13">
        <f>SUM($AC$51:$AC$51)</f>
        <v>-82.669356341216755</v>
      </c>
      <c r="AE51" s="13">
        <f ca="1">$AO$51*$AO$58</f>
        <v>0</v>
      </c>
      <c r="AF51" s="13">
        <f ca="1">$AP$51*$AP$58</f>
        <v>0</v>
      </c>
      <c r="AG51" s="13">
        <f ca="1">SUM($AE$51:$AF$51)</f>
        <v>0</v>
      </c>
      <c r="AH51" s="13">
        <f>'TUSD BE'!$AH$51*'TUSD BE'!$AH$61</f>
        <v>-1.675341822786415</v>
      </c>
      <c r="AI51" s="13">
        <f>'TUSD BE'!$AI$51*'TUSD BE'!$AI$61</f>
        <v>-4.5982718002258699E-2</v>
      </c>
      <c r="AJ51" s="13">
        <f ca="1">'TUSD BE'!$AJ$51*'TUSD BE'!$AJ$61</f>
        <v>0</v>
      </c>
      <c r="AK51" s="13">
        <f ca="1">'TUSD BE'!$AK$51*'TUSD BE'!$AK$61</f>
        <v>0</v>
      </c>
      <c r="AL51" s="13">
        <f ca="1">SUM($AH$51:$AK$51)</f>
        <v>-1.7213245407886737</v>
      </c>
      <c r="AM51" s="13">
        <f ca="1">SUMIF($L$4:$AL$4,"SUBTOTAL",$L$51:$AL$51)</f>
        <v>-79.213187444049908</v>
      </c>
      <c r="AO51" s="20">
        <f ca="1">+'TUSD BE'!$T$51+'TUSD BE'!$AB$51+'TUSD BE'!$AD$51+'TUSD BE'!$AL$51</f>
        <v>466.95038811523096</v>
      </c>
      <c r="AP51" s="20">
        <f ca="1">+'TUSD BE'!$T$51+'TUSD BE'!$AB$51+'TUSD BE'!$AD$51+'TUSD BE'!$AL$51</f>
        <v>466.95038811523096</v>
      </c>
    </row>
    <row r="52" spans="1:42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>
        <f>'TUSD BE'!$L$52*'TUSD BE'!$L$61</f>
        <v>0</v>
      </c>
      <c r="M52" s="13">
        <f>'TUSD BE'!$M$52*'TUSD BE'!$M$61</f>
        <v>3.4802260327260519E-2</v>
      </c>
      <c r="N52" s="13">
        <f ca="1">'TUSD BE'!$N$52*'TUSD BE'!$N$61</f>
        <v>0</v>
      </c>
      <c r="O52" s="13">
        <f>'TUSD BE'!$O$52*'TUSD BE'!$O$61</f>
        <v>0</v>
      </c>
      <c r="P52" s="13">
        <f>'TUSD BE'!$P$52*'TUSD BE'!$P$61</f>
        <v>0</v>
      </c>
      <c r="Q52" s="13">
        <f>'TUSD BE'!$Q$52*'TUSD BE'!$Q$61</f>
        <v>2.3778471910795425</v>
      </c>
      <c r="R52" s="13">
        <f>'TUSD BE'!$R$52*'TUSD BE'!$R$61</f>
        <v>0.35774913143839271</v>
      </c>
      <c r="S52" s="13">
        <f>'TUSD BE'!$R$52*'TUSD BE'!$S$61</f>
        <v>0</v>
      </c>
      <c r="T52" s="13">
        <f ca="1">SUM($L$52:$S$52)</f>
        <v>2.7703985828451958</v>
      </c>
      <c r="U52" s="13">
        <f>'TUSD BE'!$U$52*'TUSD BE'!$U$61</f>
        <v>0</v>
      </c>
      <c r="V52" s="13">
        <f>'TUSD BE'!$V$52*'TUSD BE'!$V$61</f>
        <v>0</v>
      </c>
      <c r="W52" s="13">
        <f>'TUSD BE'!$W$52*'TUSD BE'!$W$61</f>
        <v>0</v>
      </c>
      <c r="X52" s="13">
        <f>'TUSD BE'!$X$52*'TUSD BE'!$X$61</f>
        <v>0</v>
      </c>
      <c r="Y52" s="13">
        <f>'TUSD BE'!$Y$52*'TUSD BE'!$Y$61</f>
        <v>2.4070948551103224</v>
      </c>
      <c r="Z52" s="13">
        <f>'TUSD BE'!$Z$52*'TUSD BE'!$Z$61</f>
        <v>0</v>
      </c>
      <c r="AA52" s="13">
        <f>'TUSD BE'!$AA$52*'TUSD BE'!$AA$61</f>
        <v>0</v>
      </c>
      <c r="AB52" s="13">
        <f>SUM($U$52:$AA$52)</f>
        <v>2.4070948551103224</v>
      </c>
      <c r="AC52" s="13">
        <f>'TUSD BE'!$AC$52*'TUSD BE'!$AC$61</f>
        <v>-82.669356341216755</v>
      </c>
      <c r="AD52" s="13">
        <f>SUM($AC$52:$AC$52)</f>
        <v>-82.669356341216755</v>
      </c>
      <c r="AE52" s="13">
        <f ca="1">$AO$52*$AO$58</f>
        <v>0</v>
      </c>
      <c r="AF52" s="13">
        <f ca="1">$AP$52*$AP$58</f>
        <v>0</v>
      </c>
      <c r="AG52" s="13">
        <f ca="1">SUM($AE$52:$AF$52)</f>
        <v>0</v>
      </c>
      <c r="AH52" s="13">
        <f>'TUSD BE'!$AH$52*'TUSD BE'!$AH$61</f>
        <v>-1.675341822786415</v>
      </c>
      <c r="AI52" s="13">
        <f>'TUSD BE'!$AI$52*'TUSD BE'!$AI$61</f>
        <v>-4.5982718002258699E-2</v>
      </c>
      <c r="AJ52" s="13">
        <f ca="1">'TUSD BE'!$AJ$52*'TUSD BE'!$AJ$61</f>
        <v>0</v>
      </c>
      <c r="AK52" s="13">
        <f ca="1">'TUSD BE'!$AK$52*'TUSD BE'!$AK$61</f>
        <v>0</v>
      </c>
      <c r="AL52" s="13">
        <f ca="1">SUM($AH$52:$AK$52)</f>
        <v>-1.7213245407886737</v>
      </c>
      <c r="AM52" s="13">
        <f ca="1">SUMIF($L$4:$AL$4,"SUBTOTAL",$L$52:$AL$52)</f>
        <v>-79.213187444049908</v>
      </c>
      <c r="AO52" s="20">
        <f ca="1">+'TUSD BE'!$T$52+'TUSD BE'!$AB$52+'TUSD BE'!$AD$52+'TUSD BE'!$AL$52</f>
        <v>466.95038811523096</v>
      </c>
      <c r="AP52" s="20">
        <f ca="1">+'TUSD BE'!$T$52+'TUSD BE'!$AB$52+'TUSD BE'!$AD$52+'TUSD BE'!$AL$52</f>
        <v>466.95038811523096</v>
      </c>
    </row>
    <row r="53" spans="1:42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>
        <f>'TUSD BE'!$L$53*'TUSD BE'!$L$61</f>
        <v>0</v>
      </c>
      <c r="M53" s="13">
        <f>'TUSD BE'!$M$53*'TUSD BE'!$M$61</f>
        <v>1.9141243179993283E-2</v>
      </c>
      <c r="N53" s="13">
        <f ca="1">'TUSD BE'!$N$53*'TUSD BE'!$N$61</f>
        <v>0</v>
      </c>
      <c r="O53" s="13">
        <f>'TUSD BE'!$O$53*'TUSD BE'!$O$61</f>
        <v>0</v>
      </c>
      <c r="P53" s="13">
        <f>'TUSD BE'!$P$53*'TUSD BE'!$P$61</f>
        <v>0</v>
      </c>
      <c r="Q53" s="13">
        <f>'TUSD BE'!$Q$53*'TUSD BE'!$Q$61</f>
        <v>1.3078159550937483</v>
      </c>
      <c r="R53" s="13">
        <f>'TUSD BE'!$R$53*'TUSD BE'!$R$61</f>
        <v>0.196762022291116</v>
      </c>
      <c r="S53" s="13">
        <f>'TUSD BE'!$R$53*'TUSD BE'!$S$61</f>
        <v>0</v>
      </c>
      <c r="T53" s="13">
        <f ca="1">SUM($L$53:$S$53)</f>
        <v>1.5237192205648575</v>
      </c>
      <c r="U53" s="13">
        <f>'TUSD BE'!$U$53*'TUSD BE'!$U$61</f>
        <v>0</v>
      </c>
      <c r="V53" s="13">
        <f>'TUSD BE'!$V$53*'TUSD BE'!$V$61</f>
        <v>0</v>
      </c>
      <c r="W53" s="13">
        <f>'TUSD BE'!$W$53*'TUSD BE'!$W$61</f>
        <v>0</v>
      </c>
      <c r="X53" s="13">
        <f>'TUSD BE'!$X$53*'TUSD BE'!$X$61</f>
        <v>0</v>
      </c>
      <c r="Y53" s="13">
        <f>'TUSD BE'!$Y$53*'TUSD BE'!$Y$61</f>
        <v>1.3239021703106775</v>
      </c>
      <c r="Z53" s="13">
        <f>'TUSD BE'!$Z$53*'TUSD BE'!$Z$61</f>
        <v>0</v>
      </c>
      <c r="AA53" s="13">
        <f>'TUSD BE'!$AA$53*'TUSD BE'!$AA$61</f>
        <v>0</v>
      </c>
      <c r="AB53" s="13">
        <f>SUM($U$53:$AA$53)</f>
        <v>1.3239021703106775</v>
      </c>
      <c r="AC53" s="13">
        <f>'TUSD BE'!$AC$53*'TUSD BE'!$AC$61</f>
        <v>-45.468145987669217</v>
      </c>
      <c r="AD53" s="13">
        <f>SUM($AC$53:$AC$53)</f>
        <v>-45.468145987669217</v>
      </c>
      <c r="AE53" s="13">
        <f ca="1">$AO$53*$AO$58</f>
        <v>0</v>
      </c>
      <c r="AF53" s="13">
        <f ca="1">$AP$53*$AP$58</f>
        <v>0</v>
      </c>
      <c r="AG53" s="13">
        <f ca="1">SUM($AE$53:$AF$53)</f>
        <v>0</v>
      </c>
      <c r="AH53" s="13">
        <f>'TUSD BE'!$AH$53*'TUSD BE'!$AH$61</f>
        <v>-0.92143800253252817</v>
      </c>
      <c r="AI53" s="13">
        <f>'TUSD BE'!$AI$53*'TUSD BE'!$AI$61</f>
        <v>-2.5290494901242286E-2</v>
      </c>
      <c r="AJ53" s="13">
        <f ca="1">'TUSD BE'!$AJ$53*'TUSD BE'!$AJ$61</f>
        <v>0</v>
      </c>
      <c r="AK53" s="13">
        <f ca="1">'TUSD BE'!$AK$53*'TUSD BE'!$AK$61</f>
        <v>0</v>
      </c>
      <c r="AL53" s="13">
        <f ca="1">SUM($AH$53:$AK$53)</f>
        <v>-0.94672849743377041</v>
      </c>
      <c r="AM53" s="13">
        <f ca="1">SUMIF($L$4:$AL$4,"SUBTOTAL",$L$53:$AL$53)</f>
        <v>-43.567253094227453</v>
      </c>
      <c r="AO53" s="20">
        <f ca="1">+'TUSD BE'!$T$53+'TUSD BE'!$AB$53+'TUSD BE'!$AD$53+'TUSD BE'!$AL$53</f>
        <v>256.82271346337706</v>
      </c>
      <c r="AP53" s="20">
        <f ca="1">+'TUSD BE'!$T$53+'TUSD BE'!$AB$53+'TUSD BE'!$AD$53+'TUSD BE'!$AL$53</f>
        <v>256.82271346337706</v>
      </c>
    </row>
    <row r="54" spans="1:42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>
        <f>'TUSD BE'!$L$54*'TUSD BE'!$L$61</f>
        <v>0</v>
      </c>
      <c r="M54" s="13">
        <f>'TUSD BE'!$M$54*'TUSD BE'!$M$61</f>
        <v>2.0881356196356306E-2</v>
      </c>
      <c r="N54" s="13">
        <f ca="1">'TUSD BE'!$N$54*'TUSD BE'!$N$61</f>
        <v>0</v>
      </c>
      <c r="O54" s="13">
        <f>'TUSD BE'!$O$54*'TUSD BE'!$O$61</f>
        <v>0</v>
      </c>
      <c r="P54" s="13">
        <f>'TUSD BE'!$P$54*'TUSD BE'!$P$61</f>
        <v>0</v>
      </c>
      <c r="Q54" s="13">
        <f>'TUSD BE'!$Q$54*'TUSD BE'!$Q$61</f>
        <v>1.4267083146477253</v>
      </c>
      <c r="R54" s="13">
        <f>'TUSD BE'!$R$54*'TUSD BE'!$R$61</f>
        <v>0.21464947886303562</v>
      </c>
      <c r="S54" s="13">
        <f>'TUSD BE'!$R$54*'TUSD BE'!$S$61</f>
        <v>0</v>
      </c>
      <c r="T54" s="13">
        <f ca="1">SUM($L$54:$S$54)</f>
        <v>1.6622391497071172</v>
      </c>
      <c r="U54" s="13">
        <f>'TUSD BE'!$U$54*'TUSD BE'!$U$61</f>
        <v>0</v>
      </c>
      <c r="V54" s="13">
        <f>'TUSD BE'!$V$54*'TUSD BE'!$V$61</f>
        <v>0</v>
      </c>
      <c r="W54" s="13">
        <f>'TUSD BE'!$W$54*'TUSD BE'!$W$61</f>
        <v>0</v>
      </c>
      <c r="X54" s="13">
        <f>'TUSD BE'!$X$54*'TUSD BE'!$X$61</f>
        <v>0</v>
      </c>
      <c r="Y54" s="13">
        <f>'TUSD BE'!$Y$54*'TUSD BE'!$Y$61</f>
        <v>1.4442569130661935</v>
      </c>
      <c r="Z54" s="13">
        <f>'TUSD BE'!$Z$54*'TUSD BE'!$Z$61</f>
        <v>0</v>
      </c>
      <c r="AA54" s="13">
        <f>'TUSD BE'!$AA$54*'TUSD BE'!$AA$61</f>
        <v>0</v>
      </c>
      <c r="AB54" s="13">
        <f>SUM($U$54:$AA$54)</f>
        <v>1.4442569130661935</v>
      </c>
      <c r="AC54" s="13">
        <f>'TUSD BE'!$AC$54*'TUSD BE'!$AC$61</f>
        <v>-49.601613804730043</v>
      </c>
      <c r="AD54" s="13">
        <f>SUM($AC$54:$AC$54)</f>
        <v>-49.601613804730043</v>
      </c>
      <c r="AE54" s="13">
        <f ca="1">$AO$54*$AO$58</f>
        <v>0</v>
      </c>
      <c r="AF54" s="13">
        <f ca="1">$AP$54*$AP$58</f>
        <v>0</v>
      </c>
      <c r="AG54" s="13">
        <f ca="1">SUM($AE$54:$AF$54)</f>
        <v>0</v>
      </c>
      <c r="AH54" s="13">
        <f>'TUSD BE'!$AH$54*'TUSD BE'!$AH$61</f>
        <v>-1.0052050936718488</v>
      </c>
      <c r="AI54" s="13">
        <f>'TUSD BE'!$AI$54*'TUSD BE'!$AI$61</f>
        <v>-2.7589630801355219E-2</v>
      </c>
      <c r="AJ54" s="13">
        <f ca="1">'TUSD BE'!$AJ$54*'TUSD BE'!$AJ$61</f>
        <v>0</v>
      </c>
      <c r="AK54" s="13">
        <f ca="1">'TUSD BE'!$AK$54*'TUSD BE'!$AK$61</f>
        <v>0</v>
      </c>
      <c r="AL54" s="13">
        <f ca="1">SUM($AH$54:$AK$54)</f>
        <v>-1.0327947244732041</v>
      </c>
      <c r="AM54" s="13">
        <f ca="1">SUMIF($L$4:$AL$4,"SUBTOTAL",$L$54:$AL$54)</f>
        <v>-47.527912466429939</v>
      </c>
      <c r="AO54" s="20">
        <f ca="1">+'TUSD BE'!$T$54+'TUSD BE'!$AB$54+'TUSD BE'!$AD$54+'TUSD BE'!$AL$54</f>
        <v>280.1702328691386</v>
      </c>
      <c r="AP54" s="20">
        <f ca="1">+'TUSD BE'!$T$54+'TUSD BE'!$AB$54+'TUSD BE'!$AD$54+'TUSD BE'!$AL$54</f>
        <v>280.1702328691386</v>
      </c>
    </row>
    <row r="56" spans="1:42" ht="11.25" customHeight="1" x14ac:dyDescent="0.25">
      <c r="K56" s="16" t="s">
        <v>574</v>
      </c>
      <c r="L56" s="13">
        <f>SUMPRODUCT($I$5:$I54,$L$5:$L54)</f>
        <v>0</v>
      </c>
      <c r="M56" s="13">
        <f>SUMPRODUCT($I$5:$I54,$M$5:$M54)</f>
        <v>4316.3568754170174</v>
      </c>
      <c r="N56" s="13">
        <f ca="1">SUMPRODUCT($I$5:$I54,$N$5:$N54)</f>
        <v>0</v>
      </c>
      <c r="O56" s="13">
        <f>SUMPRODUCT($I$5:$I54,$O$5:$O54)</f>
        <v>0</v>
      </c>
      <c r="P56" s="13">
        <f>SUMPRODUCT($I$5:$I54,$P$5:$P54)</f>
        <v>0</v>
      </c>
      <c r="Q56" s="13">
        <f>SUMPRODUCT($I$5:$I54,$Q$5:$Q54)</f>
        <v>292134.43826547451</v>
      </c>
      <c r="R56" s="13">
        <f>SUMPRODUCT($I$5:$I54,$R$5:$R54)</f>
        <v>46610.774725681258</v>
      </c>
      <c r="S56" s="13">
        <f>SUMPRODUCT($I$5:$I54,$S$5:$S54)</f>
        <v>0</v>
      </c>
      <c r="T56" s="13">
        <f ca="1">SUMPRODUCT($I$5:$I54,$T$5:$T54)</f>
        <v>343061.56986657274</v>
      </c>
      <c r="U56" s="13">
        <f>SUMPRODUCT($I$5:$I54,$U$5:$U54)</f>
        <v>0</v>
      </c>
      <c r="V56" s="13">
        <f>SUMPRODUCT($I$5:$I54,$V$5:$V54)</f>
        <v>0</v>
      </c>
      <c r="W56" s="13">
        <f>SUMPRODUCT($I$5:$I54,$W$5:$W54)</f>
        <v>0</v>
      </c>
      <c r="X56" s="13">
        <f>SUMPRODUCT($I$5:$I54,$X$5:$X54)</f>
        <v>0</v>
      </c>
      <c r="Y56" s="13">
        <f>SUMPRODUCT($I$5:$I54,$Y$5:$Y54)</f>
        <v>354650.42408493295</v>
      </c>
      <c r="Z56" s="13">
        <f>SUMPRODUCT($I$5:$I54,$Z$5:$Z54)</f>
        <v>0</v>
      </c>
      <c r="AA56" s="13">
        <f>SUMPRODUCT($I$5:$I54,$AA$5:$AA54)</f>
        <v>0</v>
      </c>
      <c r="AB56" s="13">
        <f>SUMPRODUCT($I$5:$I54,$AB$5:$AB54)</f>
        <v>354650.42408493295</v>
      </c>
      <c r="AC56" s="13">
        <f>SUMPRODUCT($I$5:$I54,$AC$5:$AC54)</f>
        <v>-10296897.942699337</v>
      </c>
      <c r="AD56" s="13">
        <f>SUMPRODUCT($I$5:$I54,$AD$5:$AD54)</f>
        <v>-10296897.942699337</v>
      </c>
      <c r="AE56" s="13">
        <f ca="1">SUMPRODUCT($I$5:$I54,$AE$5:$AE54)</f>
        <v>0</v>
      </c>
      <c r="AF56" s="13">
        <f ca="1">SUMPRODUCT($I$5:$I54,$AF$5:$AF54)</f>
        <v>0</v>
      </c>
      <c r="AG56" s="13">
        <f ca="1">SUMPRODUCT($I$5:$I54,$AG$5:$AG54)</f>
        <v>0</v>
      </c>
      <c r="AH56" s="13">
        <f>SUMPRODUCT($I$5:$I54,$AH$5:$AH54)</f>
        <v>-176827.84844471671</v>
      </c>
      <c r="AI56" s="13">
        <f>SUMPRODUCT($I$5:$I54,$AI$5:$AI54)</f>
        <v>-4853.3528975335284</v>
      </c>
      <c r="AJ56" s="13">
        <f ca="1">SUMPRODUCT($I$5:$I54,$AJ$5:$AJ54)</f>
        <v>0</v>
      </c>
      <c r="AK56" s="13">
        <f ca="1">SUMPRODUCT($I$5:$I54,$AK$5:$AK54)</f>
        <v>0</v>
      </c>
      <c r="AL56" s="13">
        <f ca="1">SUMPRODUCT($I$5:$I54,$AL$5:$AL54)</f>
        <v>-181681.20134225028</v>
      </c>
      <c r="AM56" s="13">
        <f ca="1">SUMPRODUCT($I$5:$I54,$AM$5:$AM54)</f>
        <v>-9780867.1500900798</v>
      </c>
      <c r="AO56" s="18">
        <f ca="1">SUMPRODUCT($I$5:$I54,$AO$5:$AO54)</f>
        <v>56646731.726721734</v>
      </c>
      <c r="AP56" s="18">
        <f ca="1">SUMPRODUCT($I$5:$I54,$AP$5:$AP54)</f>
        <v>59213922.30456771</v>
      </c>
    </row>
    <row r="57" spans="1:42" ht="11.25" customHeight="1" x14ac:dyDescent="0.25">
      <c r="K57" s="16" t="s">
        <v>506</v>
      </c>
      <c r="L57" s="13">
        <f>'TR TUSD'!$L$59</f>
        <v>0</v>
      </c>
      <c r="M57" s="13">
        <f>'TR TUSD'!$M$59</f>
        <v>138327.52127755724</v>
      </c>
      <c r="N57" s="13">
        <f>'TR TUSD'!$N$59</f>
        <v>0</v>
      </c>
      <c r="O57" s="13">
        <f>'TR TUSD'!$O$59</f>
        <v>0</v>
      </c>
      <c r="P57" s="13">
        <f>'TR TUSD'!$P$59</f>
        <v>0</v>
      </c>
      <c r="Q57" s="13">
        <f>'TR TUSD'!$Q$59</f>
        <v>11160366.718520008</v>
      </c>
      <c r="R57" s="13">
        <f>'TR TUSD'!$R$59</f>
        <v>1869898.6226700018</v>
      </c>
      <c r="S57" s="13">
        <f>'TR TUSD'!$S$59</f>
        <v>0</v>
      </c>
      <c r="T57" s="13">
        <f>'TR TUSD'!$T$59</f>
        <v>13168592.862467568</v>
      </c>
      <c r="U57" s="13">
        <f>'TR TUSD'!$U$59</f>
        <v>0</v>
      </c>
      <c r="V57" s="13">
        <f>'TR TUSD'!$V$59</f>
        <v>0</v>
      </c>
      <c r="W57" s="13">
        <f>'TR TUSD'!$W$59</f>
        <v>0</v>
      </c>
      <c r="X57" s="13">
        <f>'TR TUSD'!$X$59</f>
        <v>0</v>
      </c>
      <c r="Y57" s="13">
        <f>'TR TUSD'!$Y$59</f>
        <v>10332345.225399999</v>
      </c>
      <c r="Z57" s="13">
        <f>'TR TUSD'!$Z$59</f>
        <v>0</v>
      </c>
      <c r="AA57" s="13">
        <f>'TR TUSD'!$AA$59</f>
        <v>0</v>
      </c>
      <c r="AB57" s="13">
        <f>'TR TUSD'!$AB$59</f>
        <v>10332345.225399999</v>
      </c>
      <c r="AC57" s="13">
        <f>'TR TUSD'!$AC$59</f>
        <v>33091403.650000002</v>
      </c>
      <c r="AD57" s="13">
        <f>'TR TUSD'!$AD$59</f>
        <v>33091403.650000002</v>
      </c>
      <c r="AE57" s="13">
        <f>'TR TUSD'!$AE$59</f>
        <v>0</v>
      </c>
      <c r="AF57" s="13">
        <f>'TR TUSD'!$AF$59</f>
        <v>0</v>
      </c>
      <c r="AG57" s="13">
        <f>'TR TUSD'!$AG$59</f>
        <v>0</v>
      </c>
      <c r="AH57" s="13">
        <f>'TR TUSD'!$AH$59</f>
        <v>2551548.7992662448</v>
      </c>
      <c r="AI57" s="13">
        <f>'TR TUSD'!$AI$59</f>
        <v>70031.767433898334</v>
      </c>
      <c r="AJ57" s="13">
        <f>'TR TUSD'!$AJ$59</f>
        <v>0</v>
      </c>
      <c r="AK57" s="13">
        <f>'TR TUSD'!$AK$59</f>
        <v>0</v>
      </c>
      <c r="AL57" s="13">
        <f>'TR TUSD'!$AL$59</f>
        <v>2621580.5667001433</v>
      </c>
      <c r="AM57" s="13">
        <f>'TUSD BE'!$AM$57</f>
        <v>59213922.30456771</v>
      </c>
      <c r="AO57" s="18">
        <f>$AE$58</f>
        <v>0</v>
      </c>
      <c r="AP57" s="18">
        <f>$AF$58</f>
        <v>0</v>
      </c>
    </row>
    <row r="58" spans="1:42" ht="11.25" customHeight="1" x14ac:dyDescent="0.25">
      <c r="K58" s="16" t="s">
        <v>507</v>
      </c>
      <c r="L58" s="13">
        <f>CUSTOS!$E$2</f>
        <v>0</v>
      </c>
      <c r="M58" s="13">
        <f>CUSTOS!$E$3</f>
        <v>4316.3568754170165</v>
      </c>
      <c r="N58" s="13">
        <f>CUSTOS!$E$4</f>
        <v>0</v>
      </c>
      <c r="O58" s="13">
        <f>CUSTOS!$E$5</f>
        <v>0</v>
      </c>
      <c r="P58" s="13">
        <f>CUSTOS!$E$6</f>
        <v>0</v>
      </c>
      <c r="Q58" s="13">
        <f>CUSTOS!$E$7</f>
        <v>292134.43826547445</v>
      </c>
      <c r="R58" s="13">
        <f>CUSTOS!$E$8</f>
        <v>46610.774725681258</v>
      </c>
      <c r="S58" s="13">
        <f>CUSTOS!$E$9</f>
        <v>0</v>
      </c>
      <c r="T58" s="13">
        <f>CUSTOS!$E$10</f>
        <v>343061.56986657274</v>
      </c>
      <c r="U58" s="13">
        <f>CUSTOS!$E$11</f>
        <v>0</v>
      </c>
      <c r="V58" s="13">
        <f>CUSTOS!$E$12</f>
        <v>0</v>
      </c>
      <c r="W58" s="13">
        <f>CUSTOS!$E$13</f>
        <v>0</v>
      </c>
      <c r="X58" s="13">
        <f>CUSTOS!$E$14</f>
        <v>0</v>
      </c>
      <c r="Y58" s="13">
        <f>CUSTOS!$E$15</f>
        <v>354650.42408493307</v>
      </c>
      <c r="Z58" s="13">
        <f>CUSTOS!$E$16</f>
        <v>0</v>
      </c>
      <c r="AA58" s="13">
        <f>CUSTOS!$E$17</f>
        <v>0</v>
      </c>
      <c r="AB58" s="13">
        <f>CUSTOS!$E$18</f>
        <v>354650.42408493307</v>
      </c>
      <c r="AC58" s="13">
        <f>CUSTOS!$E$19</f>
        <v>-10296897.942699337</v>
      </c>
      <c r="AD58" s="13">
        <f>CUSTOS!$E$20</f>
        <v>-10296897.942699337</v>
      </c>
      <c r="AE58" s="13">
        <f>CUSTOS!$E$21</f>
        <v>0</v>
      </c>
      <c r="AF58" s="13">
        <f>CUSTOS!$E$22</f>
        <v>0</v>
      </c>
      <c r="AG58" s="13">
        <f>CUSTOS!$E$23</f>
        <v>0</v>
      </c>
      <c r="AH58" s="13">
        <f>CUSTOS!$E$24</f>
        <v>-176827.84844471671</v>
      </c>
      <c r="AI58" s="13">
        <f>CUSTOS!$E$25</f>
        <v>-4853.3528975335275</v>
      </c>
      <c r="AJ58" s="13">
        <f>CUSTOS!$E$26</f>
        <v>0</v>
      </c>
      <c r="AK58" s="13">
        <f>CUSTOS!$E$27</f>
        <v>0</v>
      </c>
      <c r="AL58" s="13">
        <f>CUSTOS!$E$28</f>
        <v>-181681.20134225025</v>
      </c>
      <c r="AM58" s="13">
        <f>CUSTOS!$E$29</f>
        <v>-9780867.1500900835</v>
      </c>
      <c r="AO58" s="18">
        <f ca="1">IF(AO56&lt;&gt;0,AO57/AO56,0)</f>
        <v>0</v>
      </c>
      <c r="AP58" s="18">
        <f ca="1">IF(AP56&lt;&gt;0,AP57/AP56,0)</f>
        <v>0</v>
      </c>
    </row>
    <row r="59" spans="1:42" ht="11.25" customHeight="1" x14ac:dyDescent="0.25">
      <c r="K59" s="16" t="s">
        <v>508</v>
      </c>
      <c r="L59" s="13">
        <f>CUSTOS!$F$2</f>
        <v>0</v>
      </c>
      <c r="M59" s="13">
        <f>CUSTOS!$F$3</f>
        <v>0</v>
      </c>
      <c r="N59" s="13">
        <f>CUSTOS!$F$4</f>
        <v>0</v>
      </c>
      <c r="O59" s="13">
        <f>CUSTOS!$F$5</f>
        <v>0</v>
      </c>
      <c r="P59" s="13">
        <f>CUSTOS!$F$6</f>
        <v>0</v>
      </c>
      <c r="Q59" s="13">
        <f>CUSTOS!$F$7</f>
        <v>0</v>
      </c>
      <c r="R59" s="13">
        <f>CUSTOS!$F$8</f>
        <v>0</v>
      </c>
      <c r="S59" s="13">
        <f>CUSTOS!$F$9</f>
        <v>0</v>
      </c>
      <c r="T59" s="13">
        <f>CUSTOS!$F$10</f>
        <v>0</v>
      </c>
      <c r="U59" s="13">
        <f>CUSTOS!$F$11</f>
        <v>0</v>
      </c>
      <c r="V59" s="13">
        <f>CUSTOS!$F$12</f>
        <v>0</v>
      </c>
      <c r="W59" s="13">
        <f>CUSTOS!$F$13</f>
        <v>0</v>
      </c>
      <c r="X59" s="13">
        <f>CUSTOS!$F$14</f>
        <v>0</v>
      </c>
      <c r="Y59" s="13">
        <f>CUSTOS!$F$15</f>
        <v>0</v>
      </c>
      <c r="Z59" s="13">
        <f>CUSTOS!$F$16</f>
        <v>0</v>
      </c>
      <c r="AA59" s="13">
        <f>CUSTOS!$F$17</f>
        <v>0</v>
      </c>
      <c r="AB59" s="13">
        <f>CUSTOS!$F$18</f>
        <v>0</v>
      </c>
      <c r="AC59" s="13">
        <f>CUSTOS!$F$19</f>
        <v>0</v>
      </c>
      <c r="AD59" s="13">
        <f>CUSTOS!$F$20</f>
        <v>0</v>
      </c>
      <c r="AE59" s="13">
        <f>CUSTOS!$F$21</f>
        <v>0</v>
      </c>
      <c r="AF59" s="13">
        <f>CUSTOS!$F$22</f>
        <v>0</v>
      </c>
      <c r="AG59" s="13">
        <f>CUSTOS!$F$23</f>
        <v>0</v>
      </c>
      <c r="AH59" s="13">
        <f>CUSTOS!$F$24</f>
        <v>0</v>
      </c>
      <c r="AI59" s="13">
        <f>CUSTOS!$F$25</f>
        <v>0</v>
      </c>
      <c r="AJ59" s="13">
        <f>CUSTOS!$F$26</f>
        <v>0</v>
      </c>
      <c r="AK59" s="13">
        <f>CUSTOS!$F$27</f>
        <v>0</v>
      </c>
      <c r="AL59" s="13">
        <f>CUSTOS!$F$28</f>
        <v>0</v>
      </c>
      <c r="AM59" s="13">
        <f>CUSTOS!$F$29</f>
        <v>0</v>
      </c>
    </row>
    <row r="60" spans="1:42" ht="11.25" customHeight="1" x14ac:dyDescent="0.25">
      <c r="K60" s="16" t="s">
        <v>571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f>SUM($L$60:$S$60)</f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f>SUM($U$60:$AA$60)</f>
        <v>0</v>
      </c>
      <c r="AC60" s="13">
        <v>0</v>
      </c>
      <c r="AD60" s="13">
        <f>SUM($AC$60:$AC$60)</f>
        <v>0</v>
      </c>
      <c r="AE60" s="13">
        <v>0</v>
      </c>
      <c r="AF60" s="13">
        <v>0</v>
      </c>
      <c r="AG60" s="13">
        <f>SUM($AE$60:$AF$60)</f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f>SUM($AH$60:$AK$60)</f>
        <v>0</v>
      </c>
      <c r="AM60" s="13"/>
    </row>
    <row r="61" spans="1:42" ht="11.25" customHeight="1" x14ac:dyDescent="0.25">
      <c r="K61" s="16" t="s">
        <v>583</v>
      </c>
      <c r="L61" s="13">
        <f t="shared" ref="L61:R61" si="0">IF((L57-(0))&lt;&gt;0,(L59)/(L57-(0)),0)</f>
        <v>0</v>
      </c>
      <c r="M61" s="13">
        <f t="shared" si="0"/>
        <v>0</v>
      </c>
      <c r="N61" s="13">
        <f t="shared" si="0"/>
        <v>0</v>
      </c>
      <c r="O61" s="13">
        <f t="shared" si="0"/>
        <v>0</v>
      </c>
      <c r="P61" s="13">
        <f t="shared" si="0"/>
        <v>0</v>
      </c>
      <c r="Q61" s="13">
        <f t="shared" si="0"/>
        <v>0</v>
      </c>
      <c r="R61" s="13">
        <f t="shared" si="0"/>
        <v>0</v>
      </c>
      <c r="S61" s="13">
        <f>IF((R56-(0)&lt;&gt;0),(S58)/(R56-(0)),0)</f>
        <v>0</v>
      </c>
      <c r="T61" s="13"/>
      <c r="U61" s="13">
        <f t="shared" ref="U61:AA61" si="1">IF((U57-(0))&lt;&gt;0,(U59)/(U57-(0)),0)</f>
        <v>0</v>
      </c>
      <c r="V61" s="13">
        <f t="shared" si="1"/>
        <v>0</v>
      </c>
      <c r="W61" s="13">
        <f t="shared" si="1"/>
        <v>0</v>
      </c>
      <c r="X61" s="13">
        <f t="shared" si="1"/>
        <v>0</v>
      </c>
      <c r="Y61" s="13">
        <f t="shared" si="1"/>
        <v>0</v>
      </c>
      <c r="Z61" s="13">
        <f t="shared" si="1"/>
        <v>0</v>
      </c>
      <c r="AA61" s="13">
        <f t="shared" si="1"/>
        <v>0</v>
      </c>
      <c r="AB61" s="13"/>
      <c r="AC61" s="13">
        <f>IF((AC57-(0))&lt;&gt;0,(AC59)/(AC57-(0)),0)</f>
        <v>0</v>
      </c>
      <c r="AD61" s="13"/>
      <c r="AE61" s="13">
        <f ca="1">IF(($AM56-(0))&lt;&gt;0,(AE58)/($AM56-(0)),0)</f>
        <v>0</v>
      </c>
      <c r="AF61" s="13">
        <f ca="1">IF(($AM56-(0))&lt;&gt;0,(AF58)/($AM56-(0)),0)</f>
        <v>0</v>
      </c>
      <c r="AG61" s="13"/>
      <c r="AH61" s="13">
        <f>IF((AH57-(0))&lt;&gt;0,(AH59)/(AH57-(0)),0)</f>
        <v>0</v>
      </c>
      <c r="AI61" s="13">
        <f>IF((AI57-(0))&lt;&gt;0,(AI59)/(AI57-(0)),0)</f>
        <v>0</v>
      </c>
      <c r="AJ61" s="13">
        <f>IF((AJ57-(0))&lt;&gt;0,(AJ59)/(AJ57-(0)),0)</f>
        <v>0</v>
      </c>
      <c r="AK61" s="13">
        <f>IF((AK57-(0))&lt;&gt;0,(AK59)/(AK57-(0)),0)</f>
        <v>0</v>
      </c>
      <c r="AL61" s="13"/>
      <c r="AM61" s="13"/>
    </row>
  </sheetData>
  <mergeCells count="78">
    <mergeCell ref="A53:A54"/>
    <mergeCell ref="B53:B54"/>
    <mergeCell ref="C53:C54"/>
    <mergeCell ref="A48:A52"/>
    <mergeCell ref="B48:B50"/>
    <mergeCell ref="C48:C50"/>
    <mergeCell ref="D48:D50"/>
    <mergeCell ref="E48:E50"/>
    <mergeCell ref="F48:F50"/>
    <mergeCell ref="B41:B43"/>
    <mergeCell ref="C41:C43"/>
    <mergeCell ref="D41:D43"/>
    <mergeCell ref="E41:E43"/>
    <mergeCell ref="F41:F43"/>
    <mergeCell ref="B45:B47"/>
    <mergeCell ref="C45:C47"/>
    <mergeCell ref="C28:C32"/>
    <mergeCell ref="F33:F35"/>
    <mergeCell ref="B37:B39"/>
    <mergeCell ref="C37:C39"/>
    <mergeCell ref="D37:D39"/>
    <mergeCell ref="E37:E39"/>
    <mergeCell ref="F37:F39"/>
    <mergeCell ref="A33:A47"/>
    <mergeCell ref="B33:B35"/>
    <mergeCell ref="C33:C35"/>
    <mergeCell ref="D33:D35"/>
    <mergeCell ref="E33:E35"/>
    <mergeCell ref="F13:F15"/>
    <mergeCell ref="E16:E17"/>
    <mergeCell ref="A20:A32"/>
    <mergeCell ref="B20:B22"/>
    <mergeCell ref="C20:C22"/>
    <mergeCell ref="D20:D22"/>
    <mergeCell ref="E20:E22"/>
    <mergeCell ref="F16:F17"/>
    <mergeCell ref="A18:A19"/>
    <mergeCell ref="B18:B19"/>
    <mergeCell ref="C18:C19"/>
    <mergeCell ref="D18:D19"/>
    <mergeCell ref="F20:F22"/>
    <mergeCell ref="B23:B27"/>
    <mergeCell ref="C23:C27"/>
    <mergeCell ref="B28:B32"/>
    <mergeCell ref="J1:J4"/>
    <mergeCell ref="L1:AM1"/>
    <mergeCell ref="A1:A4"/>
    <mergeCell ref="C9:C11"/>
    <mergeCell ref="D9:D11"/>
    <mergeCell ref="E9:E11"/>
    <mergeCell ref="F9:F11"/>
    <mergeCell ref="F5:F7"/>
    <mergeCell ref="B9:B11"/>
    <mergeCell ref="G1:G4"/>
    <mergeCell ref="H1:H4"/>
    <mergeCell ref="I1:I4"/>
    <mergeCell ref="A5:A17"/>
    <mergeCell ref="B5:B8"/>
    <mergeCell ref="C5:C8"/>
    <mergeCell ref="D5:D8"/>
    <mergeCell ref="E5:E7"/>
    <mergeCell ref="B13:B17"/>
    <mergeCell ref="C13:C17"/>
    <mergeCell ref="D13:D17"/>
    <mergeCell ref="E13:E15"/>
    <mergeCell ref="AP1:AP4"/>
    <mergeCell ref="L2:AM2"/>
    <mergeCell ref="L3:T3"/>
    <mergeCell ref="U3:AB3"/>
    <mergeCell ref="AC3:AD3"/>
    <mergeCell ref="AE3:AG3"/>
    <mergeCell ref="AH3:AL3"/>
    <mergeCell ref="AM3:AM4"/>
    <mergeCell ref="B1:B4"/>
    <mergeCell ref="C1:C4"/>
    <mergeCell ref="D1:D4"/>
    <mergeCell ref="E1:E4"/>
    <mergeCell ref="F1:F4"/>
  </mergeCells>
  <conditionalFormatting sqref="L56">
    <cfRule type="cellIs" dxfId="972" priority="55" operator="notEqual">
      <formula>$L$58</formula>
    </cfRule>
    <cfRule type="cellIs" dxfId="971" priority="56" operator="equal">
      <formula>$L$58</formula>
    </cfRule>
  </conditionalFormatting>
  <conditionalFormatting sqref="M56">
    <cfRule type="cellIs" dxfId="970" priority="53" operator="notEqual">
      <formula>$M$58</formula>
    </cfRule>
    <cfRule type="cellIs" dxfId="969" priority="54" operator="equal">
      <formula>$M$58</formula>
    </cfRule>
  </conditionalFormatting>
  <conditionalFormatting sqref="N56">
    <cfRule type="cellIs" dxfId="968" priority="51" operator="notEqual">
      <formula>$N$58</formula>
    </cfRule>
    <cfRule type="cellIs" dxfId="967" priority="52" operator="equal">
      <formula>$N$58</formula>
    </cfRule>
  </conditionalFormatting>
  <conditionalFormatting sqref="O56">
    <cfRule type="cellIs" dxfId="966" priority="49" operator="notEqual">
      <formula>$O$58</formula>
    </cfRule>
    <cfRule type="cellIs" dxfId="965" priority="50" operator="equal">
      <formula>$O$58</formula>
    </cfRule>
  </conditionalFormatting>
  <conditionalFormatting sqref="P56">
    <cfRule type="cellIs" dxfId="964" priority="47" operator="notEqual">
      <formula>$P$58</formula>
    </cfRule>
    <cfRule type="cellIs" dxfId="963" priority="48" operator="equal">
      <formula>$P$58</formula>
    </cfRule>
  </conditionalFormatting>
  <conditionalFormatting sqref="Q56">
    <cfRule type="cellIs" dxfId="962" priority="45" operator="notEqual">
      <formula>$Q$58</formula>
    </cfRule>
    <cfRule type="cellIs" dxfId="961" priority="46" operator="equal">
      <formula>$Q$58</formula>
    </cfRule>
  </conditionalFormatting>
  <conditionalFormatting sqref="R56">
    <cfRule type="cellIs" dxfId="960" priority="43" operator="notEqual">
      <formula>$R$58</formula>
    </cfRule>
    <cfRule type="cellIs" dxfId="959" priority="44" operator="equal">
      <formula>$R$58</formula>
    </cfRule>
  </conditionalFormatting>
  <conditionalFormatting sqref="S56">
    <cfRule type="cellIs" dxfId="958" priority="41" operator="notEqual">
      <formula>$S$58</formula>
    </cfRule>
    <cfRule type="cellIs" dxfId="957" priority="42" operator="equal">
      <formula>$S$58</formula>
    </cfRule>
  </conditionalFormatting>
  <conditionalFormatting sqref="T56">
    <cfRule type="cellIs" dxfId="956" priority="39" operator="notEqual">
      <formula>$T$58</formula>
    </cfRule>
    <cfRule type="cellIs" dxfId="955" priority="40" operator="equal">
      <formula>$T$58</formula>
    </cfRule>
  </conditionalFormatting>
  <conditionalFormatting sqref="U56">
    <cfRule type="cellIs" dxfId="954" priority="37" operator="notEqual">
      <formula>$U$58</formula>
    </cfRule>
    <cfRule type="cellIs" dxfId="953" priority="38" operator="equal">
      <formula>$U$58</formula>
    </cfRule>
  </conditionalFormatting>
  <conditionalFormatting sqref="V56">
    <cfRule type="cellIs" dxfId="952" priority="35" operator="notEqual">
      <formula>$V$58</formula>
    </cfRule>
    <cfRule type="cellIs" dxfId="951" priority="36" operator="equal">
      <formula>$V$58</formula>
    </cfRule>
  </conditionalFormatting>
  <conditionalFormatting sqref="W56">
    <cfRule type="cellIs" dxfId="950" priority="33" operator="notEqual">
      <formula>$W$58</formula>
    </cfRule>
    <cfRule type="cellIs" dxfId="949" priority="34" operator="equal">
      <formula>$W$58</formula>
    </cfRule>
  </conditionalFormatting>
  <conditionalFormatting sqref="X56">
    <cfRule type="cellIs" dxfId="948" priority="31" operator="notEqual">
      <formula>$X$58</formula>
    </cfRule>
    <cfRule type="cellIs" dxfId="947" priority="32" operator="equal">
      <formula>$X$58</formula>
    </cfRule>
  </conditionalFormatting>
  <conditionalFormatting sqref="Y56">
    <cfRule type="cellIs" dxfId="946" priority="29" operator="notEqual">
      <formula>$Y$58</formula>
    </cfRule>
    <cfRule type="cellIs" dxfId="945" priority="30" operator="equal">
      <formula>$Y$58</formula>
    </cfRule>
  </conditionalFormatting>
  <conditionalFormatting sqref="Z56">
    <cfRule type="cellIs" dxfId="944" priority="27" operator="notEqual">
      <formula>$Z$58</formula>
    </cfRule>
    <cfRule type="cellIs" dxfId="943" priority="28" operator="equal">
      <formula>$Z$58</formula>
    </cfRule>
  </conditionalFormatting>
  <conditionalFormatting sqref="AA56">
    <cfRule type="cellIs" dxfId="942" priority="25" operator="notEqual">
      <formula>$AA$58</formula>
    </cfRule>
    <cfRule type="cellIs" dxfId="941" priority="26" operator="equal">
      <formula>$AA$58</formula>
    </cfRule>
  </conditionalFormatting>
  <conditionalFormatting sqref="AB56">
    <cfRule type="cellIs" dxfId="940" priority="23" operator="notEqual">
      <formula>$AB$58</formula>
    </cfRule>
    <cfRule type="cellIs" dxfId="939" priority="24" operator="equal">
      <formula>$AB$58</formula>
    </cfRule>
  </conditionalFormatting>
  <conditionalFormatting sqref="AC56">
    <cfRule type="cellIs" dxfId="938" priority="21" operator="notEqual">
      <formula>$AC$58</formula>
    </cfRule>
    <cfRule type="cellIs" dxfId="937" priority="22" operator="equal">
      <formula>$AC$58</formula>
    </cfRule>
  </conditionalFormatting>
  <conditionalFormatting sqref="AD56">
    <cfRule type="cellIs" dxfId="936" priority="19" operator="notEqual">
      <formula>$AD$58</formula>
    </cfRule>
    <cfRule type="cellIs" dxfId="935" priority="20" operator="equal">
      <formula>$AD$58</formula>
    </cfRule>
  </conditionalFormatting>
  <conditionalFormatting sqref="AE56">
    <cfRule type="cellIs" dxfId="934" priority="17" operator="notEqual">
      <formula>$AE$58</formula>
    </cfRule>
    <cfRule type="cellIs" dxfId="933" priority="18" operator="equal">
      <formula>$AE$58</formula>
    </cfRule>
  </conditionalFormatting>
  <conditionalFormatting sqref="AF56">
    <cfRule type="cellIs" dxfId="932" priority="16" operator="equal">
      <formula>$AF$58</formula>
    </cfRule>
  </conditionalFormatting>
  <conditionalFormatting sqref="AF56">
    <cfRule type="cellIs" dxfId="931" priority="15" operator="notEqual">
      <formula>$AF$58</formula>
    </cfRule>
  </conditionalFormatting>
  <conditionalFormatting sqref="AG56">
    <cfRule type="cellIs" dxfId="930" priority="14" operator="equal">
      <formula>$AG$58</formula>
    </cfRule>
  </conditionalFormatting>
  <conditionalFormatting sqref="AG56">
    <cfRule type="cellIs" dxfId="929" priority="13" operator="notEqual">
      <formula>$AG$58</formula>
    </cfRule>
  </conditionalFormatting>
  <conditionalFormatting sqref="AH56">
    <cfRule type="cellIs" dxfId="928" priority="12" operator="equal">
      <formula>$AH$58</formula>
    </cfRule>
  </conditionalFormatting>
  <conditionalFormatting sqref="AH56">
    <cfRule type="cellIs" dxfId="927" priority="11" operator="notEqual">
      <formula>$AH$58</formula>
    </cfRule>
  </conditionalFormatting>
  <conditionalFormatting sqref="AI56">
    <cfRule type="cellIs" dxfId="926" priority="10" operator="equal">
      <formula>$AI$58</formula>
    </cfRule>
  </conditionalFormatting>
  <conditionalFormatting sqref="AI56">
    <cfRule type="cellIs" dxfId="925" priority="9" operator="notEqual">
      <formula>$AI$58</formula>
    </cfRule>
  </conditionalFormatting>
  <conditionalFormatting sqref="AJ56">
    <cfRule type="cellIs" dxfId="924" priority="8" operator="equal">
      <formula>$AJ$58</formula>
    </cfRule>
  </conditionalFormatting>
  <conditionalFormatting sqref="AJ56">
    <cfRule type="cellIs" dxfId="923" priority="7" operator="notEqual">
      <formula>$AJ$58</formula>
    </cfRule>
  </conditionalFormatting>
  <conditionalFormatting sqref="AK56">
    <cfRule type="cellIs" dxfId="922" priority="6" operator="equal">
      <formula>$AK$58</formula>
    </cfRule>
  </conditionalFormatting>
  <conditionalFormatting sqref="AK56">
    <cfRule type="cellIs" dxfId="921" priority="5" operator="notEqual">
      <formula>$AK$58</formula>
    </cfRule>
  </conditionalFormatting>
  <conditionalFormatting sqref="AL56">
    <cfRule type="cellIs" dxfId="920" priority="4" operator="equal">
      <formula>$AL$58</formula>
    </cfRule>
  </conditionalFormatting>
  <conditionalFormatting sqref="AL56">
    <cfRule type="cellIs" dxfId="919" priority="3" operator="notEqual">
      <formula>$AL$58</formula>
    </cfRule>
  </conditionalFormatting>
  <conditionalFormatting sqref="AM56">
    <cfRule type="cellIs" dxfId="918" priority="2" operator="equal">
      <formula>$AM$58</formula>
    </cfRule>
  </conditionalFormatting>
  <conditionalFormatting sqref="AM56">
    <cfRule type="cellIs" dxfId="917" priority="1" operator="notEqual">
      <formula>$AM$58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7378-BDBD-4913-849A-7A21E1D28C54}">
  <sheetPr codeName="Planilha11"/>
  <dimension ref="A1:AP60"/>
  <sheetViews>
    <sheetView showGridLines="0" topLeftCell="E1" workbookViewId="0">
      <selection activeCell="G5" sqref="G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5" width="10.28515625" style="9" bestFit="1" customWidth="1"/>
    <col min="6" max="6" width="11.710937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6" width="4.8554687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585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O1" s="20"/>
      <c r="AP1" s="103" t="s">
        <v>567</v>
      </c>
    </row>
    <row r="2" spans="1:42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O2" s="20"/>
      <c r="AP2" s="104"/>
    </row>
    <row r="3" spans="1:42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/>
      <c r="U3" s="99" t="s">
        <v>474</v>
      </c>
      <c r="V3" s="99"/>
      <c r="W3" s="99"/>
      <c r="X3" s="99"/>
      <c r="Y3" s="99"/>
      <c r="Z3" s="99"/>
      <c r="AA3" s="99"/>
      <c r="AB3" s="99"/>
      <c r="AC3" s="99" t="s">
        <v>482</v>
      </c>
      <c r="AD3" s="99"/>
      <c r="AE3" s="99" t="s">
        <v>484</v>
      </c>
      <c r="AF3" s="99"/>
      <c r="AG3" s="99"/>
      <c r="AH3" s="99" t="s">
        <v>487</v>
      </c>
      <c r="AI3" s="99"/>
      <c r="AJ3" s="99"/>
      <c r="AK3" s="99"/>
      <c r="AL3" s="99"/>
      <c r="AM3" s="99" t="s">
        <v>473</v>
      </c>
      <c r="AO3" s="20"/>
      <c r="AP3" s="104"/>
    </row>
    <row r="4" spans="1:42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473</v>
      </c>
      <c r="U4" s="10" t="s">
        <v>475</v>
      </c>
      <c r="V4" s="10" t="s">
        <v>476</v>
      </c>
      <c r="W4" s="10" t="s">
        <v>477</v>
      </c>
      <c r="X4" s="10" t="s">
        <v>478</v>
      </c>
      <c r="Y4" s="10" t="s">
        <v>479</v>
      </c>
      <c r="Z4" s="10" t="s">
        <v>480</v>
      </c>
      <c r="AA4" s="10" t="s">
        <v>481</v>
      </c>
      <c r="AB4" s="10" t="s">
        <v>473</v>
      </c>
      <c r="AC4" s="10" t="s">
        <v>483</v>
      </c>
      <c r="AD4" s="10" t="s">
        <v>473</v>
      </c>
      <c r="AE4" s="10" t="s">
        <v>485</v>
      </c>
      <c r="AF4" s="10" t="s">
        <v>486</v>
      </c>
      <c r="AG4" s="10" t="s">
        <v>473</v>
      </c>
      <c r="AH4" s="10" t="s">
        <v>488</v>
      </c>
      <c r="AI4" s="10" t="s">
        <v>489</v>
      </c>
      <c r="AJ4" s="10" t="s">
        <v>490</v>
      </c>
      <c r="AK4" s="10" t="s">
        <v>491</v>
      </c>
      <c r="AL4" s="10" t="s">
        <v>473</v>
      </c>
      <c r="AM4" s="102"/>
      <c r="AO4" s="21" t="s">
        <v>584</v>
      </c>
      <c r="AP4" s="105"/>
    </row>
    <row r="5" spans="1:42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>
        <f>'TUSD BE'!$L$5*'TUSD BF'!$L$61</f>
        <v>0</v>
      </c>
      <c r="M5" s="13">
        <f>'TUSD BE'!$M$5*'TUSD BF'!$M$61</f>
        <v>0</v>
      </c>
      <c r="N5" s="13">
        <f ca="1">'TUSD BE'!$N$5*'TUSD BF'!$N$61</f>
        <v>0</v>
      </c>
      <c r="O5" s="13">
        <f>'TUSD BE'!$O$5*'TUSD BF'!$O$61</f>
        <v>0</v>
      </c>
      <c r="P5" s="13">
        <f>'TUSD BE'!$P$5*'TUSD BF'!$P$61</f>
        <v>0</v>
      </c>
      <c r="Q5" s="13">
        <f>'TUSD BE'!$Q$5*'TUSD BF'!$Q$61</f>
        <v>0</v>
      </c>
      <c r="R5" s="13">
        <f>'TUSD BE'!$R$5*'TUSD BF'!$R$61</f>
        <v>0</v>
      </c>
      <c r="S5" s="13">
        <f>'TUSD BE'!$R$5*'TUSD BF'!$S$61</f>
        <v>0</v>
      </c>
      <c r="T5" s="13">
        <f ca="1">SUM($L$5:$S$5)</f>
        <v>0</v>
      </c>
      <c r="U5" s="13">
        <f>'TUSD BE'!$U$5*'TUSD BF'!$U$61</f>
        <v>0</v>
      </c>
      <c r="V5" s="13">
        <f>'TUSD BE'!$V$5*'TUSD BF'!$V$61</f>
        <v>0</v>
      </c>
      <c r="W5" s="13">
        <f>'TUSD BE'!$W$5*'TUSD BF'!$W$61</f>
        <v>0</v>
      </c>
      <c r="X5" s="13">
        <f>'TUSD BE'!$X$5*'TUSD BF'!$X$61</f>
        <v>0</v>
      </c>
      <c r="Y5" s="13">
        <f>'TUSD BE'!$Y$5*'TUSD BF'!$Y$61</f>
        <v>0</v>
      </c>
      <c r="Z5" s="13">
        <f>'TUSD BE'!$Z$5*'TUSD BF'!$Z$61</f>
        <v>0</v>
      </c>
      <c r="AA5" s="13">
        <f>'TUSD BE'!$AA$5*'TUSD BF'!$AA$61</f>
        <v>0</v>
      </c>
      <c r="AB5" s="13">
        <f>SUM($U$5:$AA$5)</f>
        <v>0</v>
      </c>
      <c r="AC5" s="13">
        <f>'TUSD BE'!$AC$5*'TUSD BF'!$AC$61</f>
        <v>0</v>
      </c>
      <c r="AD5" s="13">
        <f>SUM($AC$5:$AC$5)</f>
        <v>0</v>
      </c>
      <c r="AE5" s="13">
        <f ca="1">$AO$5*$AO$58</f>
        <v>0</v>
      </c>
      <c r="AF5" s="13">
        <f ca="1">$AP$5*$AP$58</f>
        <v>0</v>
      </c>
      <c r="AG5" s="13">
        <f ca="1">SUM($AE$5:$AF$5)</f>
        <v>0</v>
      </c>
      <c r="AH5" s="13">
        <f>'TUSD BE'!$AH$5*'TUSD BF'!$AH$61</f>
        <v>0</v>
      </c>
      <c r="AI5" s="13">
        <f>'TUSD BE'!$AI$5*'TUSD BF'!$AI$61</f>
        <v>0</v>
      </c>
      <c r="AJ5" s="13">
        <f ca="1">'TUSD BE'!$AJ$5*'TUSD BF'!$AJ$61</f>
        <v>0</v>
      </c>
      <c r="AK5" s="13">
        <f ca="1">'TUSD BE'!$AK$5*'TUSD BF'!$AK$61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85.342809238252954</v>
      </c>
      <c r="AP5" s="20">
        <f ca="1">+'TUSD BE'!$T$5+'TUSD BE'!$AB$5+'TUSD BE'!$AD$5+'TUSD BE'!$AL$5</f>
        <v>85.342809238252954</v>
      </c>
    </row>
    <row r="6" spans="1:42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>
        <f>'TUSD BE'!$L$6*'TUSD BF'!$L$61</f>
        <v>0</v>
      </c>
      <c r="M6" s="13">
        <f>'TUSD BE'!$M$6*'TUSD BF'!$M$61</f>
        <v>0</v>
      </c>
      <c r="N6" s="13">
        <f ca="1">'TUSD BE'!$N$6*'TUSD BF'!$N$61</f>
        <v>0</v>
      </c>
      <c r="O6" s="13">
        <f>'TUSD BE'!$O$6*'TUSD BF'!$O$61</f>
        <v>0</v>
      </c>
      <c r="P6" s="13">
        <f>'TUSD BE'!$P$6*'TUSD BF'!$P$61</f>
        <v>0</v>
      </c>
      <c r="Q6" s="13">
        <f>'TUSD BE'!$Q$6*'TUSD BF'!$Q$61</f>
        <v>0</v>
      </c>
      <c r="R6" s="13">
        <f>'TUSD BE'!$R$6*'TUSD BF'!$R$61</f>
        <v>0</v>
      </c>
      <c r="S6" s="13">
        <f>'TUSD BE'!$R$6*'TUSD BF'!$S$61</f>
        <v>0</v>
      </c>
      <c r="T6" s="13">
        <f ca="1">SUM($L$6:$S$6)</f>
        <v>0</v>
      </c>
      <c r="U6" s="13">
        <f>'TUSD BE'!$U$6*'TUSD BF'!$U$61</f>
        <v>0</v>
      </c>
      <c r="V6" s="13">
        <f>'TUSD BE'!$V$6*'TUSD BF'!$V$61</f>
        <v>0</v>
      </c>
      <c r="W6" s="13">
        <f>'TUSD BE'!$W$6*'TUSD BF'!$W$61</f>
        <v>0</v>
      </c>
      <c r="X6" s="13">
        <f>'TUSD BE'!$X$6*'TUSD BF'!$X$61</f>
        <v>0</v>
      </c>
      <c r="Y6" s="13">
        <f>'TUSD BE'!$Y$6*'TUSD BF'!$Y$61</f>
        <v>0</v>
      </c>
      <c r="Z6" s="13">
        <f>'TUSD BE'!$Z$6*'TUSD BF'!$Z$61</f>
        <v>0</v>
      </c>
      <c r="AA6" s="13">
        <f>'TUSD BE'!$AA$6*'TUSD BF'!$AA$61</f>
        <v>0</v>
      </c>
      <c r="AB6" s="13">
        <f>SUM($U$6:$AA$6)</f>
        <v>0</v>
      </c>
      <c r="AC6" s="13">
        <f>'TUSD BE'!$AC$6*'TUSD BF'!$AC$61</f>
        <v>0</v>
      </c>
      <c r="AD6" s="13">
        <f>SUM($AC$6:$AC$6)</f>
        <v>0</v>
      </c>
      <c r="AE6" s="13">
        <f ca="1">$AO$6*$AO$58</f>
        <v>0</v>
      </c>
      <c r="AF6" s="13">
        <f ca="1">$AP$6*$AP$58</f>
        <v>0</v>
      </c>
      <c r="AG6" s="13">
        <f ca="1">SUM($AE$6:$AF$6)</f>
        <v>0</v>
      </c>
      <c r="AH6" s="13">
        <f>'TUSD BE'!$AH$6*'TUSD BF'!$AH$61</f>
        <v>0</v>
      </c>
      <c r="AI6" s="13">
        <f>'TUSD BE'!$AI$6*'TUSD BF'!$AI$61</f>
        <v>0</v>
      </c>
      <c r="AJ6" s="13">
        <f ca="1">'TUSD BE'!$AJ$6*'TUSD BF'!$AJ$61</f>
        <v>0</v>
      </c>
      <c r="AK6" s="13">
        <f ca="1">'TUSD BE'!$AK$6*'TUSD BF'!$AK$61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26.530592178616633</v>
      </c>
      <c r="AP6" s="20">
        <f ca="1">+'TUSD BE'!$T$6+'TUSD BE'!$AB$6+'TUSD BE'!$AD$6+'TUSD BE'!$AL$6</f>
        <v>26.530592178616633</v>
      </c>
    </row>
    <row r="7" spans="1:42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>
        <f>'TUSD BE'!$L$7*'TUSD BF'!$L$61</f>
        <v>0</v>
      </c>
      <c r="M7" s="13">
        <f>'TUSD BE'!$M$7*'TUSD BF'!$M$61</f>
        <v>0</v>
      </c>
      <c r="N7" s="13">
        <f ca="1">'TUSD BE'!$N$7*'TUSD BF'!$N$61</f>
        <v>0</v>
      </c>
      <c r="O7" s="13">
        <f>'TUSD BE'!$O$7*'TUSD BF'!$O$61</f>
        <v>0</v>
      </c>
      <c r="P7" s="13">
        <f>'TUSD BE'!$P$7*'TUSD BF'!$P$61</f>
        <v>0</v>
      </c>
      <c r="Q7" s="13">
        <f>'TUSD BE'!$Q$7*'TUSD BF'!$Q$61</f>
        <v>0</v>
      </c>
      <c r="R7" s="13">
        <f>'TUSD BE'!$R$7*'TUSD BF'!$R$61</f>
        <v>0</v>
      </c>
      <c r="S7" s="13">
        <f>'TUSD BE'!$R$7*'TUSD BF'!$S$61</f>
        <v>0</v>
      </c>
      <c r="T7" s="13">
        <f ca="1">SUM($L$7:$S$7)</f>
        <v>0</v>
      </c>
      <c r="U7" s="13">
        <f>'TUSD BE'!$U$7*'TUSD BF'!$U$61</f>
        <v>0</v>
      </c>
      <c r="V7" s="13">
        <f>'TUSD BE'!$V$7*'TUSD BF'!$V$61</f>
        <v>0</v>
      </c>
      <c r="W7" s="13">
        <f>'TUSD BE'!$W$7*'TUSD BF'!$W$61</f>
        <v>0</v>
      </c>
      <c r="X7" s="13">
        <f>'TUSD BE'!$X$7*'TUSD BF'!$X$61</f>
        <v>0</v>
      </c>
      <c r="Y7" s="13">
        <f>'TUSD BE'!$Y$7*'TUSD BF'!$Y$61</f>
        <v>0</v>
      </c>
      <c r="Z7" s="13">
        <f>'TUSD BE'!$Z$7*'TUSD BF'!$Z$61</f>
        <v>0</v>
      </c>
      <c r="AA7" s="13">
        <f>'TUSD BE'!$AA$7*'TUSD BF'!$AA$61</f>
        <v>0</v>
      </c>
      <c r="AB7" s="13">
        <f>SUM($U$7:$AA$7)</f>
        <v>0</v>
      </c>
      <c r="AC7" s="13">
        <f>'TUSD BE'!$AC$7*'TUSD BF'!$AC$61</f>
        <v>0</v>
      </c>
      <c r="AD7" s="13">
        <f>SUM($AC$7:$AC$7)</f>
        <v>0</v>
      </c>
      <c r="AE7" s="13">
        <f ca="1">$AO$7*$AO$58</f>
        <v>0</v>
      </c>
      <c r="AF7" s="13">
        <f ca="1">$AP$7*$AP$58</f>
        <v>0</v>
      </c>
      <c r="AG7" s="13">
        <f ca="1">SUM($AE$7:$AF$7)</f>
        <v>0</v>
      </c>
      <c r="AH7" s="13">
        <f>'TUSD BE'!$AH$7*'TUSD BF'!$AH$61</f>
        <v>0</v>
      </c>
      <c r="AI7" s="13">
        <f>'TUSD BE'!$AI$7*'TUSD BF'!$AI$61</f>
        <v>0</v>
      </c>
      <c r="AJ7" s="13">
        <f ca="1">'TUSD BE'!$AJ$7*'TUSD BF'!$AJ$61</f>
        <v>0</v>
      </c>
      <c r="AK7" s="13">
        <f ca="1">'TUSD BE'!$AK$7*'TUSD BF'!$AK$61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101.16710460736806</v>
      </c>
      <c r="AP7" s="20">
        <f ca="1">+'TUSD BE'!$T$7+'TUSD BE'!$AB$7+'TUSD BE'!$AD$7+'TUSD BE'!$AL$7</f>
        <v>101.16710460736806</v>
      </c>
    </row>
    <row r="8" spans="1:42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>
        <f>'TUSD BE'!$L$8*'TUSD BF'!$L$61</f>
        <v>0</v>
      </c>
      <c r="M8" s="13">
        <f>'TUSD BE'!$M$8*'TUSD BF'!$M$61</f>
        <v>0</v>
      </c>
      <c r="N8" s="13">
        <f ca="1">'TUSD BE'!$N$8*'TUSD BF'!$N$61</f>
        <v>0</v>
      </c>
      <c r="O8" s="13">
        <f>'TUSD BE'!$O$8*'TUSD BF'!$O$61</f>
        <v>0</v>
      </c>
      <c r="P8" s="13">
        <f>'TUSD BE'!$P$8*'TUSD BF'!$P$61</f>
        <v>0</v>
      </c>
      <c r="Q8" s="13">
        <f>'TUSD BE'!$Q$8*'TUSD BF'!$Q$61</f>
        <v>0</v>
      </c>
      <c r="R8" s="13">
        <f>'TUSD BE'!$R$8*'TUSD BF'!$R$61</f>
        <v>0</v>
      </c>
      <c r="S8" s="13">
        <f>'TUSD BE'!$R$8*'TUSD BF'!$S$61</f>
        <v>0</v>
      </c>
      <c r="T8" s="13">
        <f ca="1">SUM($L$8:$S$8)</f>
        <v>0</v>
      </c>
      <c r="U8" s="13">
        <f>'TUSD BE'!$U$8*'TUSD BF'!$U$61</f>
        <v>0</v>
      </c>
      <c r="V8" s="13">
        <f>'TUSD BE'!$V$8*'TUSD BF'!$V$61</f>
        <v>0</v>
      </c>
      <c r="W8" s="13">
        <f>'TUSD BE'!$W$8*'TUSD BF'!$W$61</f>
        <v>0</v>
      </c>
      <c r="X8" s="13">
        <f>'TUSD BE'!$X$8*'TUSD BF'!$X$61</f>
        <v>0</v>
      </c>
      <c r="Y8" s="13">
        <f>'TUSD BE'!$Y$8*'TUSD BF'!$Y$61</f>
        <v>0</v>
      </c>
      <c r="Z8" s="13">
        <f>'TUSD BE'!$Z$8*'TUSD BF'!$Z$61</f>
        <v>0</v>
      </c>
      <c r="AA8" s="13">
        <f>'TUSD BE'!$AA$8*'TUSD BF'!$AA$61</f>
        <v>0</v>
      </c>
      <c r="AB8" s="13">
        <f>SUM($U$8:$AA$8)</f>
        <v>0</v>
      </c>
      <c r="AC8" s="13">
        <f>'TUSD BE'!$AC$8*'TUSD BF'!$AC$61</f>
        <v>0</v>
      </c>
      <c r="AD8" s="13">
        <f>SUM($AC$8:$AC$8)</f>
        <v>0</v>
      </c>
      <c r="AE8" s="13">
        <f ca="1">$AO$8*$AO$58</f>
        <v>0</v>
      </c>
      <c r="AF8" s="13">
        <f ca="1">$AP$8*$AP$58</f>
        <v>0</v>
      </c>
      <c r="AG8" s="13">
        <f ca="1">SUM($AE$8:$AF$8)</f>
        <v>0</v>
      </c>
      <c r="AH8" s="13">
        <f>'TUSD BE'!$AH$8*'TUSD BF'!$AH$61</f>
        <v>0</v>
      </c>
      <c r="AI8" s="13">
        <f>'TUSD BE'!$AI$8*'TUSD BF'!$AI$61</f>
        <v>0</v>
      </c>
      <c r="AJ8" s="13">
        <f ca="1">'TUSD BE'!$AJ$8*'TUSD BF'!$AJ$61</f>
        <v>0</v>
      </c>
      <c r="AK8" s="13">
        <f ca="1">'TUSD BE'!$AK$8*'TUSD BF'!$AK$61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10.509130302349831</v>
      </c>
      <c r="AP8" s="20">
        <f ca="1">+'TUSD BE'!$T$8+'TUSD BE'!$AB$8+'TUSD BE'!$AD$8+'TUSD BE'!$AL$8</f>
        <v>10.509130302349831</v>
      </c>
    </row>
    <row r="9" spans="1:42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>
        <f>'TUSD BE'!$L$9*'TUSD BF'!$L$61</f>
        <v>0</v>
      </c>
      <c r="M9" s="13">
        <f>'TUSD BE'!$M$9*'TUSD BF'!$M$61</f>
        <v>0</v>
      </c>
      <c r="N9" s="13">
        <f ca="1">'TUSD BE'!$N$9*'TUSD BF'!$N$61</f>
        <v>0</v>
      </c>
      <c r="O9" s="13">
        <f>'TUSD BE'!$O$9*'TUSD BF'!$O$61</f>
        <v>0</v>
      </c>
      <c r="P9" s="13">
        <f>'TUSD BE'!$P$9*'TUSD BF'!$P$61</f>
        <v>0</v>
      </c>
      <c r="Q9" s="13">
        <f>'TUSD BE'!$Q$9*'TUSD BF'!$Q$61</f>
        <v>0</v>
      </c>
      <c r="R9" s="13">
        <f>'TUSD BE'!$R$9*'TUSD BF'!$R$61</f>
        <v>0</v>
      </c>
      <c r="S9" s="13">
        <f>'TUSD BE'!$R$9*'TUSD BF'!$S$61</f>
        <v>0</v>
      </c>
      <c r="T9" s="13">
        <f ca="1">SUM($L$9:$S$9)</f>
        <v>0</v>
      </c>
      <c r="U9" s="13">
        <f>'TUSD BE'!$U$9*'TUSD BF'!$U$61</f>
        <v>0</v>
      </c>
      <c r="V9" s="13">
        <f>'TUSD BE'!$V$9*'TUSD BF'!$V$61</f>
        <v>0</v>
      </c>
      <c r="W9" s="13">
        <f>'TUSD BE'!$W$9*'TUSD BF'!$W$61</f>
        <v>0</v>
      </c>
      <c r="X9" s="13">
        <f>'TUSD BE'!$X$9*'TUSD BF'!$X$61</f>
        <v>0</v>
      </c>
      <c r="Y9" s="13">
        <f>'TUSD BE'!$Y$9*'TUSD BF'!$Y$61</f>
        <v>0</v>
      </c>
      <c r="Z9" s="13">
        <f>'TUSD BE'!$Z$9*'TUSD BF'!$Z$61</f>
        <v>0</v>
      </c>
      <c r="AA9" s="13">
        <f>'TUSD BE'!$AA$9*'TUSD BF'!$AA$61</f>
        <v>0</v>
      </c>
      <c r="AB9" s="13">
        <f>SUM($U$9:$AA$9)</f>
        <v>0</v>
      </c>
      <c r="AC9" s="13">
        <f>'TUSD BE'!$AC$9*'TUSD BF'!$AC$61</f>
        <v>0</v>
      </c>
      <c r="AD9" s="13">
        <f>SUM($AC$9:$AC$9)</f>
        <v>0</v>
      </c>
      <c r="AE9" s="13">
        <v>0</v>
      </c>
      <c r="AF9" s="13">
        <f ca="1">$AP$9*$AP$58</f>
        <v>0</v>
      </c>
      <c r="AG9" s="13">
        <f ca="1">SUM($AE$9:$AF$9)</f>
        <v>0</v>
      </c>
      <c r="AH9" s="13">
        <f>'TUSD BE'!$AH$9*'TUSD BF'!$AH$61</f>
        <v>0</v>
      </c>
      <c r="AI9" s="13">
        <f>'TUSD BE'!$AI$9*'TUSD BF'!$AI$61</f>
        <v>0</v>
      </c>
      <c r="AJ9" s="13">
        <f ca="1">'TUSD BE'!$AJ$9*'TUSD BF'!$AJ$61</f>
        <v>0</v>
      </c>
      <c r="AK9" s="13">
        <f ca="1">'TUSD BE'!$AK$9*'TUSD BF'!$AK$61</f>
        <v>0</v>
      </c>
      <c r="AL9" s="13">
        <f ca="1">SUM($AH$9:$AK$9)</f>
        <v>0</v>
      </c>
      <c r="AM9" s="13">
        <f ca="1">SUMIF($L$4:$AL$4,"SUBTOTAL",$L$9:$AL$9)</f>
        <v>0</v>
      </c>
      <c r="AO9" s="20"/>
      <c r="AP9" s="20">
        <f ca="1">+'TUSD BE'!$T$9+'TUSD BE'!$AB$9+'TUSD BE'!$AD$9+'TUSD BE'!$AL$9</f>
        <v>62.384798645813262</v>
      </c>
    </row>
    <row r="10" spans="1:42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>
        <f>'TUSD BE'!$L$10*'TUSD BF'!$L$61</f>
        <v>0</v>
      </c>
      <c r="M10" s="13">
        <f>'TUSD BE'!$M$10*'TUSD BF'!$M$61</f>
        <v>0</v>
      </c>
      <c r="N10" s="13">
        <f ca="1">'TUSD BE'!$N$10*'TUSD BF'!$N$61</f>
        <v>0</v>
      </c>
      <c r="O10" s="13">
        <f>'TUSD BE'!$O$10*'TUSD BF'!$O$61</f>
        <v>0</v>
      </c>
      <c r="P10" s="13">
        <f>'TUSD BE'!$P$10*'TUSD BF'!$P$61</f>
        <v>0</v>
      </c>
      <c r="Q10" s="13">
        <f>'TUSD BE'!$Q$10*'TUSD BF'!$Q$61</f>
        <v>0</v>
      </c>
      <c r="R10" s="13">
        <f>'TUSD BE'!$R$10*'TUSD BF'!$R$61</f>
        <v>0</v>
      </c>
      <c r="S10" s="13">
        <f>'TUSD BE'!$R$10*'TUSD BF'!$S$61</f>
        <v>0</v>
      </c>
      <c r="T10" s="13">
        <f ca="1">SUM($L$10:$S$10)</f>
        <v>0</v>
      </c>
      <c r="U10" s="13">
        <f>'TUSD BE'!$U$10*'TUSD BF'!$U$61</f>
        <v>0</v>
      </c>
      <c r="V10" s="13">
        <f>'TUSD BE'!$V$10*'TUSD BF'!$V$61</f>
        <v>0</v>
      </c>
      <c r="W10" s="13">
        <f>'TUSD BE'!$W$10*'TUSD BF'!$W$61</f>
        <v>0</v>
      </c>
      <c r="X10" s="13">
        <f>'TUSD BE'!$X$10*'TUSD BF'!$X$61</f>
        <v>0</v>
      </c>
      <c r="Y10" s="13">
        <f>'TUSD BE'!$Y$10*'TUSD BF'!$Y$61</f>
        <v>0</v>
      </c>
      <c r="Z10" s="13">
        <f>'TUSD BE'!$Z$10*'TUSD BF'!$Z$61</f>
        <v>0</v>
      </c>
      <c r="AA10" s="13">
        <f>'TUSD BE'!$AA$10*'TUSD BF'!$AA$61</f>
        <v>0</v>
      </c>
      <c r="AB10" s="13">
        <f>SUM($U$10:$AA$10)</f>
        <v>0</v>
      </c>
      <c r="AC10" s="13">
        <f>'TUSD BE'!$AC$10*'TUSD BF'!$AC$61</f>
        <v>0</v>
      </c>
      <c r="AD10" s="13">
        <f>SUM($AC$10:$AC$10)</f>
        <v>0</v>
      </c>
      <c r="AE10" s="13">
        <v>0</v>
      </c>
      <c r="AF10" s="13">
        <f ca="1">$AP$10*$AP$58</f>
        <v>0</v>
      </c>
      <c r="AG10" s="13">
        <f ca="1">SUM($AE$10:$AF$10)</f>
        <v>0</v>
      </c>
      <c r="AH10" s="13">
        <f>'TUSD BE'!$AH$10*'TUSD BF'!$AH$61</f>
        <v>0</v>
      </c>
      <c r="AI10" s="13">
        <f>'TUSD BE'!$AI$10*'TUSD BF'!$AI$61</f>
        <v>0</v>
      </c>
      <c r="AJ10" s="13">
        <f ca="1">'TUSD BE'!$AJ$10*'TUSD BF'!$AJ$61</f>
        <v>0</v>
      </c>
      <c r="AK10" s="13">
        <f ca="1">'TUSD BE'!$AK$10*'TUSD BF'!$AK$61</f>
        <v>0</v>
      </c>
      <c r="AL10" s="13">
        <f ca="1">SUM($AH$10:$AK$10)</f>
        <v>0</v>
      </c>
      <c r="AM10" s="13">
        <f ca="1">SUMIF($L$4:$AL$4,"SUBTOTAL",$L$10:$AL$10)</f>
        <v>0</v>
      </c>
      <c r="AO10" s="20"/>
      <c r="AP10" s="20">
        <f ca="1">+'TUSD BE'!$T$10+'TUSD BE'!$AB$10+'TUSD BE'!$AD$10+'TUSD BE'!$AL$10</f>
        <v>20.115054176733011</v>
      </c>
    </row>
    <row r="11" spans="1:42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>
        <f>'TUSD BE'!$L$11*'TUSD BF'!$L$61</f>
        <v>0</v>
      </c>
      <c r="M11" s="13">
        <f>'TUSD BE'!$M$11*'TUSD BF'!$M$61</f>
        <v>0</v>
      </c>
      <c r="N11" s="13">
        <f ca="1">'TUSD BE'!$N$11*'TUSD BF'!$N$61</f>
        <v>0</v>
      </c>
      <c r="O11" s="13">
        <f>'TUSD BE'!$O$11*'TUSD BF'!$O$61</f>
        <v>0</v>
      </c>
      <c r="P11" s="13">
        <f>'TUSD BE'!$P$11*'TUSD BF'!$P$61</f>
        <v>0</v>
      </c>
      <c r="Q11" s="13">
        <f>'TUSD BE'!$Q$11*'TUSD BF'!$Q$61</f>
        <v>0</v>
      </c>
      <c r="R11" s="13">
        <f>'TUSD BE'!$R$11*'TUSD BF'!$R$61</f>
        <v>0</v>
      </c>
      <c r="S11" s="13">
        <f>'TUSD BE'!$R$11*'TUSD BF'!$S$61</f>
        <v>0</v>
      </c>
      <c r="T11" s="13">
        <f ca="1">SUM($L$11:$S$11)</f>
        <v>0</v>
      </c>
      <c r="U11" s="13">
        <f>'TUSD BE'!$U$11*'TUSD BF'!$U$61</f>
        <v>0</v>
      </c>
      <c r="V11" s="13">
        <f>'TUSD BE'!$V$11*'TUSD BF'!$V$61</f>
        <v>0</v>
      </c>
      <c r="W11" s="13">
        <f>'TUSD BE'!$W$11*'TUSD BF'!$W$61</f>
        <v>0</v>
      </c>
      <c r="X11" s="13">
        <f>'TUSD BE'!$X$11*'TUSD BF'!$X$61</f>
        <v>0</v>
      </c>
      <c r="Y11" s="13">
        <f>'TUSD BE'!$Y$11*'TUSD BF'!$Y$61</f>
        <v>0</v>
      </c>
      <c r="Z11" s="13">
        <f>'TUSD BE'!$Z$11*'TUSD BF'!$Z$61</f>
        <v>0</v>
      </c>
      <c r="AA11" s="13">
        <f>'TUSD BE'!$AA$11*'TUSD BF'!$AA$61</f>
        <v>0</v>
      </c>
      <c r="AB11" s="13">
        <f>SUM($U$11:$AA$11)</f>
        <v>0</v>
      </c>
      <c r="AC11" s="13">
        <f>'TUSD BE'!$AC$11*'TUSD BF'!$AC$61</f>
        <v>0</v>
      </c>
      <c r="AD11" s="13">
        <f>SUM($AC$11:$AC$11)</f>
        <v>0</v>
      </c>
      <c r="AE11" s="13">
        <v>0</v>
      </c>
      <c r="AF11" s="13">
        <f ca="1">$AP$11*$AP$58</f>
        <v>0</v>
      </c>
      <c r="AG11" s="13">
        <f ca="1">SUM($AE$11:$AF$11)</f>
        <v>0</v>
      </c>
      <c r="AH11" s="13">
        <f>'TUSD BE'!$AH$11*'TUSD BF'!$AH$61</f>
        <v>0</v>
      </c>
      <c r="AI11" s="13">
        <f>'TUSD BE'!$AI$11*'TUSD BF'!$AI$61</f>
        <v>0</v>
      </c>
      <c r="AJ11" s="13">
        <f ca="1">'TUSD BE'!$AJ$11*'TUSD BF'!$AJ$61</f>
        <v>0</v>
      </c>
      <c r="AK11" s="13">
        <f ca="1">'TUSD BE'!$AK$11*'TUSD BF'!$AK$61</f>
        <v>0</v>
      </c>
      <c r="AL11" s="13">
        <f ca="1">SUM($AH$11:$AK$11)</f>
        <v>0</v>
      </c>
      <c r="AM11" s="13">
        <f ca="1">SUMIF($L$4:$AL$4,"SUBTOTAL",$L$11:$AL$11)</f>
        <v>0</v>
      </c>
      <c r="AO11" s="20"/>
      <c r="AP11" s="20">
        <f ca="1">+'TUSD BE'!$T$11+'TUSD BE'!$AB$11+'TUSD BE'!$AD$11+'TUSD BE'!$AL$11</f>
        <v>9.5897848406939463</v>
      </c>
    </row>
    <row r="12" spans="1:42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>
        <f>'TUSD BE'!$L$12*'TUSD BF'!$L$61</f>
        <v>0</v>
      </c>
      <c r="M12" s="13">
        <f>'TUSD BE'!$M$12*'TUSD BF'!$M$61</f>
        <v>0</v>
      </c>
      <c r="N12" s="13">
        <f ca="1">'TUSD BE'!$N$12*'TUSD BF'!$N$61</f>
        <v>0</v>
      </c>
      <c r="O12" s="13">
        <f>'TUSD BE'!$O$12*'TUSD BF'!$O$61</f>
        <v>0</v>
      </c>
      <c r="P12" s="13">
        <f>'TUSD BE'!$P$12*'TUSD BF'!$P$61</f>
        <v>0</v>
      </c>
      <c r="Q12" s="13">
        <f>'TUSD BE'!$Q$12*'TUSD BF'!$Q$61</f>
        <v>0</v>
      </c>
      <c r="R12" s="13">
        <f>'TUSD BE'!$R$12*'TUSD BF'!$R$61</f>
        <v>0</v>
      </c>
      <c r="S12" s="13">
        <f>'TUSD BE'!$R$12*'TUSD BF'!$S$61</f>
        <v>0</v>
      </c>
      <c r="T12" s="13">
        <f ca="1">SUM($L$12:$S$12)</f>
        <v>0</v>
      </c>
      <c r="U12" s="13">
        <f>'TUSD BE'!$U$12*'TUSD BF'!$U$61</f>
        <v>0</v>
      </c>
      <c r="V12" s="13">
        <f>'TUSD BE'!$V$12*'TUSD BF'!$V$61</f>
        <v>0</v>
      </c>
      <c r="W12" s="13">
        <f>'TUSD BE'!$W$12*'TUSD BF'!$W$61</f>
        <v>0</v>
      </c>
      <c r="X12" s="13">
        <f>'TUSD BE'!$X$12*'TUSD BF'!$X$61</f>
        <v>0</v>
      </c>
      <c r="Y12" s="13">
        <f>'TUSD BE'!$Y$12*'TUSD BF'!$Y$61</f>
        <v>0</v>
      </c>
      <c r="Z12" s="13">
        <f>'TUSD BE'!$Z$12*'TUSD BF'!$Z$61</f>
        <v>0</v>
      </c>
      <c r="AA12" s="13">
        <f>'TUSD BE'!$AA$12*'TUSD BF'!$AA$61</f>
        <v>0</v>
      </c>
      <c r="AB12" s="13">
        <f>SUM($U$12:$AA$12)</f>
        <v>0</v>
      </c>
      <c r="AC12" s="13">
        <f>'TUSD BE'!$AC$12*'TUSD BF'!$AC$61</f>
        <v>0</v>
      </c>
      <c r="AD12" s="13">
        <f>SUM($AC$12:$AC$12)</f>
        <v>0</v>
      </c>
      <c r="AE12" s="13">
        <f ca="1">$AO$12*$AO$58</f>
        <v>0</v>
      </c>
      <c r="AF12" s="13">
        <f ca="1">$AP$12*$AP$58</f>
        <v>0</v>
      </c>
      <c r="AG12" s="13">
        <f ca="1">SUM($AE$12:$AF$12)</f>
        <v>0</v>
      </c>
      <c r="AH12" s="13">
        <f>'TUSD BE'!$AH$12*'TUSD BF'!$AH$61</f>
        <v>0</v>
      </c>
      <c r="AI12" s="13">
        <f>'TUSD BE'!$AI$12*'TUSD BF'!$AI$61</f>
        <v>0</v>
      </c>
      <c r="AJ12" s="13">
        <f ca="1">'TUSD BE'!$AJ$12*'TUSD BF'!$AJ$61</f>
        <v>0</v>
      </c>
      <c r="AK12" s="13">
        <f ca="1">'TUSD BE'!$AK$12*'TUSD BF'!$AK$61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5.1551020985534279</v>
      </c>
      <c r="AP12" s="20">
        <f ca="1">+'TUSD BE'!$T$12+'TUSD BE'!$AB$12+'TUSD BE'!$AD$12+'TUSD BE'!$AL$12</f>
        <v>5.1551020985534279</v>
      </c>
    </row>
    <row r="13" spans="1:42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>
        <f>'TUSD BE'!$L$13*'TUSD BF'!$L$61</f>
        <v>0</v>
      </c>
      <c r="M13" s="13">
        <f>'TUSD BE'!$M$13*'TUSD BF'!$M$61</f>
        <v>0</v>
      </c>
      <c r="N13" s="13">
        <f ca="1">'TUSD BE'!$N$13*'TUSD BF'!$N$61</f>
        <v>0</v>
      </c>
      <c r="O13" s="13">
        <f>'TUSD BE'!$O$13*'TUSD BF'!$O$61</f>
        <v>0</v>
      </c>
      <c r="P13" s="13">
        <f>'TUSD BE'!$P$13*'TUSD BF'!$P$61</f>
        <v>0</v>
      </c>
      <c r="Q13" s="13">
        <f>'TUSD BE'!$Q$13*'TUSD BF'!$Q$61</f>
        <v>0</v>
      </c>
      <c r="R13" s="13">
        <f>'TUSD BE'!$R$13*'TUSD BF'!$R$61</f>
        <v>0</v>
      </c>
      <c r="S13" s="13">
        <f>'TUSD BE'!$R$13*'TUSD BF'!$S$61</f>
        <v>0</v>
      </c>
      <c r="T13" s="13">
        <f ca="1">SUM($L$13:$S$13)</f>
        <v>0</v>
      </c>
      <c r="U13" s="13">
        <f>'TUSD BE'!$U$13*'TUSD BF'!$U$61</f>
        <v>0</v>
      </c>
      <c r="V13" s="13">
        <f>'TUSD BE'!$V$13*'TUSD BF'!$V$61</f>
        <v>0</v>
      </c>
      <c r="W13" s="13">
        <f>'TUSD BE'!$W$13*'TUSD BF'!$W$61</f>
        <v>0</v>
      </c>
      <c r="X13" s="13">
        <f>'TUSD BE'!$X$13*'TUSD BF'!$X$61</f>
        <v>0</v>
      </c>
      <c r="Y13" s="13">
        <f>'TUSD BE'!$Y$13*'TUSD BF'!$Y$61</f>
        <v>0</v>
      </c>
      <c r="Z13" s="13">
        <f>'TUSD BE'!$Z$13*'TUSD BF'!$Z$61</f>
        <v>0</v>
      </c>
      <c r="AA13" s="13">
        <f>'TUSD BE'!$AA$13*'TUSD BF'!$AA$61</f>
        <v>0</v>
      </c>
      <c r="AB13" s="13">
        <f>SUM($U$13:$AA$13)</f>
        <v>0</v>
      </c>
      <c r="AC13" s="13">
        <f>'TUSD BE'!$AC$13*'TUSD BF'!$AC$61</f>
        <v>0</v>
      </c>
      <c r="AD13" s="13">
        <f>SUM($AC$13:$AC$13)</f>
        <v>0</v>
      </c>
      <c r="AE13" s="13">
        <f ca="1">$AO$13*$AO$58</f>
        <v>0</v>
      </c>
      <c r="AF13" s="13">
        <f ca="1">$AP$13*$AP$58</f>
        <v>0</v>
      </c>
      <c r="AG13" s="13">
        <f ca="1">SUM($AE$13:$AF$13)</f>
        <v>0</v>
      </c>
      <c r="AH13" s="13">
        <f>'TUSD BE'!$AH$13*'TUSD BF'!$AH$61</f>
        <v>0</v>
      </c>
      <c r="AI13" s="13">
        <f>'TUSD BE'!$AI$13*'TUSD BF'!$AI$61</f>
        <v>0</v>
      </c>
      <c r="AJ13" s="13">
        <f ca="1">'TUSD BE'!$AJ$13*'TUSD BF'!$AJ$61</f>
        <v>0</v>
      </c>
      <c r="AK13" s="13">
        <f ca="1">'TUSD BE'!$AK$13*'TUSD BF'!$AK$61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26.530592178616633</v>
      </c>
      <c r="AP13" s="20">
        <f ca="1">+'TUSD BE'!$T$13+'TUSD BE'!$AB$13+'TUSD BE'!$AD$13+'TUSD BE'!$AL$13</f>
        <v>26.530592178616633</v>
      </c>
    </row>
    <row r="14" spans="1:42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>
        <f>'TUSD BE'!$L$14*'TUSD BF'!$L$61</f>
        <v>0</v>
      </c>
      <c r="M14" s="13">
        <f>'TUSD BE'!$M$14*'TUSD BF'!$M$61</f>
        <v>0</v>
      </c>
      <c r="N14" s="13">
        <f ca="1">'TUSD BE'!$N$14*'TUSD BF'!$N$61</f>
        <v>0</v>
      </c>
      <c r="O14" s="13">
        <f>'TUSD BE'!$O$14*'TUSD BF'!$O$61</f>
        <v>0</v>
      </c>
      <c r="P14" s="13">
        <f>'TUSD BE'!$P$14*'TUSD BF'!$P$61</f>
        <v>0</v>
      </c>
      <c r="Q14" s="13">
        <f>'TUSD BE'!$Q$14*'TUSD BF'!$Q$61</f>
        <v>0</v>
      </c>
      <c r="R14" s="13">
        <f>'TUSD BE'!$R$14*'TUSD BF'!$R$61</f>
        <v>0</v>
      </c>
      <c r="S14" s="13">
        <f>'TUSD BE'!$R$14*'TUSD BF'!$S$61</f>
        <v>0</v>
      </c>
      <c r="T14" s="13">
        <f ca="1">SUM($L$14:$S$14)</f>
        <v>0</v>
      </c>
      <c r="U14" s="13">
        <f>'TUSD BE'!$U$14*'TUSD BF'!$U$61</f>
        <v>0</v>
      </c>
      <c r="V14" s="13">
        <f>'TUSD BE'!$V$14*'TUSD BF'!$V$61</f>
        <v>0</v>
      </c>
      <c r="W14" s="13">
        <f>'TUSD BE'!$W$14*'TUSD BF'!$W$61</f>
        <v>0</v>
      </c>
      <c r="X14" s="13">
        <f>'TUSD BE'!$X$14*'TUSD BF'!$X$61</f>
        <v>0</v>
      </c>
      <c r="Y14" s="13">
        <f>'TUSD BE'!$Y$14*'TUSD BF'!$Y$61</f>
        <v>0</v>
      </c>
      <c r="Z14" s="13">
        <f>'TUSD BE'!$Z$14*'TUSD BF'!$Z$61</f>
        <v>0</v>
      </c>
      <c r="AA14" s="13">
        <f>'TUSD BE'!$AA$14*'TUSD BF'!$AA$61</f>
        <v>0</v>
      </c>
      <c r="AB14" s="13">
        <f>SUM($U$14:$AA$14)</f>
        <v>0</v>
      </c>
      <c r="AC14" s="13">
        <f>'TUSD BE'!$AC$14*'TUSD BF'!$AC$61</f>
        <v>0</v>
      </c>
      <c r="AD14" s="13">
        <f>SUM($AC$14:$AC$14)</f>
        <v>0</v>
      </c>
      <c r="AE14" s="13">
        <f ca="1">$AO$14*$AO$58</f>
        <v>0</v>
      </c>
      <c r="AF14" s="13">
        <f ca="1">$AP$14*$AP$58</f>
        <v>0</v>
      </c>
      <c r="AG14" s="13">
        <f ca="1">SUM($AE$14:$AF$14)</f>
        <v>0</v>
      </c>
      <c r="AH14" s="13">
        <f>'TUSD BE'!$AH$14*'TUSD BF'!$AH$61</f>
        <v>0</v>
      </c>
      <c r="AI14" s="13">
        <f>'TUSD BE'!$AI$14*'TUSD BF'!$AI$61</f>
        <v>0</v>
      </c>
      <c r="AJ14" s="13">
        <f ca="1">'TUSD BE'!$AJ$14*'TUSD BF'!$AJ$61</f>
        <v>0</v>
      </c>
      <c r="AK14" s="13">
        <f ca="1">'TUSD BE'!$AK$14*'TUSD BF'!$AK$61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2153.8687622235329</v>
      </c>
      <c r="AP14" s="20">
        <f ca="1">+'TUSD BE'!$T$14+'TUSD BE'!$AB$14+'TUSD BE'!$AD$14+'TUSD BE'!$AL$14</f>
        <v>2153.8687622235329</v>
      </c>
    </row>
    <row r="15" spans="1:42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>
        <f>'TUSD BE'!$L$15*'TUSD BF'!$L$61</f>
        <v>0</v>
      </c>
      <c r="M15" s="13">
        <f>'TUSD BE'!$M$15*'TUSD BF'!$M$61</f>
        <v>0</v>
      </c>
      <c r="N15" s="13">
        <f ca="1">'TUSD BE'!$N$15*'TUSD BF'!$N$61</f>
        <v>0</v>
      </c>
      <c r="O15" s="13">
        <f>'TUSD BE'!$O$15*'TUSD BF'!$O$61</f>
        <v>0</v>
      </c>
      <c r="P15" s="13">
        <f>'TUSD BE'!$P$15*'TUSD BF'!$P$61</f>
        <v>0</v>
      </c>
      <c r="Q15" s="13">
        <f>'TUSD BE'!$Q$15*'TUSD BF'!$Q$61</f>
        <v>0</v>
      </c>
      <c r="R15" s="13">
        <f>'TUSD BE'!$R$15*'TUSD BF'!$R$61</f>
        <v>0</v>
      </c>
      <c r="S15" s="13">
        <f>'TUSD BE'!$R$15*'TUSD BF'!$S$61</f>
        <v>0</v>
      </c>
      <c r="T15" s="13">
        <f ca="1">SUM($L$15:$S$15)</f>
        <v>0</v>
      </c>
      <c r="U15" s="13">
        <f>'TUSD BE'!$U$15*'TUSD BF'!$U$61</f>
        <v>0</v>
      </c>
      <c r="V15" s="13">
        <f>'TUSD BE'!$V$15*'TUSD BF'!$V$61</f>
        <v>0</v>
      </c>
      <c r="W15" s="13">
        <f>'TUSD BE'!$W$15*'TUSD BF'!$W$61</f>
        <v>0</v>
      </c>
      <c r="X15" s="13">
        <f>'TUSD BE'!$X$15*'TUSD BF'!$X$61</f>
        <v>0</v>
      </c>
      <c r="Y15" s="13">
        <f>'TUSD BE'!$Y$15*'TUSD BF'!$Y$61</f>
        <v>0</v>
      </c>
      <c r="Z15" s="13">
        <f>'TUSD BE'!$Z$15*'TUSD BF'!$Z$61</f>
        <v>0</v>
      </c>
      <c r="AA15" s="13">
        <f>'TUSD BE'!$AA$15*'TUSD BF'!$AA$61</f>
        <v>0</v>
      </c>
      <c r="AB15" s="13">
        <f>SUM($U$15:$AA$15)</f>
        <v>0</v>
      </c>
      <c r="AC15" s="13">
        <f>'TUSD BE'!$AC$15*'TUSD BF'!$AC$61</f>
        <v>0</v>
      </c>
      <c r="AD15" s="13">
        <f>SUM($AC$15:$AC$15)</f>
        <v>0</v>
      </c>
      <c r="AE15" s="13">
        <f ca="1">$AO$15*$AO$58</f>
        <v>0</v>
      </c>
      <c r="AF15" s="13">
        <f ca="1">$AP$15*$AP$58</f>
        <v>0</v>
      </c>
      <c r="AG15" s="13">
        <f ca="1">SUM($AE$15:$AF$15)</f>
        <v>0</v>
      </c>
      <c r="AH15" s="13">
        <f>'TUSD BE'!$AH$15*'TUSD BF'!$AH$61</f>
        <v>0</v>
      </c>
      <c r="AI15" s="13">
        <f>'TUSD BE'!$AI$15*'TUSD BF'!$AI$61</f>
        <v>0</v>
      </c>
      <c r="AJ15" s="13">
        <f ca="1">'TUSD BE'!$AJ$15*'TUSD BF'!$AJ$61</f>
        <v>0</v>
      </c>
      <c r="AK15" s="13">
        <f ca="1">'TUSD BE'!$AK$15*'TUSD BF'!$AK$61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101.16710460736806</v>
      </c>
      <c r="AP15" s="20">
        <f ca="1">+'TUSD BE'!$T$15+'TUSD BE'!$AB$15+'TUSD BE'!$AD$15+'TUSD BE'!$AL$15</f>
        <v>101.16710460736806</v>
      </c>
    </row>
    <row r="16" spans="1:42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>
        <f>'TUSD BE'!$L$16*'TUSD BF'!$L$61</f>
        <v>0</v>
      </c>
      <c r="M16" s="13">
        <f>'TUSD BE'!$M$16*'TUSD BF'!$M$61</f>
        <v>0</v>
      </c>
      <c r="N16" s="13">
        <f ca="1">'TUSD BE'!$N$16*'TUSD BF'!$N$61</f>
        <v>0</v>
      </c>
      <c r="O16" s="13">
        <f>'TUSD BE'!$O$16*'TUSD BF'!$O$61</f>
        <v>0</v>
      </c>
      <c r="P16" s="13">
        <f>'TUSD BE'!$P$16*'TUSD BF'!$P$61</f>
        <v>0</v>
      </c>
      <c r="Q16" s="13">
        <f>'TUSD BE'!$Q$16*'TUSD BF'!$Q$61</f>
        <v>0</v>
      </c>
      <c r="R16" s="13">
        <f>'TUSD BE'!$R$16*'TUSD BF'!$R$61</f>
        <v>0</v>
      </c>
      <c r="S16" s="13">
        <f>'TUSD BE'!$R$16*'TUSD BF'!$S$61</f>
        <v>0</v>
      </c>
      <c r="T16" s="13">
        <f ca="1">SUM($L$16:$S$16)</f>
        <v>0</v>
      </c>
      <c r="U16" s="13">
        <f>'TUSD BE'!$U$16*'TUSD BF'!$U$61</f>
        <v>0</v>
      </c>
      <c r="V16" s="13">
        <f>'TUSD BE'!$V$16*'TUSD BF'!$V$61</f>
        <v>0</v>
      </c>
      <c r="W16" s="13">
        <f>'TUSD BE'!$W$16*'TUSD BF'!$W$61</f>
        <v>0</v>
      </c>
      <c r="X16" s="13">
        <f>'TUSD BE'!$X$16*'TUSD BF'!$X$61</f>
        <v>0</v>
      </c>
      <c r="Y16" s="13">
        <f>'TUSD BE'!$Y$16*'TUSD BF'!$Y$61</f>
        <v>0</v>
      </c>
      <c r="Z16" s="13">
        <f>'TUSD BE'!$Z$16*'TUSD BF'!$Z$61</f>
        <v>0</v>
      </c>
      <c r="AA16" s="13">
        <f>'TUSD BE'!$AA$16*'TUSD BF'!$AA$61</f>
        <v>0</v>
      </c>
      <c r="AB16" s="13">
        <f>SUM($U$16:$AA$16)</f>
        <v>0</v>
      </c>
      <c r="AC16" s="13">
        <f>'TUSD BE'!$AC$16*'TUSD BF'!$AC$61</f>
        <v>0</v>
      </c>
      <c r="AD16" s="13">
        <f>SUM($AC$16:$AC$16)</f>
        <v>0</v>
      </c>
      <c r="AE16" s="13">
        <f ca="1">$AO$16*$AO$58</f>
        <v>0</v>
      </c>
      <c r="AF16" s="13">
        <f ca="1">$AP$16*$AP$58</f>
        <v>0</v>
      </c>
      <c r="AG16" s="13">
        <f ca="1">SUM($AE$16:$AF$16)</f>
        <v>0</v>
      </c>
      <c r="AH16" s="13">
        <f>'TUSD BE'!$AH$16*'TUSD BF'!$AH$61</f>
        <v>0</v>
      </c>
      <c r="AI16" s="13">
        <f>'TUSD BE'!$AI$16*'TUSD BF'!$AI$61</f>
        <v>0</v>
      </c>
      <c r="AJ16" s="13">
        <f ca="1">'TUSD BE'!$AJ$16*'TUSD BF'!$AJ$61</f>
        <v>0</v>
      </c>
      <c r="AK16" s="13">
        <f ca="1">'TUSD BE'!$AK$16*'TUSD BF'!$AK$61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2063.2107879185151</v>
      </c>
      <c r="AP16" s="20">
        <f ca="1">+'TUSD BE'!$T$16+'TUSD BE'!$AB$16+'TUSD BE'!$AD$16+'TUSD BE'!$AL$16</f>
        <v>2063.2107879185151</v>
      </c>
    </row>
    <row r="17" spans="1:42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>
        <f>'TUSD BE'!$L$17*'TUSD BF'!$L$61</f>
        <v>0</v>
      </c>
      <c r="M17" s="13">
        <f>'TUSD BE'!$M$17*'TUSD BF'!$M$61</f>
        <v>0</v>
      </c>
      <c r="N17" s="13">
        <f ca="1">'TUSD BE'!$N$17*'TUSD BF'!$N$61</f>
        <v>0</v>
      </c>
      <c r="O17" s="13">
        <f>'TUSD BE'!$O$17*'TUSD BF'!$O$61</f>
        <v>0</v>
      </c>
      <c r="P17" s="13">
        <f>'TUSD BE'!$P$17*'TUSD BF'!$P$61</f>
        <v>0</v>
      </c>
      <c r="Q17" s="13">
        <f>'TUSD BE'!$Q$17*'TUSD BF'!$Q$61</f>
        <v>0</v>
      </c>
      <c r="R17" s="13">
        <f>'TUSD BE'!$R$17*'TUSD BF'!$R$61</f>
        <v>0</v>
      </c>
      <c r="S17" s="13">
        <f>'TUSD BE'!$R$17*'TUSD BF'!$S$61</f>
        <v>0</v>
      </c>
      <c r="T17" s="13">
        <f ca="1">SUM($L$17:$S$17)</f>
        <v>0</v>
      </c>
      <c r="U17" s="13">
        <f>'TUSD BE'!$U$17*'TUSD BF'!$U$61</f>
        <v>0</v>
      </c>
      <c r="V17" s="13">
        <f>'TUSD BE'!$V$17*'TUSD BF'!$V$61</f>
        <v>0</v>
      </c>
      <c r="W17" s="13">
        <f>'TUSD BE'!$W$17*'TUSD BF'!$W$61</f>
        <v>0</v>
      </c>
      <c r="X17" s="13">
        <f>'TUSD BE'!$X$17*'TUSD BF'!$X$61</f>
        <v>0</v>
      </c>
      <c r="Y17" s="13">
        <f>'TUSD BE'!$Y$17*'TUSD BF'!$Y$61</f>
        <v>0</v>
      </c>
      <c r="Z17" s="13">
        <f>'TUSD BE'!$Z$17*'TUSD BF'!$Z$61</f>
        <v>0</v>
      </c>
      <c r="AA17" s="13">
        <f>'TUSD BE'!$AA$17*'TUSD BF'!$AA$61</f>
        <v>0</v>
      </c>
      <c r="AB17" s="13">
        <f>SUM($U$17:$AA$17)</f>
        <v>0</v>
      </c>
      <c r="AC17" s="13">
        <f>'TUSD BE'!$AC$17*'TUSD BF'!$AC$61</f>
        <v>0</v>
      </c>
      <c r="AD17" s="13">
        <f>SUM($AC$17:$AC$17)</f>
        <v>0</v>
      </c>
      <c r="AE17" s="13">
        <f ca="1">$AO$17*$AO$58</f>
        <v>0</v>
      </c>
      <c r="AF17" s="13">
        <f ca="1">$AP$17*$AP$58</f>
        <v>0</v>
      </c>
      <c r="AG17" s="13">
        <f ca="1">SUM($AE$17:$AF$17)</f>
        <v>0</v>
      </c>
      <c r="AH17" s="13">
        <f>'TUSD BE'!$AH$17*'TUSD BF'!$AH$61</f>
        <v>0</v>
      </c>
      <c r="AI17" s="13">
        <f>'TUSD BE'!$AI$17*'TUSD BF'!$AI$61</f>
        <v>0</v>
      </c>
      <c r="AJ17" s="13">
        <f ca="1">'TUSD BE'!$AJ$17*'TUSD BF'!$AJ$61</f>
        <v>0</v>
      </c>
      <c r="AK17" s="13">
        <f ca="1">'TUSD BE'!$AK$17*'TUSD BF'!$AK$61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10.509130302349831</v>
      </c>
      <c r="AP17" s="20">
        <f ca="1">+'TUSD BE'!$T$17+'TUSD BE'!$AB$17+'TUSD BE'!$AD$17+'TUSD BE'!$AL$17</f>
        <v>10.509130302349831</v>
      </c>
    </row>
    <row r="18" spans="1:42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>
        <f>'TUSD BE'!$L$18*'TUSD BF'!$L$61</f>
        <v>0</v>
      </c>
      <c r="M18" s="13">
        <f>'TUSD BE'!$M$18*'TUSD BF'!$M$61</f>
        <v>0</v>
      </c>
      <c r="N18" s="13">
        <f ca="1">'TUSD BE'!$N$18*'TUSD BF'!$N$61</f>
        <v>0</v>
      </c>
      <c r="O18" s="13">
        <f>'TUSD BE'!$O$18*'TUSD BF'!$O$61</f>
        <v>0</v>
      </c>
      <c r="P18" s="13">
        <f>'TUSD BE'!$P$18*'TUSD BF'!$P$61</f>
        <v>0</v>
      </c>
      <c r="Q18" s="13">
        <f>'TUSD BE'!$Q$18*'TUSD BF'!$Q$61</f>
        <v>0</v>
      </c>
      <c r="R18" s="13">
        <f>'TUSD BE'!$R$18*'TUSD BF'!$R$61</f>
        <v>0</v>
      </c>
      <c r="S18" s="13">
        <f>'TUSD BE'!$R$18*'TUSD BF'!$S$61</f>
        <v>0</v>
      </c>
      <c r="T18" s="13">
        <f ca="1">SUM($L$18:$S$18)</f>
        <v>0</v>
      </c>
      <c r="U18" s="13">
        <f>'TUSD BE'!$U$18*'TUSD BF'!$U$61</f>
        <v>0</v>
      </c>
      <c r="V18" s="13">
        <f>'TUSD BE'!$V$18*'TUSD BF'!$V$61</f>
        <v>0</v>
      </c>
      <c r="W18" s="13">
        <f>'TUSD BE'!$W$18*'TUSD BF'!$W$61</f>
        <v>0</v>
      </c>
      <c r="X18" s="13">
        <f>'TUSD BE'!$X$18*'TUSD BF'!$X$61</f>
        <v>0</v>
      </c>
      <c r="Y18" s="13">
        <f>'TUSD BE'!$Y$18*'TUSD BF'!$Y$61</f>
        <v>0</v>
      </c>
      <c r="Z18" s="13">
        <f>'TUSD BE'!$Z$18*'TUSD BF'!$Z$61</f>
        <v>0</v>
      </c>
      <c r="AA18" s="13">
        <f>'TUSD BE'!$AA$18*'TUSD BF'!$AA$61</f>
        <v>0</v>
      </c>
      <c r="AB18" s="13">
        <f>SUM($U$18:$AA$18)</f>
        <v>0</v>
      </c>
      <c r="AC18" s="13">
        <f>'TUSD BE'!$AC$18*'TUSD BF'!$AC$61</f>
        <v>0</v>
      </c>
      <c r="AD18" s="13">
        <f>SUM($AC$18:$AC$18)</f>
        <v>0</v>
      </c>
      <c r="AE18" s="13">
        <f ca="1">$AO$18*$AO$58</f>
        <v>0</v>
      </c>
      <c r="AF18" s="13">
        <f ca="1">$AP$18*$AP$58</f>
        <v>0</v>
      </c>
      <c r="AG18" s="13">
        <f ca="1">SUM($AE$18:$AF$18)</f>
        <v>0</v>
      </c>
      <c r="AH18" s="13">
        <f>'TUSD BE'!$AH$18*'TUSD BF'!$AH$61</f>
        <v>0</v>
      </c>
      <c r="AI18" s="13">
        <f>'TUSD BE'!$AI$18*'TUSD BF'!$AI$61</f>
        <v>0</v>
      </c>
      <c r="AJ18" s="13">
        <f ca="1">'TUSD BE'!$AJ$18*'TUSD BF'!$AJ$61</f>
        <v>0</v>
      </c>
      <c r="AK18" s="13">
        <f ca="1">'TUSD BE'!$AK$18*'TUSD BF'!$AK$61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8.3350457581349975</v>
      </c>
      <c r="AP18" s="20">
        <f ca="1">+'TUSD BE'!$T$18+'TUSD BE'!$AB$18+'TUSD BE'!$AD$18+'TUSD BE'!$AL$18</f>
        <v>8.3350457581349975</v>
      </c>
    </row>
    <row r="19" spans="1:42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>
        <f>'TUSD BE'!$L$19*'TUSD BF'!$L$61</f>
        <v>0</v>
      </c>
      <c r="M19" s="13">
        <f>'TUSD BE'!$M$19*'TUSD BF'!$M$61</f>
        <v>0</v>
      </c>
      <c r="N19" s="13">
        <f ca="1">'TUSD BE'!$N$19*'TUSD BF'!$N$61</f>
        <v>0</v>
      </c>
      <c r="O19" s="13">
        <f>'TUSD BE'!$O$19*'TUSD BF'!$O$61</f>
        <v>0</v>
      </c>
      <c r="P19" s="13">
        <f>'TUSD BE'!$P$19*'TUSD BF'!$P$61</f>
        <v>0</v>
      </c>
      <c r="Q19" s="13">
        <f>'TUSD BE'!$Q$19*'TUSD BF'!$Q$61</f>
        <v>0</v>
      </c>
      <c r="R19" s="13">
        <f>'TUSD BE'!$R$19*'TUSD BF'!$R$61</f>
        <v>0</v>
      </c>
      <c r="S19" s="13">
        <f>'TUSD BE'!$R$19*'TUSD BF'!$S$61</f>
        <v>0</v>
      </c>
      <c r="T19" s="13">
        <f ca="1">SUM($L$19:$S$19)</f>
        <v>0</v>
      </c>
      <c r="U19" s="13">
        <f>'TUSD BE'!$U$19*'TUSD BF'!$U$61</f>
        <v>0</v>
      </c>
      <c r="V19" s="13">
        <f>'TUSD BE'!$V$19*'TUSD BF'!$V$61</f>
        <v>0</v>
      </c>
      <c r="W19" s="13">
        <f>'TUSD BE'!$W$19*'TUSD BF'!$W$61</f>
        <v>0</v>
      </c>
      <c r="X19" s="13">
        <f>'TUSD BE'!$X$19*'TUSD BF'!$X$61</f>
        <v>0</v>
      </c>
      <c r="Y19" s="13">
        <f>'TUSD BE'!$Y$19*'TUSD BF'!$Y$61</f>
        <v>0</v>
      </c>
      <c r="Z19" s="13">
        <f>'TUSD BE'!$Z$19*'TUSD BF'!$Z$61</f>
        <v>0</v>
      </c>
      <c r="AA19" s="13">
        <f>'TUSD BE'!$AA$19*'TUSD BF'!$AA$61</f>
        <v>0</v>
      </c>
      <c r="AB19" s="13">
        <f>SUM($U$19:$AA$19)</f>
        <v>0</v>
      </c>
      <c r="AC19" s="13">
        <f>'TUSD BE'!$AC$19*'TUSD BF'!$AC$61</f>
        <v>0</v>
      </c>
      <c r="AD19" s="13">
        <f>SUM($AC$19:$AC$19)</f>
        <v>0</v>
      </c>
      <c r="AE19" s="13">
        <f ca="1">$AO$19*$AO$58</f>
        <v>0</v>
      </c>
      <c r="AF19" s="13">
        <f ca="1">$AP$19*$AP$58</f>
        <v>0</v>
      </c>
      <c r="AG19" s="13">
        <f ca="1">SUM($AE$19:$AF$19)</f>
        <v>0</v>
      </c>
      <c r="AH19" s="13">
        <f>'TUSD BE'!$AH$19*'TUSD BF'!$AH$61</f>
        <v>0</v>
      </c>
      <c r="AI19" s="13">
        <f>'TUSD BE'!$AI$19*'TUSD BF'!$AI$61</f>
        <v>0</v>
      </c>
      <c r="AJ19" s="13">
        <f ca="1">'TUSD BE'!$AJ$19*'TUSD BF'!$AJ$61</f>
        <v>0</v>
      </c>
      <c r="AK19" s="13">
        <f ca="1">'TUSD BE'!$AK$19*'TUSD BF'!$AK$61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16.946643819598687</v>
      </c>
      <c r="AP19" s="20">
        <f ca="1">+'TUSD BE'!$T$19+'TUSD BE'!$AB$19+'TUSD BE'!$AD$19+'TUSD BE'!$AL$19</f>
        <v>16.946643819598687</v>
      </c>
    </row>
    <row r="20" spans="1:42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>
        <f>'TUSD BE'!$L$20*'TUSD BF'!$L$61</f>
        <v>0</v>
      </c>
      <c r="M20" s="13">
        <f>'TUSD BE'!$M$20*'TUSD BF'!$M$61</f>
        <v>0</v>
      </c>
      <c r="N20" s="13">
        <f ca="1">'TUSD BE'!$N$20*'TUSD BF'!$N$61</f>
        <v>0</v>
      </c>
      <c r="O20" s="13">
        <f>'TUSD BE'!$O$20*'TUSD BF'!$O$61</f>
        <v>0</v>
      </c>
      <c r="P20" s="13">
        <f>'TUSD BE'!$P$20*'TUSD BF'!$P$61</f>
        <v>0</v>
      </c>
      <c r="Q20" s="13">
        <f>'TUSD BE'!$Q$20*'TUSD BF'!$Q$61</f>
        <v>0</v>
      </c>
      <c r="R20" s="13">
        <f>'TUSD BE'!$R$20*'TUSD BF'!$R$61</f>
        <v>0</v>
      </c>
      <c r="S20" s="13">
        <f>'TUSD BE'!$R$20*'TUSD BF'!$S$61</f>
        <v>0</v>
      </c>
      <c r="T20" s="13">
        <f ca="1">SUM($L$20:$S$20)</f>
        <v>0</v>
      </c>
      <c r="U20" s="13">
        <f>'TUSD BE'!$U$20*'TUSD BF'!$U$61</f>
        <v>0</v>
      </c>
      <c r="V20" s="13">
        <f>'TUSD BE'!$V$20*'TUSD BF'!$V$61</f>
        <v>0</v>
      </c>
      <c r="W20" s="13">
        <f>'TUSD BE'!$W$20*'TUSD BF'!$W$61</f>
        <v>0</v>
      </c>
      <c r="X20" s="13">
        <f>'TUSD BE'!$X$20*'TUSD BF'!$X$61</f>
        <v>0</v>
      </c>
      <c r="Y20" s="13">
        <f>'TUSD BE'!$Y$20*'TUSD BF'!$Y$61</f>
        <v>0</v>
      </c>
      <c r="Z20" s="13">
        <f>'TUSD BE'!$Z$20*'TUSD BF'!$Z$61</f>
        <v>0</v>
      </c>
      <c r="AA20" s="13">
        <f>'TUSD BE'!$AA$20*'TUSD BF'!$AA$61</f>
        <v>0</v>
      </c>
      <c r="AB20" s="13">
        <f>SUM($U$20:$AA$20)</f>
        <v>0</v>
      </c>
      <c r="AC20" s="13">
        <f>'TUSD BE'!$AC$20*'TUSD BF'!$AC$61</f>
        <v>0</v>
      </c>
      <c r="AD20" s="13">
        <f>SUM($AC$20:$AC$20)</f>
        <v>0</v>
      </c>
      <c r="AE20" s="13">
        <f ca="1">$AO$20*$AO$58</f>
        <v>0</v>
      </c>
      <c r="AF20" s="13">
        <f ca="1">$AP$20*$AP$58</f>
        <v>0</v>
      </c>
      <c r="AG20" s="13">
        <f ca="1">SUM($AE$20:$AF$20)</f>
        <v>0</v>
      </c>
      <c r="AH20" s="13">
        <f>'TUSD BE'!$AH$20*'TUSD BF'!$AH$61</f>
        <v>0</v>
      </c>
      <c r="AI20" s="13">
        <f>'TUSD BE'!$AI$20*'TUSD BF'!$AI$61</f>
        <v>0</v>
      </c>
      <c r="AJ20" s="13">
        <f ca="1">'TUSD BE'!$AJ$20*'TUSD BF'!$AJ$61</f>
        <v>0</v>
      </c>
      <c r="AK20" s="13">
        <f ca="1">'TUSD BE'!$AK$20*'TUSD BF'!$AK$61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1037.9045365135451</v>
      </c>
      <c r="AP20" s="20">
        <f ca="1">+'TUSD BE'!$T$20+'TUSD BE'!$AB$20+'TUSD BE'!$AD$20+'TUSD BE'!$AL$20</f>
        <v>1037.9045365135451</v>
      </c>
    </row>
    <row r="21" spans="1:42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>
        <f>'TUSD BE'!$L$21*'TUSD BF'!$L$61</f>
        <v>0</v>
      </c>
      <c r="M21" s="13">
        <f>'TUSD BE'!$M$21*'TUSD BF'!$M$61</f>
        <v>0</v>
      </c>
      <c r="N21" s="13">
        <f ca="1">'TUSD BE'!$N$21*'TUSD BF'!$N$61</f>
        <v>0</v>
      </c>
      <c r="O21" s="13">
        <f>'TUSD BE'!$O$21*'TUSD BF'!$O$61</f>
        <v>0</v>
      </c>
      <c r="P21" s="13">
        <f>'TUSD BE'!$P$21*'TUSD BF'!$P$61</f>
        <v>0</v>
      </c>
      <c r="Q21" s="13">
        <f>'TUSD BE'!$Q$21*'TUSD BF'!$Q$61</f>
        <v>0</v>
      </c>
      <c r="R21" s="13">
        <f>'TUSD BE'!$R$21*'TUSD BF'!$R$61</f>
        <v>0</v>
      </c>
      <c r="S21" s="13">
        <f>'TUSD BE'!$R$21*'TUSD BF'!$S$61</f>
        <v>0</v>
      </c>
      <c r="T21" s="13">
        <f ca="1">SUM($L$21:$S$21)</f>
        <v>0</v>
      </c>
      <c r="U21" s="13">
        <f>'TUSD BE'!$U$21*'TUSD BF'!$U$61</f>
        <v>0</v>
      </c>
      <c r="V21" s="13">
        <f>'TUSD BE'!$V$21*'TUSD BF'!$V$61</f>
        <v>0</v>
      </c>
      <c r="W21" s="13">
        <f>'TUSD BE'!$W$21*'TUSD BF'!$W$61</f>
        <v>0</v>
      </c>
      <c r="X21" s="13">
        <f>'TUSD BE'!$X$21*'TUSD BF'!$X$61</f>
        <v>0</v>
      </c>
      <c r="Y21" s="13">
        <f>'TUSD BE'!$Y$21*'TUSD BF'!$Y$61</f>
        <v>0</v>
      </c>
      <c r="Z21" s="13">
        <f>'TUSD BE'!$Z$21*'TUSD BF'!$Z$61</f>
        <v>0</v>
      </c>
      <c r="AA21" s="13">
        <f>'TUSD BE'!$AA$21*'TUSD BF'!$AA$61</f>
        <v>0</v>
      </c>
      <c r="AB21" s="13">
        <f>SUM($U$21:$AA$21)</f>
        <v>0</v>
      </c>
      <c r="AC21" s="13">
        <f>'TUSD BE'!$AC$21*'TUSD BF'!$AC$61</f>
        <v>0</v>
      </c>
      <c r="AD21" s="13">
        <f>SUM($AC$21:$AC$21)</f>
        <v>0</v>
      </c>
      <c r="AE21" s="13">
        <f ca="1">$AO$21*$AO$58</f>
        <v>0</v>
      </c>
      <c r="AF21" s="13">
        <f ca="1">$AP$21*$AP$58</f>
        <v>0</v>
      </c>
      <c r="AG21" s="13">
        <f ca="1">SUM($AE$21:$AF$21)</f>
        <v>0</v>
      </c>
      <c r="AH21" s="13">
        <f>'TUSD BE'!$AH$21*'TUSD BF'!$AH$61</f>
        <v>0</v>
      </c>
      <c r="AI21" s="13">
        <f>'TUSD BE'!$AI$21*'TUSD BF'!$AI$61</f>
        <v>0</v>
      </c>
      <c r="AJ21" s="13">
        <f ca="1">'TUSD BE'!$AJ$21*'TUSD BF'!$AJ$61</f>
        <v>0</v>
      </c>
      <c r="AK21" s="13">
        <f ca="1">'TUSD BE'!$AK$21*'TUSD BF'!$AK$61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675.20132246377875</v>
      </c>
      <c r="AP21" s="20">
        <f ca="1">+'TUSD BE'!$T$21+'TUSD BE'!$AB$21+'TUSD BE'!$AD$21+'TUSD BE'!$AL$21</f>
        <v>675.20132246377875</v>
      </c>
    </row>
    <row r="22" spans="1:42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>
        <f>'TUSD BE'!$L$22*'TUSD BF'!$L$61</f>
        <v>0</v>
      </c>
      <c r="M22" s="13">
        <f>'TUSD BE'!$M$22*'TUSD BF'!$M$61</f>
        <v>0</v>
      </c>
      <c r="N22" s="13">
        <f ca="1">'TUSD BE'!$N$22*'TUSD BF'!$N$61</f>
        <v>0</v>
      </c>
      <c r="O22" s="13">
        <f>'TUSD BE'!$O$22*'TUSD BF'!$O$61</f>
        <v>0</v>
      </c>
      <c r="P22" s="13">
        <f>'TUSD BE'!$P$22*'TUSD BF'!$P$61</f>
        <v>0</v>
      </c>
      <c r="Q22" s="13">
        <f>'TUSD BE'!$Q$22*'TUSD BF'!$Q$61</f>
        <v>0</v>
      </c>
      <c r="R22" s="13">
        <f>'TUSD BE'!$R$22*'TUSD BF'!$R$61</f>
        <v>0</v>
      </c>
      <c r="S22" s="13">
        <f>'TUSD BE'!$R$22*'TUSD BF'!$S$61</f>
        <v>0</v>
      </c>
      <c r="T22" s="13">
        <f ca="1">SUM($L$22:$S$22)</f>
        <v>0</v>
      </c>
      <c r="U22" s="13">
        <f>'TUSD BE'!$U$22*'TUSD BF'!$U$61</f>
        <v>0</v>
      </c>
      <c r="V22" s="13">
        <f>'TUSD BE'!$V$22*'TUSD BF'!$V$61</f>
        <v>0</v>
      </c>
      <c r="W22" s="13">
        <f>'TUSD BE'!$W$22*'TUSD BF'!$W$61</f>
        <v>0</v>
      </c>
      <c r="X22" s="13">
        <f>'TUSD BE'!$X$22*'TUSD BF'!$X$61</f>
        <v>0</v>
      </c>
      <c r="Y22" s="13">
        <f>'TUSD BE'!$Y$22*'TUSD BF'!$Y$61</f>
        <v>0</v>
      </c>
      <c r="Z22" s="13">
        <f>'TUSD BE'!$Z$22*'TUSD BF'!$Z$61</f>
        <v>0</v>
      </c>
      <c r="AA22" s="13">
        <f>'TUSD BE'!$AA$22*'TUSD BF'!$AA$61</f>
        <v>0</v>
      </c>
      <c r="AB22" s="13">
        <f>SUM($U$22:$AA$22)</f>
        <v>0</v>
      </c>
      <c r="AC22" s="13">
        <f>'TUSD BE'!$AC$22*'TUSD BF'!$AC$61</f>
        <v>0</v>
      </c>
      <c r="AD22" s="13">
        <f>SUM($AC$22:$AC$22)</f>
        <v>0</v>
      </c>
      <c r="AE22" s="13">
        <f ca="1">$AO$22*$AO$58</f>
        <v>0</v>
      </c>
      <c r="AF22" s="13">
        <f ca="1">$AP$22*$AP$58</f>
        <v>0</v>
      </c>
      <c r="AG22" s="13">
        <f ca="1">SUM($AE$22:$AF$22)</f>
        <v>0</v>
      </c>
      <c r="AH22" s="13">
        <f>'TUSD BE'!$AH$22*'TUSD BF'!$AH$61</f>
        <v>0</v>
      </c>
      <c r="AI22" s="13">
        <f>'TUSD BE'!$AI$22*'TUSD BF'!$AI$61</f>
        <v>0</v>
      </c>
      <c r="AJ22" s="13">
        <f ca="1">'TUSD BE'!$AJ$22*'TUSD BF'!$AJ$61</f>
        <v>0</v>
      </c>
      <c r="AK22" s="13">
        <f ca="1">'TUSD BE'!$AK$22*'TUSD BF'!$AK$61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312.53205820730005</v>
      </c>
      <c r="AP22" s="20">
        <f ca="1">+'TUSD BE'!$T$22+'TUSD BE'!$AB$22+'TUSD BE'!$AD$22+'TUSD BE'!$AL$22</f>
        <v>312.53205820730005</v>
      </c>
    </row>
    <row r="23" spans="1:42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>
        <f>'TUSD BE'!$L$23*'TUSD BF'!$L$61</f>
        <v>0</v>
      </c>
      <c r="M23" s="13">
        <f>'TUSD BE'!$M$23*'TUSD BF'!$M$61</f>
        <v>0</v>
      </c>
      <c r="N23" s="13">
        <f ca="1">'TUSD BE'!$N$23*'TUSD BF'!$N$61</f>
        <v>0</v>
      </c>
      <c r="O23" s="13">
        <f>'TUSD BE'!$O$23*'TUSD BF'!$O$61</f>
        <v>0</v>
      </c>
      <c r="P23" s="13">
        <f>'TUSD BE'!$P$23*'TUSD BF'!$P$61</f>
        <v>0</v>
      </c>
      <c r="Q23" s="13">
        <f>'TUSD BE'!$Q$23*'TUSD BF'!$Q$61</f>
        <v>0</v>
      </c>
      <c r="R23" s="13">
        <f>'TUSD BE'!$R$23*'TUSD BF'!$R$61</f>
        <v>0</v>
      </c>
      <c r="S23" s="13">
        <f>'TUSD BE'!$R$23*'TUSD BF'!$S$61</f>
        <v>0</v>
      </c>
      <c r="T23" s="13">
        <f ca="1">SUM($L$23:$S$23)</f>
        <v>0</v>
      </c>
      <c r="U23" s="13">
        <f>'TUSD BE'!$U$23*'TUSD BF'!$U$61</f>
        <v>0</v>
      </c>
      <c r="V23" s="13">
        <f>'TUSD BE'!$V$23*'TUSD BF'!$V$61</f>
        <v>0</v>
      </c>
      <c r="W23" s="13">
        <f>'TUSD BE'!$W$23*'TUSD BF'!$W$61</f>
        <v>0</v>
      </c>
      <c r="X23" s="13">
        <f>'TUSD BE'!$X$23*'TUSD BF'!$X$61</f>
        <v>0</v>
      </c>
      <c r="Y23" s="13">
        <f>'TUSD BE'!$Y$23*'TUSD BF'!$Y$61</f>
        <v>0</v>
      </c>
      <c r="Z23" s="13">
        <f>'TUSD BE'!$Z$23*'TUSD BF'!$Z$61</f>
        <v>0</v>
      </c>
      <c r="AA23" s="13">
        <f>'TUSD BE'!$AA$23*'TUSD BF'!$AA$61</f>
        <v>0</v>
      </c>
      <c r="AB23" s="13">
        <f>SUM($U$23:$AA$23)</f>
        <v>0</v>
      </c>
      <c r="AC23" s="13">
        <f>'TUSD BE'!$AC$23*'TUSD BF'!$AC$61</f>
        <v>0</v>
      </c>
      <c r="AD23" s="13">
        <f>SUM($AC$23:$AC$23)</f>
        <v>0</v>
      </c>
      <c r="AE23" s="13">
        <f ca="1">$AO$23*$AO$58</f>
        <v>0</v>
      </c>
      <c r="AF23" s="13">
        <f ca="1">$AP$23*$AP$58</f>
        <v>0</v>
      </c>
      <c r="AG23" s="13">
        <f ca="1">SUM($AE$23:$AF$23)</f>
        <v>0</v>
      </c>
      <c r="AH23" s="13">
        <f>'TUSD BE'!$AH$23*'TUSD BF'!$AH$61</f>
        <v>0</v>
      </c>
      <c r="AI23" s="13">
        <f>'TUSD BE'!$AI$23*'TUSD BF'!$AI$61</f>
        <v>0</v>
      </c>
      <c r="AJ23" s="13">
        <f ca="1">'TUSD BE'!$AJ$23*'TUSD BF'!$AJ$61</f>
        <v>0</v>
      </c>
      <c r="AK23" s="13">
        <f ca="1">'TUSD BE'!$AK$23*'TUSD BF'!$AK$61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466.95038811523096</v>
      </c>
      <c r="AP23" s="20">
        <f ca="1">+'TUSD BE'!$T$23+'TUSD BE'!$AB$23+'TUSD BE'!$AD$23+'TUSD BE'!$AL$23</f>
        <v>466.95038811523096</v>
      </c>
    </row>
    <row r="24" spans="1:42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>
        <f>'TUSD BE'!$L$24*'TUSD BF'!$L$61</f>
        <v>0</v>
      </c>
      <c r="M24" s="13">
        <f>'TUSD BE'!$M$24*'TUSD BF'!$M$61</f>
        <v>0</v>
      </c>
      <c r="N24" s="13">
        <f ca="1">'TUSD BE'!$N$24*'TUSD BF'!$N$61</f>
        <v>0</v>
      </c>
      <c r="O24" s="13">
        <f>'TUSD BE'!$O$24*'TUSD BF'!$O$61</f>
        <v>0</v>
      </c>
      <c r="P24" s="13">
        <f>'TUSD BE'!$P$24*'TUSD BF'!$P$61</f>
        <v>0</v>
      </c>
      <c r="Q24" s="13">
        <f>'TUSD BE'!$Q$24*'TUSD BF'!$Q$61</f>
        <v>0</v>
      </c>
      <c r="R24" s="13">
        <f>'TUSD BE'!$R$24*'TUSD BF'!$R$61</f>
        <v>0</v>
      </c>
      <c r="S24" s="13">
        <f>'TUSD BE'!$R$24*'TUSD BF'!$S$61</f>
        <v>0</v>
      </c>
      <c r="T24" s="13">
        <f ca="1">SUM($L$24:$S$24)</f>
        <v>0</v>
      </c>
      <c r="U24" s="13">
        <f>'TUSD BE'!$U$24*'TUSD BF'!$U$61</f>
        <v>0</v>
      </c>
      <c r="V24" s="13">
        <f>'TUSD BE'!$V$24*'TUSD BF'!$V$61</f>
        <v>0</v>
      </c>
      <c r="W24" s="13">
        <f>'TUSD BE'!$W$24*'TUSD BF'!$W$61</f>
        <v>0</v>
      </c>
      <c r="X24" s="13">
        <f>'TUSD BE'!$X$24*'TUSD BF'!$X$61</f>
        <v>0</v>
      </c>
      <c r="Y24" s="13">
        <f>'TUSD BE'!$Y$24*'TUSD BF'!$Y$61</f>
        <v>0</v>
      </c>
      <c r="Z24" s="13">
        <f>'TUSD BE'!$Z$24*'TUSD BF'!$Z$61</f>
        <v>0</v>
      </c>
      <c r="AA24" s="13">
        <f>'TUSD BE'!$AA$24*'TUSD BF'!$AA$61</f>
        <v>0</v>
      </c>
      <c r="AB24" s="13">
        <f>SUM($U$24:$AA$24)</f>
        <v>0</v>
      </c>
      <c r="AC24" s="13">
        <f>'TUSD BE'!$AC$24*'TUSD BF'!$AC$61</f>
        <v>0</v>
      </c>
      <c r="AD24" s="13">
        <f>SUM($AC$24:$AC$24)</f>
        <v>0</v>
      </c>
      <c r="AE24" s="13">
        <f ca="1">$AO$24*$AO$58</f>
        <v>0</v>
      </c>
      <c r="AF24" s="13">
        <f ca="1">$AP$24*$AP$58</f>
        <v>0</v>
      </c>
      <c r="AG24" s="13">
        <f ca="1">SUM($AE$24:$AF$24)</f>
        <v>0</v>
      </c>
      <c r="AH24" s="13">
        <f>'TUSD BE'!$AH$24*'TUSD BF'!$AH$61</f>
        <v>0</v>
      </c>
      <c r="AI24" s="13">
        <f>'TUSD BE'!$AI$24*'TUSD BF'!$AI$61</f>
        <v>0</v>
      </c>
      <c r="AJ24" s="13">
        <f ca="1">'TUSD BE'!$AJ$24*'TUSD BF'!$AJ$61</f>
        <v>0</v>
      </c>
      <c r="AK24" s="13">
        <f ca="1">'TUSD BE'!$AK$24*'TUSD BF'!$AK$61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361.757929311574</v>
      </c>
      <c r="AP24" s="20">
        <f ca="1">+'TUSD BE'!$T$24+'TUSD BE'!$AB$24+'TUSD BE'!$AD$24+'TUSD BE'!$AL$24</f>
        <v>361.757929311574</v>
      </c>
    </row>
    <row r="25" spans="1:42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>
        <f>'TUSD BE'!$L$25*'TUSD BF'!$L$61</f>
        <v>0</v>
      </c>
      <c r="M25" s="13">
        <f>'TUSD BE'!$M$25*'TUSD BF'!$M$61</f>
        <v>0</v>
      </c>
      <c r="N25" s="13">
        <f ca="1">'TUSD BE'!$N$25*'TUSD BF'!$N$61</f>
        <v>0</v>
      </c>
      <c r="O25" s="13">
        <f>'TUSD BE'!$O$25*'TUSD BF'!$O$61</f>
        <v>0</v>
      </c>
      <c r="P25" s="13">
        <f>'TUSD BE'!$P$25*'TUSD BF'!$P$61</f>
        <v>0</v>
      </c>
      <c r="Q25" s="13">
        <f>'TUSD BE'!$Q$25*'TUSD BF'!$Q$61</f>
        <v>0</v>
      </c>
      <c r="R25" s="13">
        <f>'TUSD BE'!$R$25*'TUSD BF'!$R$61</f>
        <v>0</v>
      </c>
      <c r="S25" s="13">
        <f>'TUSD BE'!$R$25*'TUSD BF'!$S$61</f>
        <v>0</v>
      </c>
      <c r="T25" s="13">
        <f ca="1">SUM($L$25:$S$25)</f>
        <v>0</v>
      </c>
      <c r="U25" s="13">
        <f>'TUSD BE'!$U$25*'TUSD BF'!$U$61</f>
        <v>0</v>
      </c>
      <c r="V25" s="13">
        <f>'TUSD BE'!$V$25*'TUSD BF'!$V$61</f>
        <v>0</v>
      </c>
      <c r="W25" s="13">
        <f>'TUSD BE'!$W$25*'TUSD BF'!$W$61</f>
        <v>0</v>
      </c>
      <c r="X25" s="13">
        <f>'TUSD BE'!$X$25*'TUSD BF'!$X$61</f>
        <v>0</v>
      </c>
      <c r="Y25" s="13">
        <f>'TUSD BE'!$Y$25*'TUSD BF'!$Y$61</f>
        <v>0</v>
      </c>
      <c r="Z25" s="13">
        <f>'TUSD BE'!$Z$25*'TUSD BF'!$Z$61</f>
        <v>0</v>
      </c>
      <c r="AA25" s="13">
        <f>'TUSD BE'!$AA$25*'TUSD BF'!$AA$61</f>
        <v>0</v>
      </c>
      <c r="AB25" s="13">
        <f>SUM($U$25:$AA$25)</f>
        <v>0</v>
      </c>
      <c r="AC25" s="13">
        <f>'TUSD BE'!$AC$25*'TUSD BF'!$AC$61</f>
        <v>0</v>
      </c>
      <c r="AD25" s="13">
        <f>SUM($AC$25:$AC$25)</f>
        <v>0</v>
      </c>
      <c r="AE25" s="13">
        <f ca="1">$AO$25*$AO$58</f>
        <v>0</v>
      </c>
      <c r="AF25" s="13">
        <f ca="1">$AP$25*$AP$58</f>
        <v>0</v>
      </c>
      <c r="AG25" s="13">
        <f ca="1">SUM($AE$25:$AF$25)</f>
        <v>0</v>
      </c>
      <c r="AH25" s="13">
        <f>'TUSD BE'!$AH$25*'TUSD BF'!$AH$61</f>
        <v>0</v>
      </c>
      <c r="AI25" s="13">
        <f>'TUSD BE'!$AI$25*'TUSD BF'!$AI$61</f>
        <v>0</v>
      </c>
      <c r="AJ25" s="13">
        <f ca="1">'TUSD BE'!$AJ$25*'TUSD BF'!$AJ$61</f>
        <v>0</v>
      </c>
      <c r="AK25" s="13">
        <f ca="1">'TUSD BE'!$AK$25*'TUSD BF'!$AK$61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361.757929311574</v>
      </c>
      <c r="AP25" s="20">
        <f ca="1">+'TUSD BE'!$T$25+'TUSD BE'!$AB$25+'TUSD BE'!$AD$25+'TUSD BE'!$AL$25</f>
        <v>361.757929311574</v>
      </c>
    </row>
    <row r="26" spans="1:42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>
        <f>'TUSD BE'!$L$26*'TUSD BF'!$L$61</f>
        <v>0</v>
      </c>
      <c r="M26" s="13">
        <f>'TUSD BE'!$M$26*'TUSD BF'!$M$61</f>
        <v>0</v>
      </c>
      <c r="N26" s="13">
        <f ca="1">'TUSD BE'!$N$26*'TUSD BF'!$N$61</f>
        <v>0</v>
      </c>
      <c r="O26" s="13">
        <f>'TUSD BE'!$O$26*'TUSD BF'!$O$61</f>
        <v>0</v>
      </c>
      <c r="P26" s="13">
        <f>'TUSD BE'!$P$26*'TUSD BF'!$P$61</f>
        <v>0</v>
      </c>
      <c r="Q26" s="13">
        <f>'TUSD BE'!$Q$26*'TUSD BF'!$Q$61</f>
        <v>0</v>
      </c>
      <c r="R26" s="13">
        <f>'TUSD BE'!$R$26*'TUSD BF'!$R$61</f>
        <v>0</v>
      </c>
      <c r="S26" s="13">
        <f>'TUSD BE'!$R$26*'TUSD BF'!$S$61</f>
        <v>0</v>
      </c>
      <c r="T26" s="13">
        <f ca="1">SUM($L$26:$S$26)</f>
        <v>0</v>
      </c>
      <c r="U26" s="13">
        <f>'TUSD BE'!$U$26*'TUSD BF'!$U$61</f>
        <v>0</v>
      </c>
      <c r="V26" s="13">
        <f>'TUSD BE'!$V$26*'TUSD BF'!$V$61</f>
        <v>0</v>
      </c>
      <c r="W26" s="13">
        <f>'TUSD BE'!$W$26*'TUSD BF'!$W$61</f>
        <v>0</v>
      </c>
      <c r="X26" s="13">
        <f>'TUSD BE'!$X$26*'TUSD BF'!$X$61</f>
        <v>0</v>
      </c>
      <c r="Y26" s="13">
        <f>'TUSD BE'!$Y$26*'TUSD BF'!$Y$61</f>
        <v>0</v>
      </c>
      <c r="Z26" s="13">
        <f>'TUSD BE'!$Z$26*'TUSD BF'!$Z$61</f>
        <v>0</v>
      </c>
      <c r="AA26" s="13">
        <f>'TUSD BE'!$AA$26*'TUSD BF'!$AA$61</f>
        <v>0</v>
      </c>
      <c r="AB26" s="13">
        <f>SUM($U$26:$AA$26)</f>
        <v>0</v>
      </c>
      <c r="AC26" s="13">
        <f>'TUSD BE'!$AC$26*'TUSD BF'!$AC$61</f>
        <v>0</v>
      </c>
      <c r="AD26" s="13">
        <f>SUM($AC$26:$AC$26)</f>
        <v>0</v>
      </c>
      <c r="AE26" s="13">
        <f ca="1">$AO$26*$AO$58</f>
        <v>0</v>
      </c>
      <c r="AF26" s="13">
        <f ca="1">$AP$26*$AP$58</f>
        <v>0</v>
      </c>
      <c r="AG26" s="13">
        <f ca="1">SUM($AE$26:$AF$26)</f>
        <v>0</v>
      </c>
      <c r="AH26" s="13">
        <f>'TUSD BE'!$AH$26*'TUSD BF'!$AH$61</f>
        <v>0</v>
      </c>
      <c r="AI26" s="13">
        <f>'TUSD BE'!$AI$26*'TUSD BF'!$AI$61</f>
        <v>0</v>
      </c>
      <c r="AJ26" s="13">
        <f ca="1">'TUSD BE'!$AJ$26*'TUSD BF'!$AJ$61</f>
        <v>0</v>
      </c>
      <c r="AK26" s="13">
        <f ca="1">'TUSD BE'!$AK$26*'TUSD BF'!$AK$61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361.757929311574</v>
      </c>
      <c r="AP26" s="20">
        <f ca="1">+'TUSD BE'!$T$26+'TUSD BE'!$AB$26+'TUSD BE'!$AD$26+'TUSD BE'!$AL$26</f>
        <v>361.757929311574</v>
      </c>
    </row>
    <row r="27" spans="1:42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>
        <f>'TUSD BE'!$L$27*'TUSD BF'!$L$61</f>
        <v>0</v>
      </c>
      <c r="M27" s="13">
        <f>'TUSD BE'!$M$27*'TUSD BF'!$M$61</f>
        <v>0</v>
      </c>
      <c r="N27" s="13">
        <f ca="1">'TUSD BE'!$N$27*'TUSD BF'!$N$61</f>
        <v>0</v>
      </c>
      <c r="O27" s="13">
        <f>'TUSD BE'!$O$27*'TUSD BF'!$O$61</f>
        <v>0</v>
      </c>
      <c r="P27" s="13">
        <f>'TUSD BE'!$P$27*'TUSD BF'!$P$61</f>
        <v>0</v>
      </c>
      <c r="Q27" s="13">
        <f>'TUSD BE'!$Q$27*'TUSD BF'!$Q$61</f>
        <v>0</v>
      </c>
      <c r="R27" s="13">
        <f>'TUSD BE'!$R$27*'TUSD BF'!$R$61</f>
        <v>0</v>
      </c>
      <c r="S27" s="13">
        <f>'TUSD BE'!$R$27*'TUSD BF'!$S$61</f>
        <v>0</v>
      </c>
      <c r="T27" s="13">
        <f ca="1">SUM($L$27:$S$27)</f>
        <v>0</v>
      </c>
      <c r="U27" s="13">
        <f>'TUSD BE'!$U$27*'TUSD BF'!$U$61</f>
        <v>0</v>
      </c>
      <c r="V27" s="13">
        <f>'TUSD BE'!$V$27*'TUSD BF'!$V$61</f>
        <v>0</v>
      </c>
      <c r="W27" s="13">
        <f>'TUSD BE'!$W$27*'TUSD BF'!$W$61</f>
        <v>0</v>
      </c>
      <c r="X27" s="13">
        <f>'TUSD BE'!$X$27*'TUSD BF'!$X$61</f>
        <v>0</v>
      </c>
      <c r="Y27" s="13">
        <f>'TUSD BE'!$Y$27*'TUSD BF'!$Y$61</f>
        <v>0</v>
      </c>
      <c r="Z27" s="13">
        <f>'TUSD BE'!$Z$27*'TUSD BF'!$Z$61</f>
        <v>0</v>
      </c>
      <c r="AA27" s="13">
        <f>'TUSD BE'!$AA$27*'TUSD BF'!$AA$61</f>
        <v>0</v>
      </c>
      <c r="AB27" s="13">
        <f>SUM($U$27:$AA$27)</f>
        <v>0</v>
      </c>
      <c r="AC27" s="13">
        <f>'TUSD BE'!$AC$27*'TUSD BF'!$AC$61</f>
        <v>0</v>
      </c>
      <c r="AD27" s="13">
        <f>SUM($AC$27:$AC$27)</f>
        <v>0</v>
      </c>
      <c r="AE27" s="13">
        <f ca="1">$AO$27*$AO$58</f>
        <v>0</v>
      </c>
      <c r="AF27" s="13">
        <f ca="1">$AP$27*$AP$58</f>
        <v>0</v>
      </c>
      <c r="AG27" s="13">
        <f ca="1">SUM($AE$27:$AF$27)</f>
        <v>0</v>
      </c>
      <c r="AH27" s="13">
        <f>'TUSD BE'!$AH$27*'TUSD BF'!$AH$61</f>
        <v>0</v>
      </c>
      <c r="AI27" s="13">
        <f>'TUSD BE'!$AI$27*'TUSD BF'!$AI$61</f>
        <v>0</v>
      </c>
      <c r="AJ27" s="13">
        <f ca="1">'TUSD BE'!$AJ$27*'TUSD BF'!$AJ$61</f>
        <v>0</v>
      </c>
      <c r="AK27" s="13">
        <f ca="1">'TUSD BE'!$AK$27*'TUSD BF'!$AK$61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361.757929311574</v>
      </c>
      <c r="AP27" s="20">
        <f ca="1">+'TUSD BE'!$T$27+'TUSD BE'!$AB$27+'TUSD BE'!$AD$27+'TUSD BE'!$AL$27</f>
        <v>361.757929311574</v>
      </c>
    </row>
    <row r="28" spans="1:42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>
        <f>'TUSD BE'!$L$28*'TUSD BF'!$L$61</f>
        <v>0</v>
      </c>
      <c r="M28" s="13">
        <f>'TUSD BE'!$M$28*'TUSD BF'!$M$61</f>
        <v>0</v>
      </c>
      <c r="N28" s="13">
        <f ca="1">'TUSD BE'!$N$28*'TUSD BF'!$N$61</f>
        <v>0</v>
      </c>
      <c r="O28" s="13">
        <f>'TUSD BE'!$O$28*'TUSD BF'!$O$61</f>
        <v>0</v>
      </c>
      <c r="P28" s="13">
        <f>'TUSD BE'!$P$28*'TUSD BF'!$P$61</f>
        <v>0</v>
      </c>
      <c r="Q28" s="13">
        <f>'TUSD BE'!$Q$28*'TUSD BF'!$Q$61</f>
        <v>0</v>
      </c>
      <c r="R28" s="13">
        <f>'TUSD BE'!$R$28*'TUSD BF'!$R$61</f>
        <v>0</v>
      </c>
      <c r="S28" s="13">
        <f>'TUSD BE'!$R$28*'TUSD BF'!$S$61</f>
        <v>0</v>
      </c>
      <c r="T28" s="13">
        <f ca="1">SUM($L$28:$S$28)</f>
        <v>0</v>
      </c>
      <c r="U28" s="13">
        <f>'TUSD BE'!$U$28*'TUSD BF'!$U$61</f>
        <v>0</v>
      </c>
      <c r="V28" s="13">
        <f>'TUSD BE'!$V$28*'TUSD BF'!$V$61</f>
        <v>0</v>
      </c>
      <c r="W28" s="13">
        <f>'TUSD BE'!$W$28*'TUSD BF'!$W$61</f>
        <v>0</v>
      </c>
      <c r="X28" s="13">
        <f>'TUSD BE'!$X$28*'TUSD BF'!$X$61</f>
        <v>0</v>
      </c>
      <c r="Y28" s="13">
        <f>'TUSD BE'!$Y$28*'TUSD BF'!$Y$61</f>
        <v>0</v>
      </c>
      <c r="Z28" s="13">
        <f>'TUSD BE'!$Z$28*'TUSD BF'!$Z$61</f>
        <v>0</v>
      </c>
      <c r="AA28" s="13">
        <f>'TUSD BE'!$AA$28*'TUSD BF'!$AA$61</f>
        <v>0</v>
      </c>
      <c r="AB28" s="13">
        <f>SUM($U$28:$AA$28)</f>
        <v>0</v>
      </c>
      <c r="AC28" s="13">
        <f>'TUSD BE'!$AC$28*'TUSD BF'!$AC$61</f>
        <v>0</v>
      </c>
      <c r="AD28" s="13">
        <f>SUM($AC$28:$AC$28)</f>
        <v>0</v>
      </c>
      <c r="AE28" s="13">
        <f ca="1">$AO$28*$AO$58</f>
        <v>0</v>
      </c>
      <c r="AF28" s="13">
        <f ca="1">$AP$28*$AP$58</f>
        <v>0</v>
      </c>
      <c r="AG28" s="13">
        <f ca="1">SUM($AE$28:$AF$28)</f>
        <v>0</v>
      </c>
      <c r="AH28" s="13">
        <f>'TUSD BE'!$AH$28*'TUSD BF'!$AH$61</f>
        <v>0</v>
      </c>
      <c r="AI28" s="13">
        <f>'TUSD BE'!$AI$28*'TUSD BF'!$AI$61</f>
        <v>0</v>
      </c>
      <c r="AJ28" s="13">
        <f ca="1">'TUSD BE'!$AJ$28*'TUSD BF'!$AJ$61</f>
        <v>0</v>
      </c>
      <c r="AK28" s="13">
        <f ca="1">'TUSD BE'!$AK$28*'TUSD BF'!$AK$61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466.95038811523096</v>
      </c>
      <c r="AP28" s="20">
        <f ca="1">+'TUSD BE'!$T$28+'TUSD BE'!$AB$28+'TUSD BE'!$AD$28+'TUSD BE'!$AL$28</f>
        <v>466.95038811523096</v>
      </c>
    </row>
    <row r="29" spans="1:42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>
        <f>'TUSD BE'!$L$29*'TUSD BF'!$L$61</f>
        <v>0</v>
      </c>
      <c r="M29" s="13">
        <f>'TUSD BE'!$M$29*'TUSD BF'!$M$61</f>
        <v>0</v>
      </c>
      <c r="N29" s="13">
        <f ca="1">'TUSD BE'!$N$29*'TUSD BF'!$N$61</f>
        <v>0</v>
      </c>
      <c r="O29" s="13">
        <f>'TUSD BE'!$O$29*'TUSD BF'!$O$61</f>
        <v>0</v>
      </c>
      <c r="P29" s="13">
        <f>'TUSD BE'!$P$29*'TUSD BF'!$P$61</f>
        <v>0</v>
      </c>
      <c r="Q29" s="13">
        <f>'TUSD BE'!$Q$29*'TUSD BF'!$Q$61</f>
        <v>0</v>
      </c>
      <c r="R29" s="13">
        <f>'TUSD BE'!$R$29*'TUSD BF'!$R$61</f>
        <v>0</v>
      </c>
      <c r="S29" s="13">
        <f>'TUSD BE'!$R$29*'TUSD BF'!$S$61</f>
        <v>0</v>
      </c>
      <c r="T29" s="13">
        <f ca="1">SUM($L$29:$S$29)</f>
        <v>0</v>
      </c>
      <c r="U29" s="13">
        <f>'TUSD BE'!$U$29*'TUSD BF'!$U$61</f>
        <v>0</v>
      </c>
      <c r="V29" s="13">
        <f>'TUSD BE'!$V$29*'TUSD BF'!$V$61</f>
        <v>0</v>
      </c>
      <c r="W29" s="13">
        <f>'TUSD BE'!$W$29*'TUSD BF'!$W$61</f>
        <v>0</v>
      </c>
      <c r="X29" s="13">
        <f>'TUSD BE'!$X$29*'TUSD BF'!$X$61</f>
        <v>0</v>
      </c>
      <c r="Y29" s="13">
        <f>'TUSD BE'!$Y$29*'TUSD BF'!$Y$61</f>
        <v>0</v>
      </c>
      <c r="Z29" s="13">
        <f>'TUSD BE'!$Z$29*'TUSD BF'!$Z$61</f>
        <v>0</v>
      </c>
      <c r="AA29" s="13">
        <f>'TUSD BE'!$AA$29*'TUSD BF'!$AA$61</f>
        <v>0</v>
      </c>
      <c r="AB29" s="13">
        <f>SUM($U$29:$AA$29)</f>
        <v>0</v>
      </c>
      <c r="AC29" s="13">
        <f>'TUSD BE'!$AC$29*'TUSD BF'!$AC$61</f>
        <v>0</v>
      </c>
      <c r="AD29" s="13">
        <f>SUM($AC$29:$AC$29)</f>
        <v>0</v>
      </c>
      <c r="AE29" s="13">
        <f ca="1">$AO$29*$AO$58</f>
        <v>0</v>
      </c>
      <c r="AF29" s="13">
        <f ca="1">$AP$29*$AP$58</f>
        <v>0</v>
      </c>
      <c r="AG29" s="13">
        <f ca="1">SUM($AE$29:$AF$29)</f>
        <v>0</v>
      </c>
      <c r="AH29" s="13">
        <f>'TUSD BE'!$AH$29*'TUSD BF'!$AH$61</f>
        <v>0</v>
      </c>
      <c r="AI29" s="13">
        <f>'TUSD BE'!$AI$29*'TUSD BF'!$AI$61</f>
        <v>0</v>
      </c>
      <c r="AJ29" s="13">
        <f ca="1">'TUSD BE'!$AJ$29*'TUSD BF'!$AJ$61</f>
        <v>0</v>
      </c>
      <c r="AK29" s="13">
        <f ca="1">'TUSD BE'!$AK$29*'TUSD BF'!$AK$61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361.757929311574</v>
      </c>
      <c r="AP29" s="20">
        <f ca="1">+'TUSD BE'!$T$29+'TUSD BE'!$AB$29+'TUSD BE'!$AD$29+'TUSD BE'!$AL$29</f>
        <v>361.757929311574</v>
      </c>
    </row>
    <row r="30" spans="1:42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>
        <f>'TUSD BE'!$L$30*'TUSD BF'!$L$61</f>
        <v>0</v>
      </c>
      <c r="M30" s="13">
        <f>'TUSD BE'!$M$30*'TUSD BF'!$M$61</f>
        <v>0</v>
      </c>
      <c r="N30" s="13">
        <f ca="1">'TUSD BE'!$N$30*'TUSD BF'!$N$61</f>
        <v>0</v>
      </c>
      <c r="O30" s="13">
        <f>'TUSD BE'!$O$30*'TUSD BF'!$O$61</f>
        <v>0</v>
      </c>
      <c r="P30" s="13">
        <f>'TUSD BE'!$P$30*'TUSD BF'!$P$61</f>
        <v>0</v>
      </c>
      <c r="Q30" s="13">
        <f>'TUSD BE'!$Q$30*'TUSD BF'!$Q$61</f>
        <v>0</v>
      </c>
      <c r="R30" s="13">
        <f>'TUSD BE'!$R$30*'TUSD BF'!$R$61</f>
        <v>0</v>
      </c>
      <c r="S30" s="13">
        <f>'TUSD BE'!$R$30*'TUSD BF'!$S$61</f>
        <v>0</v>
      </c>
      <c r="T30" s="13">
        <f ca="1">SUM($L$30:$S$30)</f>
        <v>0</v>
      </c>
      <c r="U30" s="13">
        <f>'TUSD BE'!$U$30*'TUSD BF'!$U$61</f>
        <v>0</v>
      </c>
      <c r="V30" s="13">
        <f>'TUSD BE'!$V$30*'TUSD BF'!$V$61</f>
        <v>0</v>
      </c>
      <c r="W30" s="13">
        <f>'TUSD BE'!$W$30*'TUSD BF'!$W$61</f>
        <v>0</v>
      </c>
      <c r="X30" s="13">
        <f>'TUSD BE'!$X$30*'TUSD BF'!$X$61</f>
        <v>0</v>
      </c>
      <c r="Y30" s="13">
        <f>'TUSD BE'!$Y$30*'TUSD BF'!$Y$61</f>
        <v>0</v>
      </c>
      <c r="Z30" s="13">
        <f>'TUSD BE'!$Z$30*'TUSD BF'!$Z$61</f>
        <v>0</v>
      </c>
      <c r="AA30" s="13">
        <f>'TUSD BE'!$AA$30*'TUSD BF'!$AA$61</f>
        <v>0</v>
      </c>
      <c r="AB30" s="13">
        <f>SUM($U$30:$AA$30)</f>
        <v>0</v>
      </c>
      <c r="AC30" s="13">
        <f>'TUSD BE'!$AC$30*'TUSD BF'!$AC$61</f>
        <v>0</v>
      </c>
      <c r="AD30" s="13">
        <f>SUM($AC$30:$AC$30)</f>
        <v>0</v>
      </c>
      <c r="AE30" s="13">
        <f ca="1">$AO$30*$AO$58</f>
        <v>0</v>
      </c>
      <c r="AF30" s="13">
        <f ca="1">$AP$30*$AP$58</f>
        <v>0</v>
      </c>
      <c r="AG30" s="13">
        <f ca="1">SUM($AE$30:$AF$30)</f>
        <v>0</v>
      </c>
      <c r="AH30" s="13">
        <f>'TUSD BE'!$AH$30*'TUSD BF'!$AH$61</f>
        <v>0</v>
      </c>
      <c r="AI30" s="13">
        <f>'TUSD BE'!$AI$30*'TUSD BF'!$AI$61</f>
        <v>0</v>
      </c>
      <c r="AJ30" s="13">
        <f ca="1">'TUSD BE'!$AJ$30*'TUSD BF'!$AJ$61</f>
        <v>0</v>
      </c>
      <c r="AK30" s="13">
        <f ca="1">'TUSD BE'!$AK$30*'TUSD BF'!$AK$61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361.757929311574</v>
      </c>
      <c r="AP30" s="20">
        <f ca="1">+'TUSD BE'!$T$30+'TUSD BE'!$AB$30+'TUSD BE'!$AD$30+'TUSD BE'!$AL$30</f>
        <v>361.757929311574</v>
      </c>
    </row>
    <row r="31" spans="1:42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>
        <f>'TUSD BE'!$L$31*'TUSD BF'!$L$61</f>
        <v>0</v>
      </c>
      <c r="M31" s="13">
        <f>'TUSD BE'!$M$31*'TUSD BF'!$M$61</f>
        <v>0</v>
      </c>
      <c r="N31" s="13">
        <f ca="1">'TUSD BE'!$N$31*'TUSD BF'!$N$61</f>
        <v>0</v>
      </c>
      <c r="O31" s="13">
        <f>'TUSD BE'!$O$31*'TUSD BF'!$O$61</f>
        <v>0</v>
      </c>
      <c r="P31" s="13">
        <f>'TUSD BE'!$P$31*'TUSD BF'!$P$61</f>
        <v>0</v>
      </c>
      <c r="Q31" s="13">
        <f>'TUSD BE'!$Q$31*'TUSD BF'!$Q$61</f>
        <v>0</v>
      </c>
      <c r="R31" s="13">
        <f>'TUSD BE'!$R$31*'TUSD BF'!$R$61</f>
        <v>0</v>
      </c>
      <c r="S31" s="13">
        <f>'TUSD BE'!$R$31*'TUSD BF'!$S$61</f>
        <v>0</v>
      </c>
      <c r="T31" s="13">
        <f ca="1">SUM($L$31:$S$31)</f>
        <v>0</v>
      </c>
      <c r="U31" s="13">
        <f>'TUSD BE'!$U$31*'TUSD BF'!$U$61</f>
        <v>0</v>
      </c>
      <c r="V31" s="13">
        <f>'TUSD BE'!$V$31*'TUSD BF'!$V$61</f>
        <v>0</v>
      </c>
      <c r="W31" s="13">
        <f>'TUSD BE'!$W$31*'TUSD BF'!$W$61</f>
        <v>0</v>
      </c>
      <c r="X31" s="13">
        <f>'TUSD BE'!$X$31*'TUSD BF'!$X$61</f>
        <v>0</v>
      </c>
      <c r="Y31" s="13">
        <f>'TUSD BE'!$Y$31*'TUSD BF'!$Y$61</f>
        <v>0</v>
      </c>
      <c r="Z31" s="13">
        <f>'TUSD BE'!$Z$31*'TUSD BF'!$Z$61</f>
        <v>0</v>
      </c>
      <c r="AA31" s="13">
        <f>'TUSD BE'!$AA$31*'TUSD BF'!$AA$61</f>
        <v>0</v>
      </c>
      <c r="AB31" s="13">
        <f>SUM($U$31:$AA$31)</f>
        <v>0</v>
      </c>
      <c r="AC31" s="13">
        <f>'TUSD BE'!$AC$31*'TUSD BF'!$AC$61</f>
        <v>0</v>
      </c>
      <c r="AD31" s="13">
        <f>SUM($AC$31:$AC$31)</f>
        <v>0</v>
      </c>
      <c r="AE31" s="13">
        <f ca="1">$AO$31*$AO$58</f>
        <v>0</v>
      </c>
      <c r="AF31" s="13">
        <f ca="1">$AP$31*$AP$58</f>
        <v>0</v>
      </c>
      <c r="AG31" s="13">
        <f ca="1">SUM($AE$31:$AF$31)</f>
        <v>0</v>
      </c>
      <c r="AH31" s="13">
        <f>'TUSD BE'!$AH$31*'TUSD BF'!$AH$61</f>
        <v>0</v>
      </c>
      <c r="AI31" s="13">
        <f>'TUSD BE'!$AI$31*'TUSD BF'!$AI$61</f>
        <v>0</v>
      </c>
      <c r="AJ31" s="13">
        <f ca="1">'TUSD BE'!$AJ$31*'TUSD BF'!$AJ$61</f>
        <v>0</v>
      </c>
      <c r="AK31" s="13">
        <f ca="1">'TUSD BE'!$AK$31*'TUSD BF'!$AK$61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361.757929311574</v>
      </c>
      <c r="AP31" s="20">
        <f ca="1">+'TUSD BE'!$T$31+'TUSD BE'!$AB$31+'TUSD BE'!$AD$31+'TUSD BE'!$AL$31</f>
        <v>361.757929311574</v>
      </c>
    </row>
    <row r="32" spans="1:42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>
        <f>'TUSD BE'!$L$32*'TUSD BF'!$L$61</f>
        <v>0</v>
      </c>
      <c r="M32" s="13">
        <f>'TUSD BE'!$M$32*'TUSD BF'!$M$61</f>
        <v>0</v>
      </c>
      <c r="N32" s="13">
        <f ca="1">'TUSD BE'!$N$32*'TUSD BF'!$N$61</f>
        <v>0</v>
      </c>
      <c r="O32" s="13">
        <f>'TUSD BE'!$O$32*'TUSD BF'!$O$61</f>
        <v>0</v>
      </c>
      <c r="P32" s="13">
        <f>'TUSD BE'!$P$32*'TUSD BF'!$P$61</f>
        <v>0</v>
      </c>
      <c r="Q32" s="13">
        <f>'TUSD BE'!$Q$32*'TUSD BF'!$Q$61</f>
        <v>0</v>
      </c>
      <c r="R32" s="13">
        <f>'TUSD BE'!$R$32*'TUSD BF'!$R$61</f>
        <v>0</v>
      </c>
      <c r="S32" s="13">
        <f>'TUSD BE'!$R$32*'TUSD BF'!$S$61</f>
        <v>0</v>
      </c>
      <c r="T32" s="13">
        <f ca="1">SUM($L$32:$S$32)</f>
        <v>0</v>
      </c>
      <c r="U32" s="13">
        <f>'TUSD BE'!$U$32*'TUSD BF'!$U$61</f>
        <v>0</v>
      </c>
      <c r="V32" s="13">
        <f>'TUSD BE'!$V$32*'TUSD BF'!$V$61</f>
        <v>0</v>
      </c>
      <c r="W32" s="13">
        <f>'TUSD BE'!$W$32*'TUSD BF'!$W$61</f>
        <v>0</v>
      </c>
      <c r="X32" s="13">
        <f>'TUSD BE'!$X$32*'TUSD BF'!$X$61</f>
        <v>0</v>
      </c>
      <c r="Y32" s="13">
        <f>'TUSD BE'!$Y$32*'TUSD BF'!$Y$61</f>
        <v>0</v>
      </c>
      <c r="Z32" s="13">
        <f>'TUSD BE'!$Z$32*'TUSD BF'!$Z$61</f>
        <v>0</v>
      </c>
      <c r="AA32" s="13">
        <f>'TUSD BE'!$AA$32*'TUSD BF'!$AA$61</f>
        <v>0</v>
      </c>
      <c r="AB32" s="13">
        <f>SUM($U$32:$AA$32)</f>
        <v>0</v>
      </c>
      <c r="AC32" s="13">
        <f>'TUSD BE'!$AC$32*'TUSD BF'!$AC$61</f>
        <v>0</v>
      </c>
      <c r="AD32" s="13">
        <f>SUM($AC$32:$AC$32)</f>
        <v>0</v>
      </c>
      <c r="AE32" s="13">
        <f ca="1">$AO$32*$AO$58</f>
        <v>0</v>
      </c>
      <c r="AF32" s="13">
        <f ca="1">$AP$32*$AP$58</f>
        <v>0</v>
      </c>
      <c r="AG32" s="13">
        <f ca="1">SUM($AE$32:$AF$32)</f>
        <v>0</v>
      </c>
      <c r="AH32" s="13">
        <f>'TUSD BE'!$AH$32*'TUSD BF'!$AH$61</f>
        <v>0</v>
      </c>
      <c r="AI32" s="13">
        <f>'TUSD BE'!$AI$32*'TUSD BF'!$AI$61</f>
        <v>0</v>
      </c>
      <c r="AJ32" s="13">
        <f ca="1">'TUSD BE'!$AJ$32*'TUSD BF'!$AJ$61</f>
        <v>0</v>
      </c>
      <c r="AK32" s="13">
        <f ca="1">'TUSD BE'!$AK$32*'TUSD BF'!$AK$61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361.757929311574</v>
      </c>
      <c r="AP32" s="20">
        <f ca="1">+'TUSD BE'!$T$32+'TUSD BE'!$AB$32+'TUSD BE'!$AD$32+'TUSD BE'!$AL$32</f>
        <v>361.757929311574</v>
      </c>
    </row>
    <row r="33" spans="1:42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>
        <f>'TUSD BE'!$L$33*'TUSD BF'!$L$61</f>
        <v>0</v>
      </c>
      <c r="M33" s="13">
        <f>'TUSD BE'!$M$33*'TUSD BF'!$M$61</f>
        <v>0</v>
      </c>
      <c r="N33" s="13">
        <f ca="1">'TUSD BE'!$N$33*'TUSD BF'!$N$61</f>
        <v>0</v>
      </c>
      <c r="O33" s="13">
        <f>'TUSD BE'!$O$33*'TUSD BF'!$O$61</f>
        <v>0</v>
      </c>
      <c r="P33" s="13">
        <f>'TUSD BE'!$P$33*'TUSD BF'!$P$61</f>
        <v>0</v>
      </c>
      <c r="Q33" s="13">
        <f>'TUSD BE'!$Q$33*'TUSD BF'!$Q$61</f>
        <v>0</v>
      </c>
      <c r="R33" s="13">
        <f>'TUSD BE'!$R$33*'TUSD BF'!$R$61</f>
        <v>0</v>
      </c>
      <c r="S33" s="13">
        <f>'TUSD BE'!$R$33*'TUSD BF'!$S$61</f>
        <v>0</v>
      </c>
      <c r="T33" s="13">
        <f ca="1">SUM($L$33:$S$33)</f>
        <v>0</v>
      </c>
      <c r="U33" s="13">
        <f>'TUSD BE'!$U$33*'TUSD BF'!$U$61</f>
        <v>0</v>
      </c>
      <c r="V33" s="13">
        <f>'TUSD BE'!$V$33*'TUSD BF'!$V$61</f>
        <v>0</v>
      </c>
      <c r="W33" s="13">
        <f>'TUSD BE'!$W$33*'TUSD BF'!$W$61</f>
        <v>0</v>
      </c>
      <c r="X33" s="13">
        <f>'TUSD BE'!$X$33*'TUSD BF'!$X$61</f>
        <v>0</v>
      </c>
      <c r="Y33" s="13">
        <f>'TUSD BE'!$Y$33*'TUSD BF'!$Y$61</f>
        <v>0</v>
      </c>
      <c r="Z33" s="13">
        <f>'TUSD BE'!$Z$33*'TUSD BF'!$Z$61</f>
        <v>0</v>
      </c>
      <c r="AA33" s="13">
        <f>'TUSD BE'!$AA$33*'TUSD BF'!$AA$61</f>
        <v>0</v>
      </c>
      <c r="AB33" s="13">
        <f>SUM($U$33:$AA$33)</f>
        <v>0</v>
      </c>
      <c r="AC33" s="13">
        <f>'TUSD BE'!$AC$33*'TUSD BF'!$AC$61</f>
        <v>0</v>
      </c>
      <c r="AD33" s="13">
        <f>SUM($AC$33:$AC$33)</f>
        <v>0</v>
      </c>
      <c r="AE33" s="13">
        <f ca="1">$AO$33*$AO$58</f>
        <v>0</v>
      </c>
      <c r="AF33" s="13">
        <f ca="1">$AP$33*$AP$58</f>
        <v>0</v>
      </c>
      <c r="AG33" s="13">
        <f ca="1">SUM($AE$33:$AF$33)</f>
        <v>0</v>
      </c>
      <c r="AH33" s="13">
        <f>'TUSD BE'!$AH$33*'TUSD BF'!$AH$61</f>
        <v>0</v>
      </c>
      <c r="AI33" s="13">
        <f>'TUSD BE'!$AI$33*'TUSD BF'!$AI$61</f>
        <v>0</v>
      </c>
      <c r="AJ33" s="13">
        <f ca="1">'TUSD BE'!$AJ$33*'TUSD BF'!$AJ$61</f>
        <v>0</v>
      </c>
      <c r="AK33" s="13">
        <f ca="1">'TUSD BE'!$AK$33*'TUSD BF'!$AK$61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1156.8939862333145</v>
      </c>
      <c r="AP33" s="20">
        <f ca="1">+'TUSD BE'!$T$33+'TUSD BE'!$AB$33+'TUSD BE'!$AD$33+'TUSD BE'!$AL$33</f>
        <v>1156.8939862333145</v>
      </c>
    </row>
    <row r="34" spans="1:42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>
        <f>'TUSD BE'!$L$34*'TUSD BF'!$L$61</f>
        <v>0</v>
      </c>
      <c r="M34" s="13">
        <f>'TUSD BE'!$M$34*'TUSD BF'!$M$61</f>
        <v>0</v>
      </c>
      <c r="N34" s="13">
        <f ca="1">'TUSD BE'!$N$34*'TUSD BF'!$N$61</f>
        <v>0</v>
      </c>
      <c r="O34" s="13">
        <f>'TUSD BE'!$O$34*'TUSD BF'!$O$61</f>
        <v>0</v>
      </c>
      <c r="P34" s="13">
        <f>'TUSD BE'!$P$34*'TUSD BF'!$P$61</f>
        <v>0</v>
      </c>
      <c r="Q34" s="13">
        <f>'TUSD BE'!$Q$34*'TUSD BF'!$Q$61</f>
        <v>0</v>
      </c>
      <c r="R34" s="13">
        <f>'TUSD BE'!$R$34*'TUSD BF'!$R$61</f>
        <v>0</v>
      </c>
      <c r="S34" s="13">
        <f>'TUSD BE'!$R$34*'TUSD BF'!$S$61</f>
        <v>0</v>
      </c>
      <c r="T34" s="13">
        <f ca="1">SUM($L$34:$S$34)</f>
        <v>0</v>
      </c>
      <c r="U34" s="13">
        <f>'TUSD BE'!$U$34*'TUSD BF'!$U$61</f>
        <v>0</v>
      </c>
      <c r="V34" s="13">
        <f>'TUSD BE'!$V$34*'TUSD BF'!$V$61</f>
        <v>0</v>
      </c>
      <c r="W34" s="13">
        <f>'TUSD BE'!$W$34*'TUSD BF'!$W$61</f>
        <v>0</v>
      </c>
      <c r="X34" s="13">
        <f>'TUSD BE'!$X$34*'TUSD BF'!$X$61</f>
        <v>0</v>
      </c>
      <c r="Y34" s="13">
        <f>'TUSD BE'!$Y$34*'TUSD BF'!$Y$61</f>
        <v>0</v>
      </c>
      <c r="Z34" s="13">
        <f>'TUSD BE'!$Z$34*'TUSD BF'!$Z$61</f>
        <v>0</v>
      </c>
      <c r="AA34" s="13">
        <f>'TUSD BE'!$AA$34*'TUSD BF'!$AA$61</f>
        <v>0</v>
      </c>
      <c r="AB34" s="13">
        <f>SUM($U$34:$AA$34)</f>
        <v>0</v>
      </c>
      <c r="AC34" s="13">
        <f>'TUSD BE'!$AC$34*'TUSD BF'!$AC$61</f>
        <v>0</v>
      </c>
      <c r="AD34" s="13">
        <f>SUM($AC$34:$AC$34)</f>
        <v>0</v>
      </c>
      <c r="AE34" s="13">
        <f ca="1">$AO$34*$AO$58</f>
        <v>0</v>
      </c>
      <c r="AF34" s="13">
        <f ca="1">$AP$34*$AP$58</f>
        <v>0</v>
      </c>
      <c r="AG34" s="13">
        <f ca="1">SUM($AE$34:$AF$34)</f>
        <v>0</v>
      </c>
      <c r="AH34" s="13">
        <f>'TUSD BE'!$AH$34*'TUSD BF'!$AH$61</f>
        <v>0</v>
      </c>
      <c r="AI34" s="13">
        <f>'TUSD BE'!$AI$34*'TUSD BF'!$AI$61</f>
        <v>0</v>
      </c>
      <c r="AJ34" s="13">
        <f ca="1">'TUSD BE'!$AJ$34*'TUSD BF'!$AJ$61</f>
        <v>0</v>
      </c>
      <c r="AK34" s="13">
        <f ca="1">'TUSD BE'!$AK$34*'TUSD BF'!$AK$61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746.56677793740369</v>
      </c>
      <c r="AP34" s="20">
        <f ca="1">+'TUSD BE'!$T$34+'TUSD BE'!$AB$34+'TUSD BE'!$AD$34+'TUSD BE'!$AL$34</f>
        <v>746.56677793740369</v>
      </c>
    </row>
    <row r="35" spans="1:42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>
        <f>'TUSD BE'!$L$35*'TUSD BF'!$L$61</f>
        <v>0</v>
      </c>
      <c r="M35" s="13">
        <f>'TUSD BE'!$M$35*'TUSD BF'!$M$61</f>
        <v>0</v>
      </c>
      <c r="N35" s="13">
        <f ca="1">'TUSD BE'!$N$35*'TUSD BF'!$N$61</f>
        <v>0</v>
      </c>
      <c r="O35" s="13">
        <f>'TUSD BE'!$O$35*'TUSD BF'!$O$61</f>
        <v>0</v>
      </c>
      <c r="P35" s="13">
        <f>'TUSD BE'!$P$35*'TUSD BF'!$P$61</f>
        <v>0</v>
      </c>
      <c r="Q35" s="13">
        <f>'TUSD BE'!$Q$35*'TUSD BF'!$Q$61</f>
        <v>0</v>
      </c>
      <c r="R35" s="13">
        <f>'TUSD BE'!$R$35*'TUSD BF'!$R$61</f>
        <v>0</v>
      </c>
      <c r="S35" s="13">
        <f>'TUSD BE'!$R$35*'TUSD BF'!$S$61</f>
        <v>0</v>
      </c>
      <c r="T35" s="13">
        <f ca="1">SUM($L$35:$S$35)</f>
        <v>0</v>
      </c>
      <c r="U35" s="13">
        <f>'TUSD BE'!$U$35*'TUSD BF'!$U$61</f>
        <v>0</v>
      </c>
      <c r="V35" s="13">
        <f>'TUSD BE'!$V$35*'TUSD BF'!$V$61</f>
        <v>0</v>
      </c>
      <c r="W35" s="13">
        <f>'TUSD BE'!$W$35*'TUSD BF'!$W$61</f>
        <v>0</v>
      </c>
      <c r="X35" s="13">
        <f>'TUSD BE'!$X$35*'TUSD BF'!$X$61</f>
        <v>0</v>
      </c>
      <c r="Y35" s="13">
        <f>'TUSD BE'!$Y$35*'TUSD BF'!$Y$61</f>
        <v>0</v>
      </c>
      <c r="Z35" s="13">
        <f>'TUSD BE'!$Z$35*'TUSD BF'!$Z$61</f>
        <v>0</v>
      </c>
      <c r="AA35" s="13">
        <f>'TUSD BE'!$AA$35*'TUSD BF'!$AA$61</f>
        <v>0</v>
      </c>
      <c r="AB35" s="13">
        <f>SUM($U$35:$AA$35)</f>
        <v>0</v>
      </c>
      <c r="AC35" s="13">
        <f>'TUSD BE'!$AC$35*'TUSD BF'!$AC$61</f>
        <v>0</v>
      </c>
      <c r="AD35" s="13">
        <f>SUM($AC$35:$AC$35)</f>
        <v>0</v>
      </c>
      <c r="AE35" s="13">
        <f ca="1">$AO$35*$AO$58</f>
        <v>0</v>
      </c>
      <c r="AF35" s="13">
        <f ca="1">$AP$35*$AP$58</f>
        <v>0</v>
      </c>
      <c r="AG35" s="13">
        <f ca="1">SUM($AE$35:$AF$35)</f>
        <v>0</v>
      </c>
      <c r="AH35" s="13">
        <f>'TUSD BE'!$AH$35*'TUSD BF'!$AH$61</f>
        <v>0</v>
      </c>
      <c r="AI35" s="13">
        <f>'TUSD BE'!$AI$35*'TUSD BF'!$AI$61</f>
        <v>0</v>
      </c>
      <c r="AJ35" s="13">
        <f ca="1">'TUSD BE'!$AJ$35*'TUSD BF'!$AJ$61</f>
        <v>0</v>
      </c>
      <c r="AK35" s="13">
        <f ca="1">'TUSD BE'!$AK$35*'TUSD BF'!$AK$61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336.27457374733518</v>
      </c>
      <c r="AP35" s="20">
        <f ca="1">+'TUSD BE'!$T$35+'TUSD BE'!$AB$35+'TUSD BE'!$AD$35+'TUSD BE'!$AL$35</f>
        <v>336.27457374733518</v>
      </c>
    </row>
    <row r="36" spans="1:42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>
        <f>'TUSD BE'!$L$36*'TUSD BF'!$L$61</f>
        <v>0</v>
      </c>
      <c r="M36" s="13">
        <f>'TUSD BE'!$M$36*'TUSD BF'!$M$61</f>
        <v>0</v>
      </c>
      <c r="N36" s="13">
        <f ca="1">'TUSD BE'!$N$36*'TUSD BF'!$N$61</f>
        <v>0</v>
      </c>
      <c r="O36" s="13">
        <f>'TUSD BE'!$O$36*'TUSD BF'!$O$61</f>
        <v>0</v>
      </c>
      <c r="P36" s="13">
        <f>'TUSD BE'!$P$36*'TUSD BF'!$P$61</f>
        <v>0</v>
      </c>
      <c r="Q36" s="13">
        <f>'TUSD BE'!$Q$36*'TUSD BF'!$Q$61</f>
        <v>0</v>
      </c>
      <c r="R36" s="13">
        <f>'TUSD BE'!$R$36*'TUSD BF'!$R$61</f>
        <v>0</v>
      </c>
      <c r="S36" s="13">
        <f>'TUSD BE'!$R$36*'TUSD BF'!$S$61</f>
        <v>0</v>
      </c>
      <c r="T36" s="13">
        <f ca="1">SUM($L$36:$S$36)</f>
        <v>0</v>
      </c>
      <c r="U36" s="13">
        <f>'TUSD BE'!$U$36*'TUSD BF'!$U$61</f>
        <v>0</v>
      </c>
      <c r="V36" s="13">
        <f>'TUSD BE'!$V$36*'TUSD BF'!$V$61</f>
        <v>0</v>
      </c>
      <c r="W36" s="13">
        <f>'TUSD BE'!$W$36*'TUSD BF'!$W$61</f>
        <v>0</v>
      </c>
      <c r="X36" s="13">
        <f>'TUSD BE'!$X$36*'TUSD BF'!$X$61</f>
        <v>0</v>
      </c>
      <c r="Y36" s="13">
        <f>'TUSD BE'!$Y$36*'TUSD BF'!$Y$61</f>
        <v>0</v>
      </c>
      <c r="Z36" s="13">
        <f>'TUSD BE'!$Z$36*'TUSD BF'!$Z$61</f>
        <v>0</v>
      </c>
      <c r="AA36" s="13">
        <f>'TUSD BE'!$AA$36*'TUSD BF'!$AA$61</f>
        <v>0</v>
      </c>
      <c r="AB36" s="13">
        <f>SUM($U$36:$AA$36)</f>
        <v>0</v>
      </c>
      <c r="AC36" s="13">
        <f>'TUSD BE'!$AC$36*'TUSD BF'!$AC$61</f>
        <v>0</v>
      </c>
      <c r="AD36" s="13">
        <f>SUM($AC$36:$AC$36)</f>
        <v>0</v>
      </c>
      <c r="AE36" s="13">
        <f ca="1">$AO$36*$AO$58</f>
        <v>0</v>
      </c>
      <c r="AF36" s="13">
        <f ca="1">$AP$36*$AP$58</f>
        <v>0</v>
      </c>
      <c r="AG36" s="13">
        <f ca="1">SUM($AE$36:$AF$36)</f>
        <v>0</v>
      </c>
      <c r="AH36" s="13">
        <f>'TUSD BE'!$AH$36*'TUSD BF'!$AH$61</f>
        <v>0</v>
      </c>
      <c r="AI36" s="13">
        <f>'TUSD BE'!$AI$36*'TUSD BF'!$AI$61</f>
        <v>0</v>
      </c>
      <c r="AJ36" s="13">
        <f ca="1">'TUSD BE'!$AJ$36*'TUSD BF'!$AJ$61</f>
        <v>0</v>
      </c>
      <c r="AK36" s="13">
        <f ca="1">'TUSD BE'!$AK$36*'TUSD BF'!$AK$61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466.95038811523096</v>
      </c>
      <c r="AP36" s="20">
        <f ca="1">+'TUSD BE'!$T$36+'TUSD BE'!$AB$36+'TUSD BE'!$AD$36+'TUSD BE'!$AL$36</f>
        <v>466.95038811523096</v>
      </c>
    </row>
    <row r="37" spans="1:42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>
        <f>'TUSD BE'!$L$37*'TUSD BF'!$L$61</f>
        <v>0</v>
      </c>
      <c r="M37" s="13">
        <f>'TUSD BE'!$M$37*'TUSD BF'!$M$61</f>
        <v>0</v>
      </c>
      <c r="N37" s="13">
        <f ca="1">'TUSD BE'!$N$37*'TUSD BF'!$N$61</f>
        <v>0</v>
      </c>
      <c r="O37" s="13">
        <f>'TUSD BE'!$O$37*'TUSD BF'!$O$61</f>
        <v>0</v>
      </c>
      <c r="P37" s="13">
        <f>'TUSD BE'!$P$37*'TUSD BF'!$P$61</f>
        <v>0</v>
      </c>
      <c r="Q37" s="13">
        <f>'TUSD BE'!$Q$37*'TUSD BF'!$Q$61</f>
        <v>0</v>
      </c>
      <c r="R37" s="13">
        <f>'TUSD BE'!$R$37*'TUSD BF'!$R$61</f>
        <v>0</v>
      </c>
      <c r="S37" s="13">
        <f>'TUSD BE'!$R$37*'TUSD BF'!$S$61</f>
        <v>0</v>
      </c>
      <c r="T37" s="13">
        <f ca="1">SUM($L$37:$S$37)</f>
        <v>0</v>
      </c>
      <c r="U37" s="13">
        <f>'TUSD BE'!$U$37*'TUSD BF'!$U$61</f>
        <v>0</v>
      </c>
      <c r="V37" s="13">
        <f>'TUSD BE'!$V$37*'TUSD BF'!$V$61</f>
        <v>0</v>
      </c>
      <c r="W37" s="13">
        <f>'TUSD BE'!$W$37*'TUSD BF'!$W$61</f>
        <v>0</v>
      </c>
      <c r="X37" s="13">
        <f>'TUSD BE'!$X$37*'TUSD BF'!$X$61</f>
        <v>0</v>
      </c>
      <c r="Y37" s="13">
        <f>'TUSD BE'!$Y$37*'TUSD BF'!$Y$61</f>
        <v>0</v>
      </c>
      <c r="Z37" s="13">
        <f>'TUSD BE'!$Z$37*'TUSD BF'!$Z$61</f>
        <v>0</v>
      </c>
      <c r="AA37" s="13">
        <f>'TUSD BE'!$AA$37*'TUSD BF'!$AA$61</f>
        <v>0</v>
      </c>
      <c r="AB37" s="13">
        <f>SUM($U$37:$AA$37)</f>
        <v>0</v>
      </c>
      <c r="AC37" s="13">
        <f>'TUSD BE'!$AC$37*'TUSD BF'!$AC$61</f>
        <v>0</v>
      </c>
      <c r="AD37" s="13">
        <f>SUM($AC$37:$AC$37)</f>
        <v>0</v>
      </c>
      <c r="AE37" s="13">
        <f ca="1">$AO$37*$AO$58</f>
        <v>0</v>
      </c>
      <c r="AF37" s="13">
        <f ca="1">$AP$37*$AP$58</f>
        <v>0</v>
      </c>
      <c r="AG37" s="13">
        <f ca="1">SUM($AE$37:$AF$37)</f>
        <v>0</v>
      </c>
      <c r="AH37" s="13">
        <f>'TUSD BE'!$AH$37*'TUSD BF'!$AH$61</f>
        <v>0</v>
      </c>
      <c r="AI37" s="13">
        <f>'TUSD BE'!$AI$37*'TUSD BF'!$AI$61</f>
        <v>0</v>
      </c>
      <c r="AJ37" s="13">
        <f ca="1">'TUSD BE'!$AJ$37*'TUSD BF'!$AJ$61</f>
        <v>0</v>
      </c>
      <c r="AK37" s="13">
        <f ca="1">'TUSD BE'!$AK$37*'TUSD BF'!$AK$61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1156.8939862333145</v>
      </c>
      <c r="AP37" s="20">
        <f ca="1">+'TUSD BE'!$T$37+'TUSD BE'!$AB$37+'TUSD BE'!$AD$37+'TUSD BE'!$AL$37</f>
        <v>1156.8939862333145</v>
      </c>
    </row>
    <row r="38" spans="1:42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>
        <f>'TUSD BE'!$L$38*'TUSD BF'!$L$61</f>
        <v>0</v>
      </c>
      <c r="M38" s="13">
        <f>'TUSD BE'!$M$38*'TUSD BF'!$M$61</f>
        <v>0</v>
      </c>
      <c r="N38" s="13">
        <f ca="1">'TUSD BE'!$N$38*'TUSD BF'!$N$61</f>
        <v>0</v>
      </c>
      <c r="O38" s="13">
        <f>'TUSD BE'!$O$38*'TUSD BF'!$O$61</f>
        <v>0</v>
      </c>
      <c r="P38" s="13">
        <f>'TUSD BE'!$P$38*'TUSD BF'!$P$61</f>
        <v>0</v>
      </c>
      <c r="Q38" s="13">
        <f>'TUSD BE'!$Q$38*'TUSD BF'!$Q$61</f>
        <v>0</v>
      </c>
      <c r="R38" s="13">
        <f>'TUSD BE'!$R$38*'TUSD BF'!$R$61</f>
        <v>0</v>
      </c>
      <c r="S38" s="13">
        <f>'TUSD BE'!$R$38*'TUSD BF'!$S$61</f>
        <v>0</v>
      </c>
      <c r="T38" s="13">
        <f ca="1">SUM($L$38:$S$38)</f>
        <v>0</v>
      </c>
      <c r="U38" s="13">
        <f>'TUSD BE'!$U$38*'TUSD BF'!$U$61</f>
        <v>0</v>
      </c>
      <c r="V38" s="13">
        <f>'TUSD BE'!$V$38*'TUSD BF'!$V$61</f>
        <v>0</v>
      </c>
      <c r="W38" s="13">
        <f>'TUSD BE'!$W$38*'TUSD BF'!$W$61</f>
        <v>0</v>
      </c>
      <c r="X38" s="13">
        <f>'TUSD BE'!$X$38*'TUSD BF'!$X$61</f>
        <v>0</v>
      </c>
      <c r="Y38" s="13">
        <f>'TUSD BE'!$Y$38*'TUSD BF'!$Y$61</f>
        <v>0</v>
      </c>
      <c r="Z38" s="13">
        <f>'TUSD BE'!$Z$38*'TUSD BF'!$Z$61</f>
        <v>0</v>
      </c>
      <c r="AA38" s="13">
        <f>'TUSD BE'!$AA$38*'TUSD BF'!$AA$61</f>
        <v>0</v>
      </c>
      <c r="AB38" s="13">
        <f>SUM($U$38:$AA$38)</f>
        <v>0</v>
      </c>
      <c r="AC38" s="13">
        <f>'TUSD BE'!$AC$38*'TUSD BF'!$AC$61</f>
        <v>0</v>
      </c>
      <c r="AD38" s="13">
        <f>SUM($AC$38:$AC$38)</f>
        <v>0</v>
      </c>
      <c r="AE38" s="13">
        <f ca="1">$AO$38*$AO$58</f>
        <v>0</v>
      </c>
      <c r="AF38" s="13">
        <f ca="1">$AP$38*$AP$58</f>
        <v>0</v>
      </c>
      <c r="AG38" s="13">
        <f ca="1">SUM($AE$38:$AF$38)</f>
        <v>0</v>
      </c>
      <c r="AH38" s="13">
        <f>'TUSD BE'!$AH$38*'TUSD BF'!$AH$61</f>
        <v>0</v>
      </c>
      <c r="AI38" s="13">
        <f>'TUSD BE'!$AI$38*'TUSD BF'!$AI$61</f>
        <v>0</v>
      </c>
      <c r="AJ38" s="13">
        <f ca="1">'TUSD BE'!$AJ$38*'TUSD BF'!$AJ$61</f>
        <v>0</v>
      </c>
      <c r="AK38" s="13">
        <f ca="1">'TUSD BE'!$AK$38*'TUSD BF'!$AK$61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746.56677793740369</v>
      </c>
      <c r="AP38" s="20">
        <f ca="1">+'TUSD BE'!$T$38+'TUSD BE'!$AB$38+'TUSD BE'!$AD$38+'TUSD BE'!$AL$38</f>
        <v>746.56677793740369</v>
      </c>
    </row>
    <row r="39" spans="1:42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>
        <f>'TUSD BE'!$L$39*'TUSD BF'!$L$61</f>
        <v>0</v>
      </c>
      <c r="M39" s="13">
        <f>'TUSD BE'!$M$39*'TUSD BF'!$M$61</f>
        <v>0</v>
      </c>
      <c r="N39" s="13">
        <f ca="1">'TUSD BE'!$N$39*'TUSD BF'!$N$61</f>
        <v>0</v>
      </c>
      <c r="O39" s="13">
        <f>'TUSD BE'!$O$39*'TUSD BF'!$O$61</f>
        <v>0</v>
      </c>
      <c r="P39" s="13">
        <f>'TUSD BE'!$P$39*'TUSD BF'!$P$61</f>
        <v>0</v>
      </c>
      <c r="Q39" s="13">
        <f>'TUSD BE'!$Q$39*'TUSD BF'!$Q$61</f>
        <v>0</v>
      </c>
      <c r="R39" s="13">
        <f>'TUSD BE'!$R$39*'TUSD BF'!$R$61</f>
        <v>0</v>
      </c>
      <c r="S39" s="13">
        <f>'TUSD BE'!$R$39*'TUSD BF'!$S$61</f>
        <v>0</v>
      </c>
      <c r="T39" s="13">
        <f ca="1">SUM($L$39:$S$39)</f>
        <v>0</v>
      </c>
      <c r="U39" s="13">
        <f>'TUSD BE'!$U$39*'TUSD BF'!$U$61</f>
        <v>0</v>
      </c>
      <c r="V39" s="13">
        <f>'TUSD BE'!$V$39*'TUSD BF'!$V$61</f>
        <v>0</v>
      </c>
      <c r="W39" s="13">
        <f>'TUSD BE'!$W$39*'TUSD BF'!$W$61</f>
        <v>0</v>
      </c>
      <c r="X39" s="13">
        <f>'TUSD BE'!$X$39*'TUSD BF'!$X$61</f>
        <v>0</v>
      </c>
      <c r="Y39" s="13">
        <f>'TUSD BE'!$Y$39*'TUSD BF'!$Y$61</f>
        <v>0</v>
      </c>
      <c r="Z39" s="13">
        <f>'TUSD BE'!$Z$39*'TUSD BF'!$Z$61</f>
        <v>0</v>
      </c>
      <c r="AA39" s="13">
        <f>'TUSD BE'!$AA$39*'TUSD BF'!$AA$61</f>
        <v>0</v>
      </c>
      <c r="AB39" s="13">
        <f>SUM($U$39:$AA$39)</f>
        <v>0</v>
      </c>
      <c r="AC39" s="13">
        <f>'TUSD BE'!$AC$39*'TUSD BF'!$AC$61</f>
        <v>0</v>
      </c>
      <c r="AD39" s="13">
        <f>SUM($AC$39:$AC$39)</f>
        <v>0</v>
      </c>
      <c r="AE39" s="13">
        <f ca="1">$AO$39*$AO$58</f>
        <v>0</v>
      </c>
      <c r="AF39" s="13">
        <f ca="1">$AP$39*$AP$58</f>
        <v>0</v>
      </c>
      <c r="AG39" s="13">
        <f ca="1">SUM($AE$39:$AF$39)</f>
        <v>0</v>
      </c>
      <c r="AH39" s="13">
        <f>'TUSD BE'!$AH$39*'TUSD BF'!$AH$61</f>
        <v>0</v>
      </c>
      <c r="AI39" s="13">
        <f>'TUSD BE'!$AI$39*'TUSD BF'!$AI$61</f>
        <v>0</v>
      </c>
      <c r="AJ39" s="13">
        <f ca="1">'TUSD BE'!$AJ$39*'TUSD BF'!$AJ$61</f>
        <v>0</v>
      </c>
      <c r="AK39" s="13">
        <f ca="1">'TUSD BE'!$AK$39*'TUSD BF'!$AK$61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336.27457374733518</v>
      </c>
      <c r="AP39" s="20">
        <f ca="1">+'TUSD BE'!$T$39+'TUSD BE'!$AB$39+'TUSD BE'!$AD$39+'TUSD BE'!$AL$39</f>
        <v>336.27457374733518</v>
      </c>
    </row>
    <row r="40" spans="1:42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>
        <f>'TUSD BE'!$L$40*'TUSD BF'!$L$61</f>
        <v>0</v>
      </c>
      <c r="M40" s="13">
        <f>'TUSD BE'!$M$40*'TUSD BF'!$M$61</f>
        <v>0</v>
      </c>
      <c r="N40" s="13">
        <f ca="1">'TUSD BE'!$N$40*'TUSD BF'!$N$61</f>
        <v>0</v>
      </c>
      <c r="O40" s="13">
        <f>'TUSD BE'!$O$40*'TUSD BF'!$O$61</f>
        <v>0</v>
      </c>
      <c r="P40" s="13">
        <f>'TUSD BE'!$P$40*'TUSD BF'!$P$61</f>
        <v>0</v>
      </c>
      <c r="Q40" s="13">
        <f>'TUSD BE'!$Q$40*'TUSD BF'!$Q$61</f>
        <v>0</v>
      </c>
      <c r="R40" s="13">
        <f>'TUSD BE'!$R$40*'TUSD BF'!$R$61</f>
        <v>0</v>
      </c>
      <c r="S40" s="13">
        <f>'TUSD BE'!$R$40*'TUSD BF'!$S$61</f>
        <v>0</v>
      </c>
      <c r="T40" s="13">
        <f ca="1">SUM($L$40:$S$40)</f>
        <v>0</v>
      </c>
      <c r="U40" s="13">
        <f>'TUSD BE'!$U$40*'TUSD BF'!$U$61</f>
        <v>0</v>
      </c>
      <c r="V40" s="13">
        <f>'TUSD BE'!$V$40*'TUSD BF'!$V$61</f>
        <v>0</v>
      </c>
      <c r="W40" s="13">
        <f>'TUSD BE'!$W$40*'TUSD BF'!$W$61</f>
        <v>0</v>
      </c>
      <c r="X40" s="13">
        <f>'TUSD BE'!$X$40*'TUSD BF'!$X$61</f>
        <v>0</v>
      </c>
      <c r="Y40" s="13">
        <f>'TUSD BE'!$Y$40*'TUSD BF'!$Y$61</f>
        <v>0</v>
      </c>
      <c r="Z40" s="13">
        <f>'TUSD BE'!$Z$40*'TUSD BF'!$Z$61</f>
        <v>0</v>
      </c>
      <c r="AA40" s="13">
        <f>'TUSD BE'!$AA$40*'TUSD BF'!$AA$61</f>
        <v>0</v>
      </c>
      <c r="AB40" s="13">
        <f>SUM($U$40:$AA$40)</f>
        <v>0</v>
      </c>
      <c r="AC40" s="13">
        <f>'TUSD BE'!$AC$40*'TUSD BF'!$AC$61</f>
        <v>0</v>
      </c>
      <c r="AD40" s="13">
        <f>SUM($AC$40:$AC$40)</f>
        <v>0</v>
      </c>
      <c r="AE40" s="13">
        <f ca="1">$AO$40*$AO$58</f>
        <v>0</v>
      </c>
      <c r="AF40" s="13">
        <f ca="1">$AP$40*$AP$58</f>
        <v>0</v>
      </c>
      <c r="AG40" s="13">
        <f ca="1">SUM($AE$40:$AF$40)</f>
        <v>0</v>
      </c>
      <c r="AH40" s="13">
        <f>'TUSD BE'!$AH$40*'TUSD BF'!$AH$61</f>
        <v>0</v>
      </c>
      <c r="AI40" s="13">
        <f>'TUSD BE'!$AI$40*'TUSD BF'!$AI$61</f>
        <v>0</v>
      </c>
      <c r="AJ40" s="13">
        <f ca="1">'TUSD BE'!$AJ$40*'TUSD BF'!$AJ$61</f>
        <v>0</v>
      </c>
      <c r="AK40" s="13">
        <f ca="1">'TUSD BE'!$AK$40*'TUSD BF'!$AK$61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466.95038811523096</v>
      </c>
      <c r="AP40" s="20">
        <f ca="1">+'TUSD BE'!$T$40+'TUSD BE'!$AB$40+'TUSD BE'!$AD$40+'TUSD BE'!$AL$40</f>
        <v>466.95038811523096</v>
      </c>
    </row>
    <row r="41" spans="1:42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>
        <f>'TUSD BE'!$L$41*'TUSD BF'!$L$61</f>
        <v>0</v>
      </c>
      <c r="M41" s="13">
        <f>'TUSD BE'!$M$41*'TUSD BF'!$M$61</f>
        <v>0</v>
      </c>
      <c r="N41" s="13">
        <f ca="1">'TUSD BE'!$N$41*'TUSD BF'!$N$61</f>
        <v>0</v>
      </c>
      <c r="O41" s="13">
        <f>'TUSD BE'!$O$41*'TUSD BF'!$O$61</f>
        <v>0</v>
      </c>
      <c r="P41" s="13">
        <f>'TUSD BE'!$P$41*'TUSD BF'!$P$61</f>
        <v>0</v>
      </c>
      <c r="Q41" s="13">
        <f>'TUSD BE'!$Q$41*'TUSD BF'!$Q$61</f>
        <v>0</v>
      </c>
      <c r="R41" s="13">
        <f>'TUSD BE'!$R$41*'TUSD BF'!$R$61</f>
        <v>0</v>
      </c>
      <c r="S41" s="13">
        <f>'TUSD BE'!$R$41*'TUSD BF'!$S$61</f>
        <v>0</v>
      </c>
      <c r="T41" s="13">
        <f ca="1">SUM($L$41:$S$41)</f>
        <v>0</v>
      </c>
      <c r="U41" s="13">
        <f>'TUSD BE'!$U$41*'TUSD BF'!$U$61</f>
        <v>0</v>
      </c>
      <c r="V41" s="13">
        <f>'TUSD BE'!$V$41*'TUSD BF'!$V$61</f>
        <v>0</v>
      </c>
      <c r="W41" s="13">
        <f>'TUSD BE'!$W$41*'TUSD BF'!$W$61</f>
        <v>0</v>
      </c>
      <c r="X41" s="13">
        <f>'TUSD BE'!$X$41*'TUSD BF'!$X$61</f>
        <v>0</v>
      </c>
      <c r="Y41" s="13">
        <f>'TUSD BE'!$Y$41*'TUSD BF'!$Y$61</f>
        <v>0</v>
      </c>
      <c r="Z41" s="13">
        <f>'TUSD BE'!$Z$41*'TUSD BF'!$Z$61</f>
        <v>0</v>
      </c>
      <c r="AA41" s="13">
        <f>'TUSD BE'!$AA$41*'TUSD BF'!$AA$61</f>
        <v>0</v>
      </c>
      <c r="AB41" s="13">
        <f>SUM($U$41:$AA$41)</f>
        <v>0</v>
      </c>
      <c r="AC41" s="13">
        <f>'TUSD BE'!$AC$41*'TUSD BF'!$AC$61</f>
        <v>0</v>
      </c>
      <c r="AD41" s="13">
        <f>SUM($AC$41:$AC$41)</f>
        <v>0</v>
      </c>
      <c r="AE41" s="13">
        <f ca="1">$AO$41*$AO$58</f>
        <v>0</v>
      </c>
      <c r="AF41" s="13">
        <f ca="1">$AP$41*$AP$58</f>
        <v>0</v>
      </c>
      <c r="AG41" s="13">
        <f ca="1">SUM($AE$41:$AF$41)</f>
        <v>0</v>
      </c>
      <c r="AH41" s="13">
        <f>'TUSD BE'!$AH$41*'TUSD BF'!$AH$61</f>
        <v>0</v>
      </c>
      <c r="AI41" s="13">
        <f>'TUSD BE'!$AI$41*'TUSD BF'!$AI$61</f>
        <v>0</v>
      </c>
      <c r="AJ41" s="13">
        <f ca="1">'TUSD BE'!$AJ$41*'TUSD BF'!$AJ$61</f>
        <v>0</v>
      </c>
      <c r="AK41" s="13">
        <f ca="1">'TUSD BE'!$AK$41*'TUSD BF'!$AK$61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1156.8939862333145</v>
      </c>
      <c r="AP41" s="20">
        <f ca="1">+'TUSD BE'!$T$41+'TUSD BE'!$AB$41+'TUSD BE'!$AD$41+'TUSD BE'!$AL$41</f>
        <v>1156.8939862333145</v>
      </c>
    </row>
    <row r="42" spans="1:42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>
        <f>'TUSD BE'!$L$42*'TUSD BF'!$L$61</f>
        <v>0</v>
      </c>
      <c r="M42" s="13">
        <f>'TUSD BE'!$M$42*'TUSD BF'!$M$61</f>
        <v>0</v>
      </c>
      <c r="N42" s="13">
        <f ca="1">'TUSD BE'!$N$42*'TUSD BF'!$N$61</f>
        <v>0</v>
      </c>
      <c r="O42" s="13">
        <f>'TUSD BE'!$O$42*'TUSD BF'!$O$61</f>
        <v>0</v>
      </c>
      <c r="P42" s="13">
        <f>'TUSD BE'!$P$42*'TUSD BF'!$P$61</f>
        <v>0</v>
      </c>
      <c r="Q42" s="13">
        <f>'TUSD BE'!$Q$42*'TUSD BF'!$Q$61</f>
        <v>0</v>
      </c>
      <c r="R42" s="13">
        <f>'TUSD BE'!$R$42*'TUSD BF'!$R$61</f>
        <v>0</v>
      </c>
      <c r="S42" s="13">
        <f>'TUSD BE'!$R$42*'TUSD BF'!$S$61</f>
        <v>0</v>
      </c>
      <c r="T42" s="13">
        <f ca="1">SUM($L$42:$S$42)</f>
        <v>0</v>
      </c>
      <c r="U42" s="13">
        <f>'TUSD BE'!$U$42*'TUSD BF'!$U$61</f>
        <v>0</v>
      </c>
      <c r="V42" s="13">
        <f>'TUSD BE'!$V$42*'TUSD BF'!$V$61</f>
        <v>0</v>
      </c>
      <c r="W42" s="13">
        <f>'TUSD BE'!$W$42*'TUSD BF'!$W$61</f>
        <v>0</v>
      </c>
      <c r="X42" s="13">
        <f>'TUSD BE'!$X$42*'TUSD BF'!$X$61</f>
        <v>0</v>
      </c>
      <c r="Y42" s="13">
        <f>'TUSD BE'!$Y$42*'TUSD BF'!$Y$61</f>
        <v>0</v>
      </c>
      <c r="Z42" s="13">
        <f>'TUSD BE'!$Z$42*'TUSD BF'!$Z$61</f>
        <v>0</v>
      </c>
      <c r="AA42" s="13">
        <f>'TUSD BE'!$AA$42*'TUSD BF'!$AA$61</f>
        <v>0</v>
      </c>
      <c r="AB42" s="13">
        <f>SUM($U$42:$AA$42)</f>
        <v>0</v>
      </c>
      <c r="AC42" s="13">
        <f>'TUSD BE'!$AC$42*'TUSD BF'!$AC$61</f>
        <v>0</v>
      </c>
      <c r="AD42" s="13">
        <f>SUM($AC$42:$AC$42)</f>
        <v>0</v>
      </c>
      <c r="AE42" s="13">
        <f ca="1">$AO$42*$AO$58</f>
        <v>0</v>
      </c>
      <c r="AF42" s="13">
        <f ca="1">$AP$42*$AP$58</f>
        <v>0</v>
      </c>
      <c r="AG42" s="13">
        <f ca="1">SUM($AE$42:$AF$42)</f>
        <v>0</v>
      </c>
      <c r="AH42" s="13">
        <f>'TUSD BE'!$AH$42*'TUSD BF'!$AH$61</f>
        <v>0</v>
      </c>
      <c r="AI42" s="13">
        <f>'TUSD BE'!$AI$42*'TUSD BF'!$AI$61</f>
        <v>0</v>
      </c>
      <c r="AJ42" s="13">
        <f ca="1">'TUSD BE'!$AJ$42*'TUSD BF'!$AJ$61</f>
        <v>0</v>
      </c>
      <c r="AK42" s="13">
        <f ca="1">'TUSD BE'!$AK$42*'TUSD BF'!$AK$61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746.56677793740369</v>
      </c>
      <c r="AP42" s="20">
        <f ca="1">+'TUSD BE'!$T$42+'TUSD BE'!$AB$42+'TUSD BE'!$AD$42+'TUSD BE'!$AL$42</f>
        <v>746.56677793740369</v>
      </c>
    </row>
    <row r="43" spans="1:42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>
        <f>'TUSD BE'!$L$43*'TUSD BF'!$L$61</f>
        <v>0</v>
      </c>
      <c r="M43" s="13">
        <f>'TUSD BE'!$M$43*'TUSD BF'!$M$61</f>
        <v>0</v>
      </c>
      <c r="N43" s="13">
        <f ca="1">'TUSD BE'!$N$43*'TUSD BF'!$N$61</f>
        <v>0</v>
      </c>
      <c r="O43" s="13">
        <f>'TUSD BE'!$O$43*'TUSD BF'!$O$61</f>
        <v>0</v>
      </c>
      <c r="P43" s="13">
        <f>'TUSD BE'!$P$43*'TUSD BF'!$P$61</f>
        <v>0</v>
      </c>
      <c r="Q43" s="13">
        <f>'TUSD BE'!$Q$43*'TUSD BF'!$Q$61</f>
        <v>0</v>
      </c>
      <c r="R43" s="13">
        <f>'TUSD BE'!$R$43*'TUSD BF'!$R$61</f>
        <v>0</v>
      </c>
      <c r="S43" s="13">
        <f>'TUSD BE'!$R$43*'TUSD BF'!$S$61</f>
        <v>0</v>
      </c>
      <c r="T43" s="13">
        <f ca="1">SUM($L$43:$S$43)</f>
        <v>0</v>
      </c>
      <c r="U43" s="13">
        <f>'TUSD BE'!$U$43*'TUSD BF'!$U$61</f>
        <v>0</v>
      </c>
      <c r="V43" s="13">
        <f>'TUSD BE'!$V$43*'TUSD BF'!$V$61</f>
        <v>0</v>
      </c>
      <c r="W43" s="13">
        <f>'TUSD BE'!$W$43*'TUSD BF'!$W$61</f>
        <v>0</v>
      </c>
      <c r="X43" s="13">
        <f>'TUSD BE'!$X$43*'TUSD BF'!$X$61</f>
        <v>0</v>
      </c>
      <c r="Y43" s="13">
        <f>'TUSD BE'!$Y$43*'TUSD BF'!$Y$61</f>
        <v>0</v>
      </c>
      <c r="Z43" s="13">
        <f>'TUSD BE'!$Z$43*'TUSD BF'!$Z$61</f>
        <v>0</v>
      </c>
      <c r="AA43" s="13">
        <f>'TUSD BE'!$AA$43*'TUSD BF'!$AA$61</f>
        <v>0</v>
      </c>
      <c r="AB43" s="13">
        <f>SUM($U$43:$AA$43)</f>
        <v>0</v>
      </c>
      <c r="AC43" s="13">
        <f>'TUSD BE'!$AC$43*'TUSD BF'!$AC$61</f>
        <v>0</v>
      </c>
      <c r="AD43" s="13">
        <f>SUM($AC$43:$AC$43)</f>
        <v>0</v>
      </c>
      <c r="AE43" s="13">
        <f ca="1">$AO$43*$AO$58</f>
        <v>0</v>
      </c>
      <c r="AF43" s="13">
        <f ca="1">$AP$43*$AP$58</f>
        <v>0</v>
      </c>
      <c r="AG43" s="13">
        <f ca="1">SUM($AE$43:$AF$43)</f>
        <v>0</v>
      </c>
      <c r="AH43" s="13">
        <f>'TUSD BE'!$AH$43*'TUSD BF'!$AH$61</f>
        <v>0</v>
      </c>
      <c r="AI43" s="13">
        <f>'TUSD BE'!$AI$43*'TUSD BF'!$AI$61</f>
        <v>0</v>
      </c>
      <c r="AJ43" s="13">
        <f ca="1">'TUSD BE'!$AJ$43*'TUSD BF'!$AJ$61</f>
        <v>0</v>
      </c>
      <c r="AK43" s="13">
        <f ca="1">'TUSD BE'!$AK$43*'TUSD BF'!$AK$61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336.27457374733518</v>
      </c>
      <c r="AP43" s="20">
        <f ca="1">+'TUSD BE'!$T$43+'TUSD BE'!$AB$43+'TUSD BE'!$AD$43+'TUSD BE'!$AL$43</f>
        <v>336.27457374733518</v>
      </c>
    </row>
    <row r="44" spans="1:42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>
        <f>'TUSD BE'!$L$44*'TUSD BF'!$L$61</f>
        <v>0</v>
      </c>
      <c r="M44" s="13">
        <f>'TUSD BE'!$M$44*'TUSD BF'!$M$61</f>
        <v>0</v>
      </c>
      <c r="N44" s="13">
        <f ca="1">'TUSD BE'!$N$44*'TUSD BF'!$N$61</f>
        <v>0</v>
      </c>
      <c r="O44" s="13">
        <f>'TUSD BE'!$O$44*'TUSD BF'!$O$61</f>
        <v>0</v>
      </c>
      <c r="P44" s="13">
        <f>'TUSD BE'!$P$44*'TUSD BF'!$P$61</f>
        <v>0</v>
      </c>
      <c r="Q44" s="13">
        <f>'TUSD BE'!$Q$44*'TUSD BF'!$Q$61</f>
        <v>0</v>
      </c>
      <c r="R44" s="13">
        <f>'TUSD BE'!$R$44*'TUSD BF'!$R$61</f>
        <v>0</v>
      </c>
      <c r="S44" s="13">
        <f>'TUSD BE'!$R$44*'TUSD BF'!$S$61</f>
        <v>0</v>
      </c>
      <c r="T44" s="13">
        <f ca="1">SUM($L$44:$S$44)</f>
        <v>0</v>
      </c>
      <c r="U44" s="13">
        <f>'TUSD BE'!$U$44*'TUSD BF'!$U$61</f>
        <v>0</v>
      </c>
      <c r="V44" s="13">
        <f>'TUSD BE'!$V$44*'TUSD BF'!$V$61</f>
        <v>0</v>
      </c>
      <c r="W44" s="13">
        <f>'TUSD BE'!$W$44*'TUSD BF'!$W$61</f>
        <v>0</v>
      </c>
      <c r="X44" s="13">
        <f>'TUSD BE'!$X$44*'TUSD BF'!$X$61</f>
        <v>0</v>
      </c>
      <c r="Y44" s="13">
        <f>'TUSD BE'!$Y$44*'TUSD BF'!$Y$61</f>
        <v>0</v>
      </c>
      <c r="Z44" s="13">
        <f>'TUSD BE'!$Z$44*'TUSD BF'!$Z$61</f>
        <v>0</v>
      </c>
      <c r="AA44" s="13">
        <f>'TUSD BE'!$AA$44*'TUSD BF'!$AA$61</f>
        <v>0</v>
      </c>
      <c r="AB44" s="13">
        <f>SUM($U$44:$AA$44)</f>
        <v>0</v>
      </c>
      <c r="AC44" s="13">
        <f>'TUSD BE'!$AC$44*'TUSD BF'!$AC$61</f>
        <v>0</v>
      </c>
      <c r="AD44" s="13">
        <f>SUM($AC$44:$AC$44)</f>
        <v>0</v>
      </c>
      <c r="AE44" s="13">
        <f ca="1">$AO$44*$AO$58</f>
        <v>0</v>
      </c>
      <c r="AF44" s="13">
        <f ca="1">$AP$44*$AP$58</f>
        <v>0</v>
      </c>
      <c r="AG44" s="13">
        <f ca="1">SUM($AE$44:$AF$44)</f>
        <v>0</v>
      </c>
      <c r="AH44" s="13">
        <f>'TUSD BE'!$AH$44*'TUSD BF'!$AH$61</f>
        <v>0</v>
      </c>
      <c r="AI44" s="13">
        <f>'TUSD BE'!$AI$44*'TUSD BF'!$AI$61</f>
        <v>0</v>
      </c>
      <c r="AJ44" s="13">
        <f ca="1">'TUSD BE'!$AJ$44*'TUSD BF'!$AJ$61</f>
        <v>0</v>
      </c>
      <c r="AK44" s="13">
        <f ca="1">'TUSD BE'!$AK$44*'TUSD BF'!$AK$61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466.95038811523096</v>
      </c>
      <c r="AP44" s="20">
        <f ca="1">+'TUSD BE'!$T$44+'TUSD BE'!$AB$44+'TUSD BE'!$AD$44+'TUSD BE'!$AL$44</f>
        <v>466.95038811523096</v>
      </c>
    </row>
    <row r="45" spans="1:42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>
        <f>'TUSD BE'!$L$45*'TUSD BF'!$L$61</f>
        <v>0</v>
      </c>
      <c r="M45" s="13">
        <f>'TUSD BE'!$M$45*'TUSD BF'!$M$61</f>
        <v>0</v>
      </c>
      <c r="N45" s="13">
        <f ca="1">'TUSD BE'!$N$45*'TUSD BF'!$N$61</f>
        <v>0</v>
      </c>
      <c r="O45" s="13">
        <f>'TUSD BE'!$O$45*'TUSD BF'!$O$61</f>
        <v>0</v>
      </c>
      <c r="P45" s="13">
        <f>'TUSD BE'!$P$45*'TUSD BF'!$P$61</f>
        <v>0</v>
      </c>
      <c r="Q45" s="13">
        <f>'TUSD BE'!$Q$45*'TUSD BF'!$Q$61</f>
        <v>0</v>
      </c>
      <c r="R45" s="13">
        <f>'TUSD BE'!$R$45*'TUSD BF'!$R$61</f>
        <v>0</v>
      </c>
      <c r="S45" s="13">
        <f>'TUSD BE'!$R$45*'TUSD BF'!$S$61</f>
        <v>0</v>
      </c>
      <c r="T45" s="13">
        <f ca="1">SUM($L$45:$S$45)</f>
        <v>0</v>
      </c>
      <c r="U45" s="13">
        <f>'TUSD BE'!$U$45*'TUSD BF'!$U$61</f>
        <v>0</v>
      </c>
      <c r="V45" s="13">
        <f>'TUSD BE'!$V$45*'TUSD BF'!$V$61</f>
        <v>0</v>
      </c>
      <c r="W45" s="13">
        <f>'TUSD BE'!$W$45*'TUSD BF'!$W$61</f>
        <v>0</v>
      </c>
      <c r="X45" s="13">
        <f>'TUSD BE'!$X$45*'TUSD BF'!$X$61</f>
        <v>0</v>
      </c>
      <c r="Y45" s="13">
        <f>'TUSD BE'!$Y$45*'TUSD BF'!$Y$61</f>
        <v>0</v>
      </c>
      <c r="Z45" s="13">
        <f>'TUSD BE'!$Z$45*'TUSD BF'!$Z$61</f>
        <v>0</v>
      </c>
      <c r="AA45" s="13">
        <f>'TUSD BE'!$AA$45*'TUSD BF'!$AA$61</f>
        <v>0</v>
      </c>
      <c r="AB45" s="13">
        <f>SUM($U$45:$AA$45)</f>
        <v>0</v>
      </c>
      <c r="AC45" s="13">
        <f>'TUSD BE'!$AC$45*'TUSD BF'!$AC$61</f>
        <v>0</v>
      </c>
      <c r="AD45" s="13">
        <f>SUM($AC$45:$AC$45)</f>
        <v>0</v>
      </c>
      <c r="AE45" s="13">
        <f ca="1">$AO$45*$AO$58</f>
        <v>0</v>
      </c>
      <c r="AF45" s="13">
        <f ca="1">$AP$45*$AP$58</f>
        <v>0</v>
      </c>
      <c r="AG45" s="13">
        <f ca="1">SUM($AE$45:$AF$45)</f>
        <v>0</v>
      </c>
      <c r="AH45" s="13">
        <f>'TUSD BE'!$AH$45*'TUSD BF'!$AH$61</f>
        <v>0</v>
      </c>
      <c r="AI45" s="13">
        <f>'TUSD BE'!$AI$45*'TUSD BF'!$AI$61</f>
        <v>0</v>
      </c>
      <c r="AJ45" s="13">
        <f ca="1">'TUSD BE'!$AJ$45*'TUSD BF'!$AJ$61</f>
        <v>0</v>
      </c>
      <c r="AK45" s="13">
        <f ca="1">'TUSD BE'!$AK$45*'TUSD BF'!$AK$61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466.95038811523096</v>
      </c>
      <c r="AP45" s="20">
        <f ca="1">+'TUSD BE'!$T$45+'TUSD BE'!$AB$45+'TUSD BE'!$AD$45+'TUSD BE'!$AL$45</f>
        <v>466.95038811523096</v>
      </c>
    </row>
    <row r="46" spans="1:42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>
        <f>'TUSD BE'!$L$46*'TUSD BF'!$L$61</f>
        <v>0</v>
      </c>
      <c r="M46" s="13">
        <f>'TUSD BE'!$M$46*'TUSD BF'!$M$61</f>
        <v>0</v>
      </c>
      <c r="N46" s="13">
        <f ca="1">'TUSD BE'!$N$46*'TUSD BF'!$N$61</f>
        <v>0</v>
      </c>
      <c r="O46" s="13">
        <f>'TUSD BE'!$O$46*'TUSD BF'!$O$61</f>
        <v>0</v>
      </c>
      <c r="P46" s="13">
        <f>'TUSD BE'!$P$46*'TUSD BF'!$P$61</f>
        <v>0</v>
      </c>
      <c r="Q46" s="13">
        <f>'TUSD BE'!$Q$46*'TUSD BF'!$Q$61</f>
        <v>0</v>
      </c>
      <c r="R46" s="13">
        <f>'TUSD BE'!$R$46*'TUSD BF'!$R$61</f>
        <v>0</v>
      </c>
      <c r="S46" s="13">
        <f>'TUSD BE'!$R$46*'TUSD BF'!$S$61</f>
        <v>0</v>
      </c>
      <c r="T46" s="13">
        <f ca="1">SUM($L$46:$S$46)</f>
        <v>0</v>
      </c>
      <c r="U46" s="13">
        <f>'TUSD BE'!$U$46*'TUSD BF'!$U$61</f>
        <v>0</v>
      </c>
      <c r="V46" s="13">
        <f>'TUSD BE'!$V$46*'TUSD BF'!$V$61</f>
        <v>0</v>
      </c>
      <c r="W46" s="13">
        <f>'TUSD BE'!$W$46*'TUSD BF'!$W$61</f>
        <v>0</v>
      </c>
      <c r="X46" s="13">
        <f>'TUSD BE'!$X$46*'TUSD BF'!$X$61</f>
        <v>0</v>
      </c>
      <c r="Y46" s="13">
        <f>'TUSD BE'!$Y$46*'TUSD BF'!$Y$61</f>
        <v>0</v>
      </c>
      <c r="Z46" s="13">
        <f>'TUSD BE'!$Z$46*'TUSD BF'!$Z$61</f>
        <v>0</v>
      </c>
      <c r="AA46" s="13">
        <f>'TUSD BE'!$AA$46*'TUSD BF'!$AA$61</f>
        <v>0</v>
      </c>
      <c r="AB46" s="13">
        <f>SUM($U$46:$AA$46)</f>
        <v>0</v>
      </c>
      <c r="AC46" s="13">
        <f>'TUSD BE'!$AC$46*'TUSD BF'!$AC$61</f>
        <v>0</v>
      </c>
      <c r="AD46" s="13">
        <f>SUM($AC$46:$AC$46)</f>
        <v>0</v>
      </c>
      <c r="AE46" s="13">
        <f ca="1">$AO$46*$AO$58</f>
        <v>0</v>
      </c>
      <c r="AF46" s="13">
        <f ca="1">$AP$46*$AP$58</f>
        <v>0</v>
      </c>
      <c r="AG46" s="13">
        <f ca="1">SUM($AE$46:$AF$46)</f>
        <v>0</v>
      </c>
      <c r="AH46" s="13">
        <f>'TUSD BE'!$AH$46*'TUSD BF'!$AH$61</f>
        <v>0</v>
      </c>
      <c r="AI46" s="13">
        <f>'TUSD BE'!$AI$46*'TUSD BF'!$AI$61</f>
        <v>0</v>
      </c>
      <c r="AJ46" s="13">
        <f ca="1">'TUSD BE'!$AJ$46*'TUSD BF'!$AJ$61</f>
        <v>0</v>
      </c>
      <c r="AK46" s="13">
        <f ca="1">'TUSD BE'!$AK$46*'TUSD BF'!$AK$61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466.95038811523096</v>
      </c>
      <c r="AP46" s="20">
        <f ca="1">+'TUSD BE'!$T$46+'TUSD BE'!$AB$46+'TUSD BE'!$AD$46+'TUSD BE'!$AL$46</f>
        <v>466.95038811523096</v>
      </c>
    </row>
    <row r="47" spans="1:42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>
        <f>'TUSD BE'!$L$47*'TUSD BF'!$L$61</f>
        <v>0</v>
      </c>
      <c r="M47" s="13">
        <f>'TUSD BE'!$M$47*'TUSD BF'!$M$61</f>
        <v>0</v>
      </c>
      <c r="N47" s="13">
        <f ca="1">'TUSD BE'!$N$47*'TUSD BF'!$N$61</f>
        <v>0</v>
      </c>
      <c r="O47" s="13">
        <f>'TUSD BE'!$O$47*'TUSD BF'!$O$61</f>
        <v>0</v>
      </c>
      <c r="P47" s="13">
        <f>'TUSD BE'!$P$47*'TUSD BF'!$P$61</f>
        <v>0</v>
      </c>
      <c r="Q47" s="13">
        <f>'TUSD BE'!$Q$47*'TUSD BF'!$Q$61</f>
        <v>0</v>
      </c>
      <c r="R47" s="13">
        <f>'TUSD BE'!$R$47*'TUSD BF'!$R$61</f>
        <v>0</v>
      </c>
      <c r="S47" s="13">
        <f>'TUSD BE'!$R$47*'TUSD BF'!$S$61</f>
        <v>0</v>
      </c>
      <c r="T47" s="13">
        <f ca="1">SUM($L$47:$S$47)</f>
        <v>0</v>
      </c>
      <c r="U47" s="13">
        <f>'TUSD BE'!$U$47*'TUSD BF'!$U$61</f>
        <v>0</v>
      </c>
      <c r="V47" s="13">
        <f>'TUSD BE'!$V$47*'TUSD BF'!$V$61</f>
        <v>0</v>
      </c>
      <c r="W47" s="13">
        <f>'TUSD BE'!$W$47*'TUSD BF'!$W$61</f>
        <v>0</v>
      </c>
      <c r="X47" s="13">
        <f>'TUSD BE'!$X$47*'TUSD BF'!$X$61</f>
        <v>0</v>
      </c>
      <c r="Y47" s="13">
        <f>'TUSD BE'!$Y$47*'TUSD BF'!$Y$61</f>
        <v>0</v>
      </c>
      <c r="Z47" s="13">
        <f>'TUSD BE'!$Z$47*'TUSD BF'!$Z$61</f>
        <v>0</v>
      </c>
      <c r="AA47" s="13">
        <f>'TUSD BE'!$AA$47*'TUSD BF'!$AA$61</f>
        <v>0</v>
      </c>
      <c r="AB47" s="13">
        <f>SUM($U$47:$AA$47)</f>
        <v>0</v>
      </c>
      <c r="AC47" s="13">
        <f>'TUSD BE'!$AC$47*'TUSD BF'!$AC$61</f>
        <v>0</v>
      </c>
      <c r="AD47" s="13">
        <f>SUM($AC$47:$AC$47)</f>
        <v>0</v>
      </c>
      <c r="AE47" s="13">
        <f ca="1">$AO$47*$AO$58</f>
        <v>0</v>
      </c>
      <c r="AF47" s="13">
        <f ca="1">$AP$47*$AP$58</f>
        <v>0</v>
      </c>
      <c r="AG47" s="13">
        <f ca="1">SUM($AE$47:$AF$47)</f>
        <v>0</v>
      </c>
      <c r="AH47" s="13">
        <f>'TUSD BE'!$AH$47*'TUSD BF'!$AH$61</f>
        <v>0</v>
      </c>
      <c r="AI47" s="13">
        <f>'TUSD BE'!$AI$47*'TUSD BF'!$AI$61</f>
        <v>0</v>
      </c>
      <c r="AJ47" s="13">
        <f ca="1">'TUSD BE'!$AJ$47*'TUSD BF'!$AJ$61</f>
        <v>0</v>
      </c>
      <c r="AK47" s="13">
        <f ca="1">'TUSD BE'!$AK$47*'TUSD BF'!$AK$61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466.95038811523096</v>
      </c>
      <c r="AP47" s="20">
        <f ca="1">+'TUSD BE'!$T$47+'TUSD BE'!$AB$47+'TUSD BE'!$AD$47+'TUSD BE'!$AL$47</f>
        <v>466.95038811523096</v>
      </c>
    </row>
    <row r="48" spans="1:42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>
        <f>'TUSD BE'!$L$48*'TUSD BF'!$L$61</f>
        <v>0</v>
      </c>
      <c r="M48" s="13">
        <f>'TUSD BE'!$M$48*'TUSD BF'!$M$61</f>
        <v>0</v>
      </c>
      <c r="N48" s="13">
        <f ca="1">'TUSD BE'!$N$48*'TUSD BF'!$N$61</f>
        <v>0</v>
      </c>
      <c r="O48" s="13">
        <f>'TUSD BE'!$O$48*'TUSD BF'!$O$61</f>
        <v>0</v>
      </c>
      <c r="P48" s="13">
        <f>'TUSD BE'!$P$48*'TUSD BF'!$P$61</f>
        <v>0</v>
      </c>
      <c r="Q48" s="13">
        <f>'TUSD BE'!$Q$48*'TUSD BF'!$Q$61</f>
        <v>0</v>
      </c>
      <c r="R48" s="13">
        <f>'TUSD BE'!$R$48*'TUSD BF'!$R$61</f>
        <v>0</v>
      </c>
      <c r="S48" s="13">
        <f>'TUSD BE'!$R$48*'TUSD BF'!$S$61</f>
        <v>0</v>
      </c>
      <c r="T48" s="13">
        <f ca="1">SUM($L$48:$S$48)</f>
        <v>0</v>
      </c>
      <c r="U48" s="13">
        <f>'TUSD BE'!$U$48*'TUSD BF'!$U$61</f>
        <v>0</v>
      </c>
      <c r="V48" s="13">
        <f>'TUSD BE'!$V$48*'TUSD BF'!$V$61</f>
        <v>0</v>
      </c>
      <c r="W48" s="13">
        <f>'TUSD BE'!$W$48*'TUSD BF'!$W$61</f>
        <v>0</v>
      </c>
      <c r="X48" s="13">
        <f>'TUSD BE'!$X$48*'TUSD BF'!$X$61</f>
        <v>0</v>
      </c>
      <c r="Y48" s="13">
        <f>'TUSD BE'!$Y$48*'TUSD BF'!$Y$61</f>
        <v>0</v>
      </c>
      <c r="Z48" s="13">
        <f>'TUSD BE'!$Z$48*'TUSD BF'!$Z$61</f>
        <v>0</v>
      </c>
      <c r="AA48" s="13">
        <f>'TUSD BE'!$AA$48*'TUSD BF'!$AA$61</f>
        <v>0</v>
      </c>
      <c r="AB48" s="13">
        <f>SUM($U$48:$AA$48)</f>
        <v>0</v>
      </c>
      <c r="AC48" s="13">
        <f>'TUSD BE'!$AC$48*'TUSD BF'!$AC$61</f>
        <v>0</v>
      </c>
      <c r="AD48" s="13">
        <f>SUM($AC$48:$AC$48)</f>
        <v>0</v>
      </c>
      <c r="AE48" s="13">
        <f ca="1">$AO$48*$AO$58</f>
        <v>0</v>
      </c>
      <c r="AF48" s="13">
        <f ca="1">$AP$48*$AP$58</f>
        <v>0</v>
      </c>
      <c r="AG48" s="13">
        <f ca="1">SUM($AE$48:$AF$48)</f>
        <v>0</v>
      </c>
      <c r="AH48" s="13">
        <f>'TUSD BE'!$AH$48*'TUSD BF'!$AH$61</f>
        <v>0</v>
      </c>
      <c r="AI48" s="13">
        <f>'TUSD BE'!$AI$48*'TUSD BF'!$AI$61</f>
        <v>0</v>
      </c>
      <c r="AJ48" s="13">
        <f ca="1">'TUSD BE'!$AJ$48*'TUSD BF'!$AJ$61</f>
        <v>0</v>
      </c>
      <c r="AK48" s="13">
        <f ca="1">'TUSD BE'!$AK$48*'TUSD BF'!$AK$61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1289.7321203426879</v>
      </c>
      <c r="AP48" s="20">
        <f ca="1">+'TUSD BE'!$T$48+'TUSD BE'!$AB$48+'TUSD BE'!$AD$48+'TUSD BE'!$AL$48</f>
        <v>1289.7321203426879</v>
      </c>
    </row>
    <row r="49" spans="1:42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>
        <f>'TUSD BE'!$L$49*'TUSD BF'!$L$61</f>
        <v>0</v>
      </c>
      <c r="M49" s="13">
        <f>'TUSD BE'!$M$49*'TUSD BF'!$M$61</f>
        <v>0</v>
      </c>
      <c r="N49" s="13">
        <f ca="1">'TUSD BE'!$N$49*'TUSD BF'!$N$61</f>
        <v>0</v>
      </c>
      <c r="O49" s="13">
        <f>'TUSD BE'!$O$49*'TUSD BF'!$O$61</f>
        <v>0</v>
      </c>
      <c r="P49" s="13">
        <f>'TUSD BE'!$P$49*'TUSD BF'!$P$61</f>
        <v>0</v>
      </c>
      <c r="Q49" s="13">
        <f>'TUSD BE'!$Q$49*'TUSD BF'!$Q$61</f>
        <v>0</v>
      </c>
      <c r="R49" s="13">
        <f>'TUSD BE'!$R$49*'TUSD BF'!$R$61</f>
        <v>0</v>
      </c>
      <c r="S49" s="13">
        <f>'TUSD BE'!$R$49*'TUSD BF'!$S$61</f>
        <v>0</v>
      </c>
      <c r="T49" s="13">
        <f ca="1">SUM($L$49:$S$49)</f>
        <v>0</v>
      </c>
      <c r="U49" s="13">
        <f>'TUSD BE'!$U$49*'TUSD BF'!$U$61</f>
        <v>0</v>
      </c>
      <c r="V49" s="13">
        <f>'TUSD BE'!$V$49*'TUSD BF'!$V$61</f>
        <v>0</v>
      </c>
      <c r="W49" s="13">
        <f>'TUSD BE'!$W$49*'TUSD BF'!$W$61</f>
        <v>0</v>
      </c>
      <c r="X49" s="13">
        <f>'TUSD BE'!$X$49*'TUSD BF'!$X$61</f>
        <v>0</v>
      </c>
      <c r="Y49" s="13">
        <f>'TUSD BE'!$Y$49*'TUSD BF'!$Y$61</f>
        <v>0</v>
      </c>
      <c r="Z49" s="13">
        <f>'TUSD BE'!$Z$49*'TUSD BF'!$Z$61</f>
        <v>0</v>
      </c>
      <c r="AA49" s="13">
        <f>'TUSD BE'!$AA$49*'TUSD BF'!$AA$61</f>
        <v>0</v>
      </c>
      <c r="AB49" s="13">
        <f>SUM($U$49:$AA$49)</f>
        <v>0</v>
      </c>
      <c r="AC49" s="13">
        <f>'TUSD BE'!$AC$49*'TUSD BF'!$AC$61</f>
        <v>0</v>
      </c>
      <c r="AD49" s="13">
        <f>SUM($AC$49:$AC$49)</f>
        <v>0</v>
      </c>
      <c r="AE49" s="13">
        <f ca="1">$AO$49*$AO$58</f>
        <v>0</v>
      </c>
      <c r="AF49" s="13">
        <f ca="1">$AP$49*$AP$58</f>
        <v>0</v>
      </c>
      <c r="AG49" s="13">
        <f ca="1">SUM($AE$49:$AF$49)</f>
        <v>0</v>
      </c>
      <c r="AH49" s="13">
        <f>'TUSD BE'!$AH$49*'TUSD BF'!$AH$61</f>
        <v>0</v>
      </c>
      <c r="AI49" s="13">
        <f>'TUSD BE'!$AI$49*'TUSD BF'!$AI$61</f>
        <v>0</v>
      </c>
      <c r="AJ49" s="13">
        <f ca="1">'TUSD BE'!$AJ$49*'TUSD BF'!$AJ$61</f>
        <v>0</v>
      </c>
      <c r="AK49" s="13">
        <f ca="1">'TUSD BE'!$AK$49*'TUSD BF'!$AK$61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826.26979904838561</v>
      </c>
      <c r="AP49" s="20">
        <f ca="1">+'TUSD BE'!$T$49+'TUSD BE'!$AB$49+'TUSD BE'!$AD$49+'TUSD BE'!$AL$49</f>
        <v>826.26979904838561</v>
      </c>
    </row>
    <row r="50" spans="1:42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>
        <f>'TUSD BE'!$L$50*'TUSD BF'!$L$61</f>
        <v>0</v>
      </c>
      <c r="M50" s="13">
        <f>'TUSD BE'!$M$50*'TUSD BF'!$M$61</f>
        <v>0</v>
      </c>
      <c r="N50" s="13">
        <f ca="1">'TUSD BE'!$N$50*'TUSD BF'!$N$61</f>
        <v>0</v>
      </c>
      <c r="O50" s="13">
        <f>'TUSD BE'!$O$50*'TUSD BF'!$O$61</f>
        <v>0</v>
      </c>
      <c r="P50" s="13">
        <f>'TUSD BE'!$P$50*'TUSD BF'!$P$61</f>
        <v>0</v>
      </c>
      <c r="Q50" s="13">
        <f>'TUSD BE'!$Q$50*'TUSD BF'!$Q$61</f>
        <v>0</v>
      </c>
      <c r="R50" s="13">
        <f>'TUSD BE'!$R$50*'TUSD BF'!$R$61</f>
        <v>0</v>
      </c>
      <c r="S50" s="13">
        <f>'TUSD BE'!$R$50*'TUSD BF'!$S$61</f>
        <v>0</v>
      </c>
      <c r="T50" s="13">
        <f ca="1">SUM($L$50:$S$50)</f>
        <v>0</v>
      </c>
      <c r="U50" s="13">
        <f>'TUSD BE'!$U$50*'TUSD BF'!$U$61</f>
        <v>0</v>
      </c>
      <c r="V50" s="13">
        <f>'TUSD BE'!$V$50*'TUSD BF'!$V$61</f>
        <v>0</v>
      </c>
      <c r="W50" s="13">
        <f>'TUSD BE'!$W$50*'TUSD BF'!$W$61</f>
        <v>0</v>
      </c>
      <c r="X50" s="13">
        <f>'TUSD BE'!$X$50*'TUSD BF'!$X$61</f>
        <v>0</v>
      </c>
      <c r="Y50" s="13">
        <f>'TUSD BE'!$Y$50*'TUSD BF'!$Y$61</f>
        <v>0</v>
      </c>
      <c r="Z50" s="13">
        <f>'TUSD BE'!$Z$50*'TUSD BF'!$Z$61</f>
        <v>0</v>
      </c>
      <c r="AA50" s="13">
        <f>'TUSD BE'!$AA$50*'TUSD BF'!$AA$61</f>
        <v>0</v>
      </c>
      <c r="AB50" s="13">
        <f>SUM($U$50:$AA$50)</f>
        <v>0</v>
      </c>
      <c r="AC50" s="13">
        <f>'TUSD BE'!$AC$50*'TUSD BF'!$AC$61</f>
        <v>0</v>
      </c>
      <c r="AD50" s="13">
        <f>SUM($AC$50:$AC$50)</f>
        <v>0</v>
      </c>
      <c r="AE50" s="13">
        <f ca="1">$AO$50*$AO$58</f>
        <v>0</v>
      </c>
      <c r="AF50" s="13">
        <f ca="1">$AP$50*$AP$58</f>
        <v>0</v>
      </c>
      <c r="AG50" s="13">
        <f ca="1">SUM($AE$50:$AF$50)</f>
        <v>0</v>
      </c>
      <c r="AH50" s="13">
        <f>'TUSD BE'!$AH$50*'TUSD BF'!$AH$61</f>
        <v>0</v>
      </c>
      <c r="AI50" s="13">
        <f>'TUSD BE'!$AI$50*'TUSD BF'!$AI$61</f>
        <v>0</v>
      </c>
      <c r="AJ50" s="13">
        <f ca="1">'TUSD BE'!$AJ$50*'TUSD BF'!$AJ$61</f>
        <v>0</v>
      </c>
      <c r="AK50" s="13">
        <f ca="1">'TUSD BE'!$AK$50*'TUSD BF'!$AK$61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362.84248185992567</v>
      </c>
      <c r="AP50" s="20">
        <f ca="1">+'TUSD BE'!$T$50+'TUSD BE'!$AB$50+'TUSD BE'!$AD$50+'TUSD BE'!$AL$50</f>
        <v>362.84248185992567</v>
      </c>
    </row>
    <row r="51" spans="1:42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>
        <f>'TUSD BE'!$L$51*'TUSD BF'!$L$61</f>
        <v>0</v>
      </c>
      <c r="M51" s="13">
        <f>'TUSD BE'!$M$51*'TUSD BF'!$M$61</f>
        <v>0</v>
      </c>
      <c r="N51" s="13">
        <f ca="1">'TUSD BE'!$N$51*'TUSD BF'!$N$61</f>
        <v>0</v>
      </c>
      <c r="O51" s="13">
        <f>'TUSD BE'!$O$51*'TUSD BF'!$O$61</f>
        <v>0</v>
      </c>
      <c r="P51" s="13">
        <f>'TUSD BE'!$P$51*'TUSD BF'!$P$61</f>
        <v>0</v>
      </c>
      <c r="Q51" s="13">
        <f>'TUSD BE'!$Q$51*'TUSD BF'!$Q$61</f>
        <v>0</v>
      </c>
      <c r="R51" s="13">
        <f>'TUSD BE'!$R$51*'TUSD BF'!$R$61</f>
        <v>0</v>
      </c>
      <c r="S51" s="13">
        <f>'TUSD BE'!$R$51*'TUSD BF'!$S$61</f>
        <v>0</v>
      </c>
      <c r="T51" s="13">
        <f ca="1">SUM($L$51:$S$51)</f>
        <v>0</v>
      </c>
      <c r="U51" s="13">
        <f>'TUSD BE'!$U$51*'TUSD BF'!$U$61</f>
        <v>0</v>
      </c>
      <c r="V51" s="13">
        <f>'TUSD BE'!$V$51*'TUSD BF'!$V$61</f>
        <v>0</v>
      </c>
      <c r="W51" s="13">
        <f>'TUSD BE'!$W$51*'TUSD BF'!$W$61</f>
        <v>0</v>
      </c>
      <c r="X51" s="13">
        <f>'TUSD BE'!$X$51*'TUSD BF'!$X$61</f>
        <v>0</v>
      </c>
      <c r="Y51" s="13">
        <f>'TUSD BE'!$Y$51*'TUSD BF'!$Y$61</f>
        <v>0</v>
      </c>
      <c r="Z51" s="13">
        <f>'TUSD BE'!$Z$51*'TUSD BF'!$Z$61</f>
        <v>0</v>
      </c>
      <c r="AA51" s="13">
        <f>'TUSD BE'!$AA$51*'TUSD BF'!$AA$61</f>
        <v>0</v>
      </c>
      <c r="AB51" s="13">
        <f>SUM($U$51:$AA$51)</f>
        <v>0</v>
      </c>
      <c r="AC51" s="13">
        <f>'TUSD BE'!$AC$51*'TUSD BF'!$AC$61</f>
        <v>0</v>
      </c>
      <c r="AD51" s="13">
        <f>SUM($AC$51:$AC$51)</f>
        <v>0</v>
      </c>
      <c r="AE51" s="13">
        <f ca="1">$AO$51*$AO$58</f>
        <v>0</v>
      </c>
      <c r="AF51" s="13">
        <f ca="1">$AP$51*$AP$58</f>
        <v>0</v>
      </c>
      <c r="AG51" s="13">
        <f ca="1">SUM($AE$51:$AF$51)</f>
        <v>0</v>
      </c>
      <c r="AH51" s="13">
        <f>'TUSD BE'!$AH$51*'TUSD BF'!$AH$61</f>
        <v>0</v>
      </c>
      <c r="AI51" s="13">
        <f>'TUSD BE'!$AI$51*'TUSD BF'!$AI$61</f>
        <v>0</v>
      </c>
      <c r="AJ51" s="13">
        <f ca="1">'TUSD BE'!$AJ$51*'TUSD BF'!$AJ$61</f>
        <v>0</v>
      </c>
      <c r="AK51" s="13">
        <f ca="1">'TUSD BE'!$AK$51*'TUSD BF'!$AK$61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466.95038811523096</v>
      </c>
      <c r="AP51" s="20">
        <f ca="1">+'TUSD BE'!$T$51+'TUSD BE'!$AB$51+'TUSD BE'!$AD$51+'TUSD BE'!$AL$51</f>
        <v>466.95038811523096</v>
      </c>
    </row>
    <row r="52" spans="1:42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>
        <f>'TUSD BE'!$L$52*'TUSD BF'!$L$61</f>
        <v>0</v>
      </c>
      <c r="M52" s="13">
        <f>'TUSD BE'!$M$52*'TUSD BF'!$M$61</f>
        <v>0</v>
      </c>
      <c r="N52" s="13">
        <f ca="1">'TUSD BE'!$N$52*'TUSD BF'!$N$61</f>
        <v>0</v>
      </c>
      <c r="O52" s="13">
        <f>'TUSD BE'!$O$52*'TUSD BF'!$O$61</f>
        <v>0</v>
      </c>
      <c r="P52" s="13">
        <f>'TUSD BE'!$P$52*'TUSD BF'!$P$61</f>
        <v>0</v>
      </c>
      <c r="Q52" s="13">
        <f>'TUSD BE'!$Q$52*'TUSD BF'!$Q$61</f>
        <v>0</v>
      </c>
      <c r="R52" s="13">
        <f>'TUSD BE'!$R$52*'TUSD BF'!$R$61</f>
        <v>0</v>
      </c>
      <c r="S52" s="13">
        <f>'TUSD BE'!$R$52*'TUSD BF'!$S$61</f>
        <v>0</v>
      </c>
      <c r="T52" s="13">
        <f ca="1">SUM($L$52:$S$52)</f>
        <v>0</v>
      </c>
      <c r="U52" s="13">
        <f>'TUSD BE'!$U$52*'TUSD BF'!$U$61</f>
        <v>0</v>
      </c>
      <c r="V52" s="13">
        <f>'TUSD BE'!$V$52*'TUSD BF'!$V$61</f>
        <v>0</v>
      </c>
      <c r="W52" s="13">
        <f>'TUSD BE'!$W$52*'TUSD BF'!$W$61</f>
        <v>0</v>
      </c>
      <c r="X52" s="13">
        <f>'TUSD BE'!$X$52*'TUSD BF'!$X$61</f>
        <v>0</v>
      </c>
      <c r="Y52" s="13">
        <f>'TUSD BE'!$Y$52*'TUSD BF'!$Y$61</f>
        <v>0</v>
      </c>
      <c r="Z52" s="13">
        <f>'TUSD BE'!$Z$52*'TUSD BF'!$Z$61</f>
        <v>0</v>
      </c>
      <c r="AA52" s="13">
        <f>'TUSD BE'!$AA$52*'TUSD BF'!$AA$61</f>
        <v>0</v>
      </c>
      <c r="AB52" s="13">
        <f>SUM($U$52:$AA$52)</f>
        <v>0</v>
      </c>
      <c r="AC52" s="13">
        <f>'TUSD BE'!$AC$52*'TUSD BF'!$AC$61</f>
        <v>0</v>
      </c>
      <c r="AD52" s="13">
        <f>SUM($AC$52:$AC$52)</f>
        <v>0</v>
      </c>
      <c r="AE52" s="13">
        <f ca="1">$AO$52*$AO$58</f>
        <v>0</v>
      </c>
      <c r="AF52" s="13">
        <f ca="1">$AP$52*$AP$58</f>
        <v>0</v>
      </c>
      <c r="AG52" s="13">
        <f ca="1">SUM($AE$52:$AF$52)</f>
        <v>0</v>
      </c>
      <c r="AH52" s="13">
        <f>'TUSD BE'!$AH$52*'TUSD BF'!$AH$61</f>
        <v>0</v>
      </c>
      <c r="AI52" s="13">
        <f>'TUSD BE'!$AI$52*'TUSD BF'!$AI$61</f>
        <v>0</v>
      </c>
      <c r="AJ52" s="13">
        <f ca="1">'TUSD BE'!$AJ$52*'TUSD BF'!$AJ$61</f>
        <v>0</v>
      </c>
      <c r="AK52" s="13">
        <f ca="1">'TUSD BE'!$AK$52*'TUSD BF'!$AK$61</f>
        <v>0</v>
      </c>
      <c r="AL52" s="13">
        <f ca="1">SUM($AH$52:$AK$52)</f>
        <v>0</v>
      </c>
      <c r="AM52" s="13">
        <f ca="1">SUMIF($L$4:$AL$4,"SUBTOTAL",$L$52:$AL$52)</f>
        <v>0</v>
      </c>
      <c r="AO52" s="20">
        <f ca="1">+'TUSD BE'!$T$52+'TUSD BE'!$AB$52+'TUSD BE'!$AD$52+'TUSD BE'!$AL$52</f>
        <v>466.95038811523096</v>
      </c>
      <c r="AP52" s="20">
        <f ca="1">+'TUSD BE'!$T$52+'TUSD BE'!$AB$52+'TUSD BE'!$AD$52+'TUSD BE'!$AL$52</f>
        <v>466.95038811523096</v>
      </c>
    </row>
    <row r="53" spans="1:42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>
        <f>'TUSD BE'!$L$53*'TUSD BF'!$L$61</f>
        <v>0</v>
      </c>
      <c r="M53" s="13">
        <f>'TUSD BE'!$M$53*'TUSD BF'!$M$61</f>
        <v>0</v>
      </c>
      <c r="N53" s="13">
        <f ca="1">'TUSD BE'!$N$53*'TUSD BF'!$N$61</f>
        <v>0</v>
      </c>
      <c r="O53" s="13">
        <f>'TUSD BE'!$O$53*'TUSD BF'!$O$61</f>
        <v>0</v>
      </c>
      <c r="P53" s="13">
        <f>'TUSD BE'!$P$53*'TUSD BF'!$P$61</f>
        <v>0</v>
      </c>
      <c r="Q53" s="13">
        <f>'TUSD BE'!$Q$53*'TUSD BF'!$Q$61</f>
        <v>0</v>
      </c>
      <c r="R53" s="13">
        <f>'TUSD BE'!$R$53*'TUSD BF'!$R$61</f>
        <v>0</v>
      </c>
      <c r="S53" s="13">
        <f>'TUSD BE'!$R$53*'TUSD BF'!$S$61</f>
        <v>0</v>
      </c>
      <c r="T53" s="13">
        <f ca="1">SUM($L$53:$S$53)</f>
        <v>0</v>
      </c>
      <c r="U53" s="13">
        <f>'TUSD BE'!$U$53*'TUSD BF'!$U$61</f>
        <v>0</v>
      </c>
      <c r="V53" s="13">
        <f>'TUSD BE'!$V$53*'TUSD BF'!$V$61</f>
        <v>0</v>
      </c>
      <c r="W53" s="13">
        <f>'TUSD BE'!$W$53*'TUSD BF'!$W$61</f>
        <v>0</v>
      </c>
      <c r="X53" s="13">
        <f>'TUSD BE'!$X$53*'TUSD BF'!$X$61</f>
        <v>0</v>
      </c>
      <c r="Y53" s="13">
        <f>'TUSD BE'!$Y$53*'TUSD BF'!$Y$61</f>
        <v>0</v>
      </c>
      <c r="Z53" s="13">
        <f>'TUSD BE'!$Z$53*'TUSD BF'!$Z$61</f>
        <v>0</v>
      </c>
      <c r="AA53" s="13">
        <f>'TUSD BE'!$AA$53*'TUSD BF'!$AA$61</f>
        <v>0</v>
      </c>
      <c r="AB53" s="13">
        <f>SUM($U$53:$AA$53)</f>
        <v>0</v>
      </c>
      <c r="AC53" s="13">
        <f>'TUSD BE'!$AC$53*'TUSD BF'!$AC$61</f>
        <v>0</v>
      </c>
      <c r="AD53" s="13">
        <f>SUM($AC$53:$AC$53)</f>
        <v>0</v>
      </c>
      <c r="AE53" s="13">
        <f ca="1">$AO$53*$AO$58</f>
        <v>0</v>
      </c>
      <c r="AF53" s="13">
        <f ca="1">$AP$53*$AP$58</f>
        <v>0</v>
      </c>
      <c r="AG53" s="13">
        <f ca="1">SUM($AE$53:$AF$53)</f>
        <v>0</v>
      </c>
      <c r="AH53" s="13">
        <f>'TUSD BE'!$AH$53*'TUSD BF'!$AH$61</f>
        <v>0</v>
      </c>
      <c r="AI53" s="13">
        <f>'TUSD BE'!$AI$53*'TUSD BF'!$AI$61</f>
        <v>0</v>
      </c>
      <c r="AJ53" s="13">
        <f ca="1">'TUSD BE'!$AJ$53*'TUSD BF'!$AJ$61</f>
        <v>0</v>
      </c>
      <c r="AK53" s="13">
        <f ca="1">'TUSD BE'!$AK$53*'TUSD BF'!$AK$61</f>
        <v>0</v>
      </c>
      <c r="AL53" s="13">
        <f ca="1">SUM($AH$53:$AK$53)</f>
        <v>0</v>
      </c>
      <c r="AM53" s="13">
        <f ca="1">SUMIF($L$4:$AL$4,"SUBTOTAL",$L$53:$AL$53)</f>
        <v>0</v>
      </c>
      <c r="AO53" s="20">
        <f ca="1">+'TUSD BE'!$T$53+'TUSD BE'!$AB$53+'TUSD BE'!$AD$53+'TUSD BE'!$AL$53</f>
        <v>256.82271346337706</v>
      </c>
      <c r="AP53" s="20">
        <f ca="1">+'TUSD BE'!$T$53+'TUSD BE'!$AB$53+'TUSD BE'!$AD$53+'TUSD BE'!$AL$53</f>
        <v>256.82271346337706</v>
      </c>
    </row>
    <row r="54" spans="1:42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>
        <f>'TUSD BE'!$L$54*'TUSD BF'!$L$61</f>
        <v>0</v>
      </c>
      <c r="M54" s="13">
        <f>'TUSD BE'!$M$54*'TUSD BF'!$M$61</f>
        <v>0</v>
      </c>
      <c r="N54" s="13">
        <f ca="1">'TUSD BE'!$N$54*'TUSD BF'!$N$61</f>
        <v>0</v>
      </c>
      <c r="O54" s="13">
        <f>'TUSD BE'!$O$54*'TUSD BF'!$O$61</f>
        <v>0</v>
      </c>
      <c r="P54" s="13">
        <f>'TUSD BE'!$P$54*'TUSD BF'!$P$61</f>
        <v>0</v>
      </c>
      <c r="Q54" s="13">
        <f>'TUSD BE'!$Q$54*'TUSD BF'!$Q$61</f>
        <v>0</v>
      </c>
      <c r="R54" s="13">
        <f>'TUSD BE'!$R$54*'TUSD BF'!$R$61</f>
        <v>0</v>
      </c>
      <c r="S54" s="13">
        <f>'TUSD BE'!$R$54*'TUSD BF'!$S$61</f>
        <v>0</v>
      </c>
      <c r="T54" s="13">
        <f ca="1">SUM($L$54:$S$54)</f>
        <v>0</v>
      </c>
      <c r="U54" s="13">
        <f>'TUSD BE'!$U$54*'TUSD BF'!$U$61</f>
        <v>0</v>
      </c>
      <c r="V54" s="13">
        <f>'TUSD BE'!$V$54*'TUSD BF'!$V$61</f>
        <v>0</v>
      </c>
      <c r="W54" s="13">
        <f>'TUSD BE'!$W$54*'TUSD BF'!$W$61</f>
        <v>0</v>
      </c>
      <c r="X54" s="13">
        <f>'TUSD BE'!$X$54*'TUSD BF'!$X$61</f>
        <v>0</v>
      </c>
      <c r="Y54" s="13">
        <f>'TUSD BE'!$Y$54*'TUSD BF'!$Y$61</f>
        <v>0</v>
      </c>
      <c r="Z54" s="13">
        <f>'TUSD BE'!$Z$54*'TUSD BF'!$Z$61</f>
        <v>0</v>
      </c>
      <c r="AA54" s="13">
        <f>'TUSD BE'!$AA$54*'TUSD BF'!$AA$61</f>
        <v>0</v>
      </c>
      <c r="AB54" s="13">
        <f>SUM($U$54:$AA$54)</f>
        <v>0</v>
      </c>
      <c r="AC54" s="13">
        <f>'TUSD BE'!$AC$54*'TUSD BF'!$AC$61</f>
        <v>0</v>
      </c>
      <c r="AD54" s="13">
        <f>SUM($AC$54:$AC$54)</f>
        <v>0</v>
      </c>
      <c r="AE54" s="13">
        <f ca="1">$AO$54*$AO$58</f>
        <v>0</v>
      </c>
      <c r="AF54" s="13">
        <f ca="1">$AP$54*$AP$58</f>
        <v>0</v>
      </c>
      <c r="AG54" s="13">
        <f ca="1">SUM($AE$54:$AF$54)</f>
        <v>0</v>
      </c>
      <c r="AH54" s="13">
        <f>'TUSD BE'!$AH$54*'TUSD BF'!$AH$61</f>
        <v>0</v>
      </c>
      <c r="AI54" s="13">
        <f>'TUSD BE'!$AI$54*'TUSD BF'!$AI$61</f>
        <v>0</v>
      </c>
      <c r="AJ54" s="13">
        <f ca="1">'TUSD BE'!$AJ$54*'TUSD BF'!$AJ$61</f>
        <v>0</v>
      </c>
      <c r="AK54" s="13">
        <f ca="1">'TUSD BE'!$AK$54*'TUSD BF'!$AK$61</f>
        <v>0</v>
      </c>
      <c r="AL54" s="13">
        <f ca="1">SUM($AH$54:$AK$54)</f>
        <v>0</v>
      </c>
      <c r="AM54" s="13">
        <f ca="1">SUMIF($L$4:$AL$4,"SUBTOTAL",$L$54:$AL$54)</f>
        <v>0</v>
      </c>
      <c r="AO54" s="20">
        <f ca="1">+'TUSD BE'!$T$54+'TUSD BE'!$AB$54+'TUSD BE'!$AD$54+'TUSD BE'!$AL$54</f>
        <v>280.1702328691386</v>
      </c>
      <c r="AP54" s="20">
        <f ca="1">+'TUSD BE'!$T$54+'TUSD BE'!$AB$54+'TUSD BE'!$AD$54+'TUSD BE'!$AL$54</f>
        <v>280.1702328691386</v>
      </c>
    </row>
    <row r="56" spans="1:42" ht="11.25" customHeight="1" x14ac:dyDescent="0.25">
      <c r="K56" s="16" t="s">
        <v>574</v>
      </c>
      <c r="L56" s="13">
        <f>SUMPRODUCT($I$5:$I54,$L$5:$L54)</f>
        <v>0</v>
      </c>
      <c r="M56" s="13">
        <f>SUMPRODUCT($I$5:$I54,$M$5:$M54)</f>
        <v>0</v>
      </c>
      <c r="N56" s="13">
        <f ca="1">SUMPRODUCT($I$5:$I54,$N$5:$N54)</f>
        <v>0</v>
      </c>
      <c r="O56" s="13">
        <f>SUMPRODUCT($I$5:$I54,$O$5:$O54)</f>
        <v>0</v>
      </c>
      <c r="P56" s="13">
        <f>SUMPRODUCT($I$5:$I54,$P$5:$P54)</f>
        <v>0</v>
      </c>
      <c r="Q56" s="13">
        <f>SUMPRODUCT($I$5:$I54,$Q$5:$Q54)</f>
        <v>0</v>
      </c>
      <c r="R56" s="13">
        <f>SUMPRODUCT($I$5:$I54,$R$5:$R54)</f>
        <v>0</v>
      </c>
      <c r="S56" s="13">
        <f>SUMPRODUCT($I$5:$I54,$S$5:$S54)</f>
        <v>0</v>
      </c>
      <c r="T56" s="13">
        <f ca="1">SUMPRODUCT($I$5:$I54,$T$5:$T54)</f>
        <v>0</v>
      </c>
      <c r="U56" s="13">
        <f>SUMPRODUCT($I$5:$I54,$U$5:$U54)</f>
        <v>0</v>
      </c>
      <c r="V56" s="13">
        <f>SUMPRODUCT($I$5:$I54,$V$5:$V54)</f>
        <v>0</v>
      </c>
      <c r="W56" s="13">
        <f>SUMPRODUCT($I$5:$I54,$W$5:$W54)</f>
        <v>0</v>
      </c>
      <c r="X56" s="13">
        <f>SUMPRODUCT($I$5:$I54,$X$5:$X54)</f>
        <v>0</v>
      </c>
      <c r="Y56" s="13">
        <f>SUMPRODUCT($I$5:$I54,$Y$5:$Y54)</f>
        <v>0</v>
      </c>
      <c r="Z56" s="13">
        <f>SUMPRODUCT($I$5:$I54,$Z$5:$Z54)</f>
        <v>0</v>
      </c>
      <c r="AA56" s="13">
        <f>SUMPRODUCT($I$5:$I54,$AA$5:$AA54)</f>
        <v>0</v>
      </c>
      <c r="AB56" s="13">
        <f>SUMPRODUCT($I$5:$I54,$AB$5:$AB54)</f>
        <v>0</v>
      </c>
      <c r="AC56" s="13">
        <f>SUMPRODUCT($I$5:$I54,$AC$5:$AC54)</f>
        <v>0</v>
      </c>
      <c r="AD56" s="13">
        <f>SUMPRODUCT($I$5:$I54,$AD$5:$AD54)</f>
        <v>0</v>
      </c>
      <c r="AE56" s="13">
        <f ca="1">SUMPRODUCT($I$5:$I54,$AE$5:$AE54)</f>
        <v>0</v>
      </c>
      <c r="AF56" s="13">
        <f ca="1">SUMPRODUCT($I$5:$I54,$AF$5:$AF54)</f>
        <v>0</v>
      </c>
      <c r="AG56" s="13">
        <f ca="1">SUMPRODUCT($I$5:$I54,$AG$5:$AG54)</f>
        <v>0</v>
      </c>
      <c r="AH56" s="13">
        <f>SUMPRODUCT($I$5:$I54,$AH$5:$AH54)</f>
        <v>0</v>
      </c>
      <c r="AI56" s="13">
        <f>SUMPRODUCT($I$5:$I54,$AI$5:$AI54)</f>
        <v>0</v>
      </c>
      <c r="AJ56" s="13">
        <f ca="1">SUMPRODUCT($I$5:$I54,$AJ$5:$AJ54)</f>
        <v>0</v>
      </c>
      <c r="AK56" s="13">
        <f ca="1">SUMPRODUCT($I$5:$I54,$AK$5:$AK54)</f>
        <v>0</v>
      </c>
      <c r="AL56" s="13">
        <f ca="1">SUMPRODUCT($I$5:$I54,$AL$5:$AL54)</f>
        <v>0</v>
      </c>
      <c r="AM56" s="13">
        <f ca="1">SUMPRODUCT($I$5:$I54,$AM$5:$AM54)</f>
        <v>0</v>
      </c>
      <c r="AO56" s="18">
        <f ca="1">SUMPRODUCT($I$5:$I54,$AO$5:$AO54)</f>
        <v>56646731.726721734</v>
      </c>
      <c r="AP56" s="18">
        <f ca="1">SUMPRODUCT($I$5:$I54,$AP$5:$AP54)</f>
        <v>59213922.30456771</v>
      </c>
    </row>
    <row r="57" spans="1:42" ht="11.25" customHeight="1" x14ac:dyDescent="0.25">
      <c r="K57" s="16" t="s">
        <v>506</v>
      </c>
      <c r="L57" s="13">
        <f>'TR TUSD'!$L$59</f>
        <v>0</v>
      </c>
      <c r="M57" s="13">
        <f>'TR TUSD'!$M$59</f>
        <v>138327.52127755724</v>
      </c>
      <c r="N57" s="13">
        <f>'TR TUSD'!$N$59</f>
        <v>0</v>
      </c>
      <c r="O57" s="13">
        <f>'TR TUSD'!$O$59</f>
        <v>0</v>
      </c>
      <c r="P57" s="13">
        <f>'TR TUSD'!$P$59</f>
        <v>0</v>
      </c>
      <c r="Q57" s="13">
        <f>'TR TUSD'!$Q$59</f>
        <v>11160366.718520008</v>
      </c>
      <c r="R57" s="13">
        <f>'TR TUSD'!$R$59</f>
        <v>1869898.6226700018</v>
      </c>
      <c r="S57" s="13">
        <f>'TR TUSD'!$S$59</f>
        <v>0</v>
      </c>
      <c r="T57" s="13">
        <f>'TR TUSD'!$T$59</f>
        <v>13168592.862467568</v>
      </c>
      <c r="U57" s="13">
        <f>'TR TUSD'!$U$59</f>
        <v>0</v>
      </c>
      <c r="V57" s="13">
        <f>'TR TUSD'!$V$59</f>
        <v>0</v>
      </c>
      <c r="W57" s="13">
        <f>'TR TUSD'!$W$59</f>
        <v>0</v>
      </c>
      <c r="X57" s="13">
        <f>'TR TUSD'!$X$59</f>
        <v>0</v>
      </c>
      <c r="Y57" s="13">
        <f>'TR TUSD'!$Y$59</f>
        <v>10332345.225399999</v>
      </c>
      <c r="Z57" s="13">
        <f>'TR TUSD'!$Z$59</f>
        <v>0</v>
      </c>
      <c r="AA57" s="13">
        <f>'TR TUSD'!$AA$59</f>
        <v>0</v>
      </c>
      <c r="AB57" s="13">
        <f>'TR TUSD'!$AB$59</f>
        <v>10332345.225399999</v>
      </c>
      <c r="AC57" s="13">
        <f>'TR TUSD'!$AC$59</f>
        <v>33091403.650000002</v>
      </c>
      <c r="AD57" s="13">
        <f>'TR TUSD'!$AD$59</f>
        <v>33091403.650000002</v>
      </c>
      <c r="AE57" s="13">
        <f>'TR TUSD'!$AE$59</f>
        <v>0</v>
      </c>
      <c r="AF57" s="13">
        <f>'TR TUSD'!$AF$59</f>
        <v>0</v>
      </c>
      <c r="AG57" s="13">
        <f>'TR TUSD'!$AG$59</f>
        <v>0</v>
      </c>
      <c r="AH57" s="13">
        <f>'TR TUSD'!$AH$59</f>
        <v>2551548.7992662448</v>
      </c>
      <c r="AI57" s="13">
        <f>'TR TUSD'!$AI$59</f>
        <v>70031.767433898334</v>
      </c>
      <c r="AJ57" s="13">
        <f>'TR TUSD'!$AJ$59</f>
        <v>0</v>
      </c>
      <c r="AK57" s="13">
        <f>'TR TUSD'!$AK$59</f>
        <v>0</v>
      </c>
      <c r="AL57" s="13">
        <f>'TR TUSD'!$AL$59</f>
        <v>2621580.5667001433</v>
      </c>
      <c r="AM57" s="13">
        <f>CUSTOS!$D$29</f>
        <v>59213922.30456771</v>
      </c>
      <c r="AO57" s="18">
        <f>$AE$59</f>
        <v>0</v>
      </c>
      <c r="AP57" s="18">
        <f>$AF$59</f>
        <v>0</v>
      </c>
    </row>
    <row r="58" spans="1:42" ht="11.25" customHeight="1" x14ac:dyDescent="0.25">
      <c r="K58" s="16" t="s">
        <v>507</v>
      </c>
      <c r="L58" s="13">
        <f>CUSTOS!$E$2</f>
        <v>0</v>
      </c>
      <c r="M58" s="13">
        <f>CUSTOS!$E$3</f>
        <v>4316.3568754170165</v>
      </c>
      <c r="N58" s="13">
        <f>CUSTOS!$E$4</f>
        <v>0</v>
      </c>
      <c r="O58" s="13">
        <f>CUSTOS!$E$5</f>
        <v>0</v>
      </c>
      <c r="P58" s="13">
        <f>CUSTOS!$E$6</f>
        <v>0</v>
      </c>
      <c r="Q58" s="13">
        <f>CUSTOS!$E$7</f>
        <v>292134.43826547445</v>
      </c>
      <c r="R58" s="13">
        <f>CUSTOS!$E$8</f>
        <v>46610.774725681258</v>
      </c>
      <c r="S58" s="13">
        <f>CUSTOS!$E$9</f>
        <v>0</v>
      </c>
      <c r="T58" s="13">
        <f>CUSTOS!$E$10</f>
        <v>343061.56986657274</v>
      </c>
      <c r="U58" s="13">
        <f>CUSTOS!$E$11</f>
        <v>0</v>
      </c>
      <c r="V58" s="13">
        <f>CUSTOS!$E$12</f>
        <v>0</v>
      </c>
      <c r="W58" s="13">
        <f>CUSTOS!$E$13</f>
        <v>0</v>
      </c>
      <c r="X58" s="13">
        <f>CUSTOS!$E$14</f>
        <v>0</v>
      </c>
      <c r="Y58" s="13">
        <f>CUSTOS!$E$15</f>
        <v>354650.42408493307</v>
      </c>
      <c r="Z58" s="13">
        <f>CUSTOS!$E$16</f>
        <v>0</v>
      </c>
      <c r="AA58" s="13">
        <f>CUSTOS!$E$17</f>
        <v>0</v>
      </c>
      <c r="AB58" s="13">
        <f>CUSTOS!$E$18</f>
        <v>354650.42408493307</v>
      </c>
      <c r="AC58" s="13">
        <f>CUSTOS!$E$19</f>
        <v>-10296897.942699337</v>
      </c>
      <c r="AD58" s="13">
        <f>CUSTOS!$E$20</f>
        <v>-10296897.942699337</v>
      </c>
      <c r="AE58" s="13">
        <f>CUSTOS!$E$21</f>
        <v>0</v>
      </c>
      <c r="AF58" s="13">
        <f>CUSTOS!$E$22</f>
        <v>0</v>
      </c>
      <c r="AG58" s="13">
        <f>CUSTOS!$E$23</f>
        <v>0</v>
      </c>
      <c r="AH58" s="13">
        <f>CUSTOS!$E$24</f>
        <v>-176827.84844471671</v>
      </c>
      <c r="AI58" s="13">
        <f>CUSTOS!$E$25</f>
        <v>-4853.3528975335275</v>
      </c>
      <c r="AJ58" s="13">
        <f>CUSTOS!$E$26</f>
        <v>0</v>
      </c>
      <c r="AK58" s="13">
        <f>CUSTOS!$E$27</f>
        <v>0</v>
      </c>
      <c r="AL58" s="13">
        <f>CUSTOS!$E$28</f>
        <v>-181681.20134225025</v>
      </c>
      <c r="AM58" s="13">
        <f>CUSTOS!$E$29</f>
        <v>-9780867.1500900835</v>
      </c>
      <c r="AO58" s="18">
        <f ca="1">IF(AO56&lt;&gt;0,AO57/AO56,0)</f>
        <v>0</v>
      </c>
      <c r="AP58" s="18">
        <f ca="1">IF(AP56&lt;&gt;0,AP57/AP56,0)</f>
        <v>0</v>
      </c>
    </row>
    <row r="59" spans="1:42" ht="11.25" customHeight="1" x14ac:dyDescent="0.25">
      <c r="K59" s="16" t="s">
        <v>508</v>
      </c>
      <c r="L59" s="13">
        <f>CUSTOS!$F$2</f>
        <v>0</v>
      </c>
      <c r="M59" s="13">
        <f>CUSTOS!$F$3</f>
        <v>0</v>
      </c>
      <c r="N59" s="13">
        <f>CUSTOS!$F$4</f>
        <v>0</v>
      </c>
      <c r="O59" s="13">
        <f>CUSTOS!$F$5</f>
        <v>0</v>
      </c>
      <c r="P59" s="13">
        <f>CUSTOS!$F$6</f>
        <v>0</v>
      </c>
      <c r="Q59" s="13">
        <f>CUSTOS!$F$7</f>
        <v>0</v>
      </c>
      <c r="R59" s="13">
        <f>CUSTOS!$F$8</f>
        <v>0</v>
      </c>
      <c r="S59" s="13">
        <f>CUSTOS!$F$9</f>
        <v>0</v>
      </c>
      <c r="T59" s="13">
        <f>CUSTOS!$F$10</f>
        <v>0</v>
      </c>
      <c r="U59" s="13">
        <f>CUSTOS!$F$11</f>
        <v>0</v>
      </c>
      <c r="V59" s="13">
        <f>CUSTOS!$F$12</f>
        <v>0</v>
      </c>
      <c r="W59" s="13">
        <f>CUSTOS!$F$13</f>
        <v>0</v>
      </c>
      <c r="X59" s="13">
        <f>CUSTOS!$F$14</f>
        <v>0</v>
      </c>
      <c r="Y59" s="13">
        <f>CUSTOS!$F$15</f>
        <v>0</v>
      </c>
      <c r="Z59" s="13">
        <f>CUSTOS!$F$16</f>
        <v>0</v>
      </c>
      <c r="AA59" s="13">
        <f>CUSTOS!$F$17</f>
        <v>0</v>
      </c>
      <c r="AB59" s="13">
        <f>CUSTOS!$F$18</f>
        <v>0</v>
      </c>
      <c r="AC59" s="13">
        <f>CUSTOS!$F$19</f>
        <v>0</v>
      </c>
      <c r="AD59" s="13">
        <f>CUSTOS!$F$20</f>
        <v>0</v>
      </c>
      <c r="AE59" s="13">
        <f>CUSTOS!$F$21</f>
        <v>0</v>
      </c>
      <c r="AF59" s="13">
        <f>CUSTOS!$F$22</f>
        <v>0</v>
      </c>
      <c r="AG59" s="13">
        <f>CUSTOS!$F$23</f>
        <v>0</v>
      </c>
      <c r="AH59" s="13">
        <f>CUSTOS!$F$24</f>
        <v>0</v>
      </c>
      <c r="AI59" s="13">
        <f>CUSTOS!$F$25</f>
        <v>0</v>
      </c>
      <c r="AJ59" s="13">
        <f>CUSTOS!$F$26</f>
        <v>0</v>
      </c>
      <c r="AK59" s="13">
        <f>CUSTOS!$F$27</f>
        <v>0</v>
      </c>
      <c r="AL59" s="13">
        <f>CUSTOS!$F$28</f>
        <v>0</v>
      </c>
      <c r="AM59" s="13">
        <f>CUSTOS!$F$29</f>
        <v>0</v>
      </c>
    </row>
    <row r="60" spans="1:42" ht="11.25" customHeight="1" x14ac:dyDescent="0.25">
      <c r="K60" s="16" t="s">
        <v>571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/>
      <c r="AC60" s="13">
        <v>0</v>
      </c>
      <c r="AD60" s="13"/>
      <c r="AE60" s="13">
        <v>0</v>
      </c>
      <c r="AF60" s="13">
        <v>0</v>
      </c>
      <c r="AG60" s="13"/>
      <c r="AH60" s="13">
        <v>0</v>
      </c>
      <c r="AI60" s="13">
        <v>0</v>
      </c>
      <c r="AJ60" s="13">
        <v>0</v>
      </c>
      <c r="AK60" s="13">
        <v>0</v>
      </c>
      <c r="AL60" s="13"/>
      <c r="AM60" s="13"/>
    </row>
  </sheetData>
  <mergeCells count="78">
    <mergeCell ref="A53:A54"/>
    <mergeCell ref="B53:B54"/>
    <mergeCell ref="C53:C54"/>
    <mergeCell ref="A48:A52"/>
    <mergeCell ref="B48:B50"/>
    <mergeCell ref="C48:C50"/>
    <mergeCell ref="D48:D50"/>
    <mergeCell ref="E48:E50"/>
    <mergeCell ref="F48:F50"/>
    <mergeCell ref="B41:B43"/>
    <mergeCell ref="C41:C43"/>
    <mergeCell ref="D41:D43"/>
    <mergeCell ref="E41:E43"/>
    <mergeCell ref="F41:F43"/>
    <mergeCell ref="B45:B47"/>
    <mergeCell ref="C45:C47"/>
    <mergeCell ref="C28:C32"/>
    <mergeCell ref="F33:F35"/>
    <mergeCell ref="B37:B39"/>
    <mergeCell ref="C37:C39"/>
    <mergeCell ref="D37:D39"/>
    <mergeCell ref="E37:E39"/>
    <mergeCell ref="F37:F39"/>
    <mergeCell ref="A33:A47"/>
    <mergeCell ref="B33:B35"/>
    <mergeCell ref="C33:C35"/>
    <mergeCell ref="D33:D35"/>
    <mergeCell ref="E33:E35"/>
    <mergeCell ref="F13:F15"/>
    <mergeCell ref="E16:E17"/>
    <mergeCell ref="A20:A32"/>
    <mergeCell ref="B20:B22"/>
    <mergeCell ref="C20:C22"/>
    <mergeCell ref="D20:D22"/>
    <mergeCell ref="E20:E22"/>
    <mergeCell ref="F16:F17"/>
    <mergeCell ref="A18:A19"/>
    <mergeCell ref="B18:B19"/>
    <mergeCell ref="C18:C19"/>
    <mergeCell ref="D18:D19"/>
    <mergeCell ref="F20:F22"/>
    <mergeCell ref="B23:B27"/>
    <mergeCell ref="C23:C27"/>
    <mergeCell ref="B28:B32"/>
    <mergeCell ref="J1:J4"/>
    <mergeCell ref="L1:AM1"/>
    <mergeCell ref="A1:A4"/>
    <mergeCell ref="C9:C11"/>
    <mergeCell ref="D9:D11"/>
    <mergeCell ref="E9:E11"/>
    <mergeCell ref="F9:F11"/>
    <mergeCell ref="F5:F7"/>
    <mergeCell ref="B9:B11"/>
    <mergeCell ref="G1:G4"/>
    <mergeCell ref="H1:H4"/>
    <mergeCell ref="I1:I4"/>
    <mergeCell ref="A5:A17"/>
    <mergeCell ref="B5:B8"/>
    <mergeCell ref="C5:C8"/>
    <mergeCell ref="D5:D8"/>
    <mergeCell ref="E5:E7"/>
    <mergeCell ref="B13:B17"/>
    <mergeCell ref="C13:C17"/>
    <mergeCell ref="D13:D17"/>
    <mergeCell ref="E13:E15"/>
    <mergeCell ref="AP1:AP4"/>
    <mergeCell ref="L2:AM2"/>
    <mergeCell ref="L3:T3"/>
    <mergeCell ref="U3:AB3"/>
    <mergeCell ref="AC3:AD3"/>
    <mergeCell ref="AE3:AG3"/>
    <mergeCell ref="AH3:AL3"/>
    <mergeCell ref="AM3:AM4"/>
    <mergeCell ref="B1:B4"/>
    <mergeCell ref="C1:C4"/>
    <mergeCell ref="D1:D4"/>
    <mergeCell ref="E1:E4"/>
    <mergeCell ref="F1:F4"/>
  </mergeCells>
  <conditionalFormatting sqref="L56">
    <cfRule type="cellIs" dxfId="916" priority="55" operator="notEqual">
      <formula>$L$59</formula>
    </cfRule>
    <cfRule type="cellIs" dxfId="915" priority="56" operator="equal">
      <formula>$L$59</formula>
    </cfRule>
  </conditionalFormatting>
  <conditionalFormatting sqref="M56">
    <cfRule type="cellIs" dxfId="914" priority="53" operator="notEqual">
      <formula>$M$59</formula>
    </cfRule>
    <cfRule type="cellIs" dxfId="913" priority="54" operator="equal">
      <formula>$M$59</formula>
    </cfRule>
  </conditionalFormatting>
  <conditionalFormatting sqref="N56">
    <cfRule type="cellIs" dxfId="912" priority="51" operator="notEqual">
      <formula>$N$59</formula>
    </cfRule>
    <cfRule type="cellIs" dxfId="911" priority="52" operator="equal">
      <formula>$N$59</formula>
    </cfRule>
  </conditionalFormatting>
  <conditionalFormatting sqref="O56">
    <cfRule type="cellIs" dxfId="910" priority="49" operator="notEqual">
      <formula>$O$59</formula>
    </cfRule>
    <cfRule type="cellIs" dxfId="909" priority="50" operator="equal">
      <formula>$O$59</formula>
    </cfRule>
  </conditionalFormatting>
  <conditionalFormatting sqref="P56">
    <cfRule type="cellIs" dxfId="908" priority="47" operator="notEqual">
      <formula>$P$59</formula>
    </cfRule>
    <cfRule type="cellIs" dxfId="907" priority="48" operator="equal">
      <formula>$P$59</formula>
    </cfRule>
  </conditionalFormatting>
  <conditionalFormatting sqref="Q56">
    <cfRule type="cellIs" dxfId="906" priority="45" operator="notEqual">
      <formula>$Q$59</formula>
    </cfRule>
    <cfRule type="cellIs" dxfId="905" priority="46" operator="equal">
      <formula>$Q$59</formula>
    </cfRule>
  </conditionalFormatting>
  <conditionalFormatting sqref="R56">
    <cfRule type="cellIs" dxfId="904" priority="43" operator="notEqual">
      <formula>$R$59</formula>
    </cfRule>
    <cfRule type="cellIs" dxfId="903" priority="44" operator="equal">
      <formula>$R$59</formula>
    </cfRule>
  </conditionalFormatting>
  <conditionalFormatting sqref="S56">
    <cfRule type="cellIs" dxfId="902" priority="41" operator="notEqual">
      <formula>$S$59</formula>
    </cfRule>
    <cfRule type="cellIs" dxfId="901" priority="42" operator="equal">
      <formula>$S$59</formula>
    </cfRule>
  </conditionalFormatting>
  <conditionalFormatting sqref="T56">
    <cfRule type="cellIs" dxfId="900" priority="39" operator="notEqual">
      <formula>$T$59</formula>
    </cfRule>
    <cfRule type="cellIs" dxfId="899" priority="40" operator="equal">
      <formula>$T$59</formula>
    </cfRule>
  </conditionalFormatting>
  <conditionalFormatting sqref="U56">
    <cfRule type="cellIs" dxfId="898" priority="37" operator="notEqual">
      <formula>$U$59</formula>
    </cfRule>
    <cfRule type="cellIs" dxfId="897" priority="38" operator="equal">
      <formula>$U$59</formula>
    </cfRule>
  </conditionalFormatting>
  <conditionalFormatting sqref="V56">
    <cfRule type="cellIs" dxfId="896" priority="35" operator="notEqual">
      <formula>$V$59</formula>
    </cfRule>
    <cfRule type="cellIs" dxfId="895" priority="36" operator="equal">
      <formula>$V$59</formula>
    </cfRule>
  </conditionalFormatting>
  <conditionalFormatting sqref="W56">
    <cfRule type="cellIs" dxfId="894" priority="33" operator="notEqual">
      <formula>$W$59</formula>
    </cfRule>
    <cfRule type="cellIs" dxfId="893" priority="34" operator="equal">
      <formula>$W$59</formula>
    </cfRule>
  </conditionalFormatting>
  <conditionalFormatting sqref="X56">
    <cfRule type="cellIs" dxfId="892" priority="31" operator="notEqual">
      <formula>$X$59</formula>
    </cfRule>
    <cfRule type="cellIs" dxfId="891" priority="32" operator="equal">
      <formula>$X$59</formula>
    </cfRule>
  </conditionalFormatting>
  <conditionalFormatting sqref="Y56">
    <cfRule type="cellIs" dxfId="890" priority="29" operator="notEqual">
      <formula>$Y$59</formula>
    </cfRule>
    <cfRule type="cellIs" dxfId="889" priority="30" operator="equal">
      <formula>$Y$59</formula>
    </cfRule>
  </conditionalFormatting>
  <conditionalFormatting sqref="Z56">
    <cfRule type="cellIs" dxfId="888" priority="27" operator="notEqual">
      <formula>$Z$59</formula>
    </cfRule>
    <cfRule type="cellIs" dxfId="887" priority="28" operator="equal">
      <formula>$Z$59</formula>
    </cfRule>
  </conditionalFormatting>
  <conditionalFormatting sqref="AA56">
    <cfRule type="cellIs" dxfId="886" priority="25" operator="notEqual">
      <formula>$AA$59</formula>
    </cfRule>
    <cfRule type="cellIs" dxfId="885" priority="26" operator="equal">
      <formula>$AA$59</formula>
    </cfRule>
  </conditionalFormatting>
  <conditionalFormatting sqref="AB56">
    <cfRule type="cellIs" dxfId="884" priority="23" operator="notEqual">
      <formula>$AB$59</formula>
    </cfRule>
    <cfRule type="cellIs" dxfId="883" priority="24" operator="equal">
      <formula>$AB$59</formula>
    </cfRule>
  </conditionalFormatting>
  <conditionalFormatting sqref="AC56">
    <cfRule type="cellIs" dxfId="882" priority="21" operator="notEqual">
      <formula>$AC$59</formula>
    </cfRule>
    <cfRule type="cellIs" dxfId="881" priority="22" operator="equal">
      <formula>$AC$59</formula>
    </cfRule>
  </conditionalFormatting>
  <conditionalFormatting sqref="AD56">
    <cfRule type="cellIs" dxfId="880" priority="19" operator="notEqual">
      <formula>$AD$59</formula>
    </cfRule>
    <cfRule type="cellIs" dxfId="879" priority="20" operator="equal">
      <formula>$AD$59</formula>
    </cfRule>
  </conditionalFormatting>
  <conditionalFormatting sqref="AE56">
    <cfRule type="cellIs" dxfId="878" priority="17" operator="notEqual">
      <formula>$AE$59</formula>
    </cfRule>
    <cfRule type="cellIs" dxfId="877" priority="18" operator="equal">
      <formula>$AE$59</formula>
    </cfRule>
  </conditionalFormatting>
  <conditionalFormatting sqref="AF56">
    <cfRule type="cellIs" dxfId="876" priority="16" operator="equal">
      <formula>$AF$59</formula>
    </cfRule>
  </conditionalFormatting>
  <conditionalFormatting sqref="AF56">
    <cfRule type="cellIs" dxfId="875" priority="15" operator="notEqual">
      <formula>$AF$59</formula>
    </cfRule>
  </conditionalFormatting>
  <conditionalFormatting sqref="AG56">
    <cfRule type="cellIs" dxfId="874" priority="14" operator="equal">
      <formula>$AG$59</formula>
    </cfRule>
  </conditionalFormatting>
  <conditionalFormatting sqref="AG56">
    <cfRule type="cellIs" dxfId="873" priority="13" operator="notEqual">
      <formula>$AG$59</formula>
    </cfRule>
  </conditionalFormatting>
  <conditionalFormatting sqref="AH56">
    <cfRule type="cellIs" dxfId="872" priority="12" operator="equal">
      <formula>$AH$59</formula>
    </cfRule>
  </conditionalFormatting>
  <conditionalFormatting sqref="AH56">
    <cfRule type="cellIs" dxfId="871" priority="11" operator="notEqual">
      <formula>$AH$59</formula>
    </cfRule>
  </conditionalFormatting>
  <conditionalFormatting sqref="AI56">
    <cfRule type="cellIs" dxfId="870" priority="10" operator="equal">
      <formula>$AI$59</formula>
    </cfRule>
  </conditionalFormatting>
  <conditionalFormatting sqref="AI56">
    <cfRule type="cellIs" dxfId="869" priority="9" operator="notEqual">
      <formula>$AI$59</formula>
    </cfRule>
  </conditionalFormatting>
  <conditionalFormatting sqref="AJ56">
    <cfRule type="cellIs" dxfId="868" priority="8" operator="equal">
      <formula>$AJ$59</formula>
    </cfRule>
  </conditionalFormatting>
  <conditionalFormatting sqref="AJ56">
    <cfRule type="cellIs" dxfId="867" priority="7" operator="notEqual">
      <formula>$AJ$59</formula>
    </cfRule>
  </conditionalFormatting>
  <conditionalFormatting sqref="AK56">
    <cfRule type="cellIs" dxfId="866" priority="6" operator="equal">
      <formula>$AK$59</formula>
    </cfRule>
  </conditionalFormatting>
  <conditionalFormatting sqref="AK56">
    <cfRule type="cellIs" dxfId="865" priority="5" operator="notEqual">
      <formula>$AK$59</formula>
    </cfRule>
  </conditionalFormatting>
  <conditionalFormatting sqref="AL56">
    <cfRule type="cellIs" dxfId="864" priority="4" operator="equal">
      <formula>$AL$59</formula>
    </cfRule>
  </conditionalFormatting>
  <conditionalFormatting sqref="AL56">
    <cfRule type="cellIs" dxfId="863" priority="3" operator="notEqual">
      <formula>$AL$59</formula>
    </cfRule>
  </conditionalFormatting>
  <conditionalFormatting sqref="AM56">
    <cfRule type="cellIs" dxfId="862" priority="2" operator="equal">
      <formula>$AM$59</formula>
    </cfRule>
  </conditionalFormatting>
  <conditionalFormatting sqref="AM56">
    <cfRule type="cellIs" dxfId="861" priority="1" operator="notEqual">
      <formula>$AM$59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5F24-62EB-40AF-9485-145C1372D06A}">
  <sheetPr codeName="Planilha12"/>
  <dimension ref="A1:AB52"/>
  <sheetViews>
    <sheetView showGridLines="0" workbookViewId="0">
      <selection activeCell="K46" sqref="K46:AB52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8" t="s">
        <v>72</v>
      </c>
      <c r="B1" s="108" t="s">
        <v>73</v>
      </c>
      <c r="C1" s="108" t="s">
        <v>74</v>
      </c>
      <c r="D1" s="108" t="s">
        <v>75</v>
      </c>
      <c r="E1" s="108" t="s">
        <v>76</v>
      </c>
      <c r="F1" s="108" t="s">
        <v>15</v>
      </c>
      <c r="G1" s="108" t="s">
        <v>78</v>
      </c>
      <c r="H1" s="108" t="s">
        <v>79</v>
      </c>
      <c r="I1" s="108" t="s">
        <v>565</v>
      </c>
      <c r="J1" s="91"/>
      <c r="L1" s="106" t="s">
        <v>586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</row>
    <row r="2" spans="1:28" ht="11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91"/>
      <c r="L2" s="106" t="s">
        <v>492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8" ht="11.2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91"/>
      <c r="L3" s="106" t="s">
        <v>465</v>
      </c>
      <c r="M3" s="106"/>
      <c r="N3" s="106"/>
      <c r="O3" s="106"/>
      <c r="P3" s="106"/>
      <c r="Q3" s="106"/>
      <c r="R3" s="106" t="s">
        <v>496</v>
      </c>
      <c r="S3" s="106"/>
      <c r="T3" s="106" t="s">
        <v>474</v>
      </c>
      <c r="U3" s="106"/>
      <c r="V3" s="106"/>
      <c r="W3" s="106"/>
      <c r="X3" s="106" t="s">
        <v>484</v>
      </c>
      <c r="Y3" s="106"/>
      <c r="Z3" s="106" t="s">
        <v>487</v>
      </c>
      <c r="AA3" s="106"/>
      <c r="AB3" s="106" t="s">
        <v>473</v>
      </c>
    </row>
    <row r="4" spans="1:28" ht="11.2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  <c r="J4" s="91"/>
      <c r="L4" s="24" t="s">
        <v>467</v>
      </c>
      <c r="M4" s="24" t="s">
        <v>493</v>
      </c>
      <c r="N4" s="24" t="s">
        <v>494</v>
      </c>
      <c r="O4" s="24" t="s">
        <v>553</v>
      </c>
      <c r="P4" s="24" t="s">
        <v>495</v>
      </c>
      <c r="Q4" s="24" t="s">
        <v>473</v>
      </c>
      <c r="R4" s="24" t="s">
        <v>497</v>
      </c>
      <c r="S4" s="24" t="s">
        <v>473</v>
      </c>
      <c r="T4" s="24" t="s">
        <v>498</v>
      </c>
      <c r="U4" s="24" t="s">
        <v>499</v>
      </c>
      <c r="V4" s="24" t="s">
        <v>500</v>
      </c>
      <c r="W4" s="24" t="s">
        <v>473</v>
      </c>
      <c r="X4" s="24" t="s">
        <v>485</v>
      </c>
      <c r="Y4" s="24" t="s">
        <v>473</v>
      </c>
      <c r="Z4" s="24" t="s">
        <v>501</v>
      </c>
      <c r="AA4" s="24" t="s">
        <v>473</v>
      </c>
      <c r="AB4" s="107"/>
    </row>
    <row r="5" spans="1:28" ht="11.25" customHeight="1" x14ac:dyDescent="0.25">
      <c r="A5" s="109" t="s">
        <v>35</v>
      </c>
      <c r="B5" s="109" t="s">
        <v>81</v>
      </c>
      <c r="C5" s="109" t="s">
        <v>25</v>
      </c>
      <c r="D5" s="109" t="s">
        <v>25</v>
      </c>
      <c r="E5" s="109" t="s">
        <v>25</v>
      </c>
      <c r="F5" s="109" t="s">
        <v>25</v>
      </c>
      <c r="G5" s="23" t="s">
        <v>83</v>
      </c>
      <c r="H5" s="23" t="s">
        <v>82</v>
      </c>
      <c r="I5" s="23">
        <f>'MERCADO TE'!$U$2</f>
        <v>3293.4549999999999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09"/>
      <c r="B6" s="109"/>
      <c r="C6" s="109"/>
      <c r="D6" s="109"/>
      <c r="E6" s="109"/>
      <c r="F6" s="109"/>
      <c r="G6" s="23" t="s">
        <v>84</v>
      </c>
      <c r="H6" s="23" t="s">
        <v>82</v>
      </c>
      <c r="I6" s="23">
        <f>'MERCADO TE'!$U$3</f>
        <v>43158.441999999995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09"/>
      <c r="B7" s="22" t="s">
        <v>85</v>
      </c>
      <c r="C7" s="22" t="s">
        <v>25</v>
      </c>
      <c r="D7" s="22" t="s">
        <v>25</v>
      </c>
      <c r="E7" s="22" t="s">
        <v>86</v>
      </c>
      <c r="F7" s="22" t="s">
        <v>25</v>
      </c>
      <c r="G7" s="23" t="s">
        <v>87</v>
      </c>
      <c r="H7" s="23" t="s">
        <v>82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09"/>
      <c r="B8" s="22" t="s">
        <v>91</v>
      </c>
      <c r="C8" s="22" t="s">
        <v>25</v>
      </c>
      <c r="D8" s="22" t="s">
        <v>25</v>
      </c>
      <c r="E8" s="22" t="s">
        <v>86</v>
      </c>
      <c r="F8" s="22" t="s">
        <v>25</v>
      </c>
      <c r="G8" s="23" t="s">
        <v>87</v>
      </c>
      <c r="H8" s="23" t="s">
        <v>82</v>
      </c>
      <c r="I8" s="23">
        <f>'MERCADO TE'!$U$5</f>
        <v>13846.997000000001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09"/>
      <c r="B9" s="22" t="s">
        <v>85</v>
      </c>
      <c r="C9" s="22" t="s">
        <v>25</v>
      </c>
      <c r="D9" s="22" t="s">
        <v>25</v>
      </c>
      <c r="E9" s="22" t="s">
        <v>25</v>
      </c>
      <c r="F9" s="22" t="s">
        <v>25</v>
      </c>
      <c r="G9" s="23" t="s">
        <v>87</v>
      </c>
      <c r="H9" s="23" t="s">
        <v>82</v>
      </c>
      <c r="I9" s="23">
        <f>'MERCADO TE'!$U$6</f>
        <v>0</v>
      </c>
      <c r="J9" s="15"/>
      <c r="L9" s="20">
        <v>1</v>
      </c>
      <c r="M9" s="20"/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/>
      <c r="AA9" s="20"/>
      <c r="AB9" s="20"/>
    </row>
    <row r="10" spans="1:28" ht="11.25" customHeight="1" x14ac:dyDescent="0.25">
      <c r="A10" s="109" t="s">
        <v>22</v>
      </c>
      <c r="B10" s="109" t="s">
        <v>81</v>
      </c>
      <c r="C10" s="109" t="s">
        <v>24</v>
      </c>
      <c r="D10" s="109" t="s">
        <v>24</v>
      </c>
      <c r="E10" s="109" t="s">
        <v>25</v>
      </c>
      <c r="F10" s="109" t="s">
        <v>25</v>
      </c>
      <c r="G10" s="23" t="s">
        <v>83</v>
      </c>
      <c r="H10" s="23" t="s">
        <v>82</v>
      </c>
      <c r="I10" s="23">
        <f>'MERCADO TE'!$U$7</f>
        <v>0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09"/>
      <c r="B11" s="109"/>
      <c r="C11" s="109"/>
      <c r="D11" s="109"/>
      <c r="E11" s="109"/>
      <c r="F11" s="109"/>
      <c r="G11" s="23" t="s">
        <v>95</v>
      </c>
      <c r="H11" s="23" t="s">
        <v>82</v>
      </c>
      <c r="I11" s="23">
        <f>'MERCADO TE'!$U$8</f>
        <v>0</v>
      </c>
      <c r="J11" s="15"/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</v>
      </c>
      <c r="S11" s="20"/>
      <c r="T11" s="20">
        <v>1</v>
      </c>
      <c r="U11" s="20">
        <v>1</v>
      </c>
      <c r="V11" s="20">
        <v>1</v>
      </c>
      <c r="W11" s="20"/>
      <c r="X11" s="20"/>
      <c r="Y11" s="20"/>
      <c r="Z11" s="20">
        <v>1</v>
      </c>
      <c r="AA11" s="20"/>
      <c r="AB11" s="20"/>
    </row>
    <row r="12" spans="1:28" ht="11.25" customHeight="1" x14ac:dyDescent="0.25">
      <c r="A12" s="109"/>
      <c r="B12" s="109"/>
      <c r="C12" s="109"/>
      <c r="D12" s="109"/>
      <c r="E12" s="109"/>
      <c r="F12" s="109"/>
      <c r="G12" s="23" t="s">
        <v>84</v>
      </c>
      <c r="H12" s="23" t="s">
        <v>82</v>
      </c>
      <c r="I12" s="23">
        <f>'MERCADO TE'!$U$9</f>
        <v>0</v>
      </c>
      <c r="J12" s="15"/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/>
      <c r="R12" s="20">
        <v>1</v>
      </c>
      <c r="S12" s="20"/>
      <c r="T12" s="20">
        <v>1</v>
      </c>
      <c r="U12" s="20">
        <v>1</v>
      </c>
      <c r="V12" s="20">
        <v>1</v>
      </c>
      <c r="W12" s="20"/>
      <c r="X12" s="20"/>
      <c r="Y12" s="20"/>
      <c r="Z12" s="20">
        <v>1</v>
      </c>
      <c r="AA12" s="20"/>
      <c r="AB12" s="20"/>
    </row>
    <row r="13" spans="1:28" ht="11.25" customHeight="1" x14ac:dyDescent="0.25">
      <c r="A13" s="109"/>
      <c r="B13" s="109" t="s">
        <v>96</v>
      </c>
      <c r="C13" s="109" t="s">
        <v>24</v>
      </c>
      <c r="D13" s="22" t="s">
        <v>24</v>
      </c>
      <c r="E13" s="22" t="s">
        <v>25</v>
      </c>
      <c r="F13" s="22" t="s">
        <v>25</v>
      </c>
      <c r="G13" s="23" t="s">
        <v>87</v>
      </c>
      <c r="H13" s="23" t="s">
        <v>82</v>
      </c>
      <c r="I13" s="23">
        <f>'MERCADO TE'!$U$10</f>
        <v>33611.357000000004</v>
      </c>
      <c r="J13" s="15"/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/>
      <c r="R13" s="20">
        <v>1</v>
      </c>
      <c r="S13" s="20"/>
      <c r="T13" s="20">
        <v>1</v>
      </c>
      <c r="U13" s="20">
        <v>1</v>
      </c>
      <c r="V13" s="20">
        <v>1</v>
      </c>
      <c r="W13" s="20"/>
      <c r="X13" s="20"/>
      <c r="Y13" s="20"/>
      <c r="Z13" s="20">
        <v>1</v>
      </c>
      <c r="AA13" s="20"/>
      <c r="AB13" s="20"/>
    </row>
    <row r="14" spans="1:28" ht="11.25" customHeight="1" x14ac:dyDescent="0.25">
      <c r="A14" s="109"/>
      <c r="B14" s="109"/>
      <c r="C14" s="109"/>
      <c r="D14" s="22" t="s">
        <v>29</v>
      </c>
      <c r="E14" s="22" t="s">
        <v>25</v>
      </c>
      <c r="F14" s="22" t="s">
        <v>25</v>
      </c>
      <c r="G14" s="23" t="s">
        <v>87</v>
      </c>
      <c r="H14" s="23" t="s">
        <v>82</v>
      </c>
      <c r="I14" s="23">
        <f>'MERCADO TE'!$U$11</f>
        <v>174.63</v>
      </c>
      <c r="J14" s="15"/>
      <c r="L14" s="20">
        <f>1 - CUSTOS!$M$24</f>
        <v>1</v>
      </c>
      <c r="M14" s="20">
        <f>1 - CUSTOS!$M$24</f>
        <v>1</v>
      </c>
      <c r="N14" s="20">
        <f>1 - CUSTOS!$M$24</f>
        <v>1</v>
      </c>
      <c r="O14" s="20">
        <f>1 - CUSTOS!$M$24</f>
        <v>1</v>
      </c>
      <c r="P14" s="20">
        <f>1 - CUSTOS!$M$24</f>
        <v>1</v>
      </c>
      <c r="Q14" s="20"/>
      <c r="R14" s="20">
        <f>(1 - CUSTOS!$M$24)*1</f>
        <v>1</v>
      </c>
      <c r="S14" s="20"/>
      <c r="T14" s="20">
        <f>1 - CUSTOS!$M$24</f>
        <v>1</v>
      </c>
      <c r="U14" s="20">
        <f>1 - CUSTOS!$M$24</f>
        <v>1</v>
      </c>
      <c r="V14" s="20">
        <f>1 - CUSTOS!$M$24</f>
        <v>1</v>
      </c>
      <c r="W14" s="20"/>
      <c r="X14" s="20"/>
      <c r="Y14" s="20"/>
      <c r="Z14" s="20">
        <f>1 - CUSTOS!$M$24</f>
        <v>1</v>
      </c>
      <c r="AA14" s="20"/>
      <c r="AB14" s="20"/>
    </row>
    <row r="15" spans="1:28" ht="11.25" customHeight="1" x14ac:dyDescent="0.25">
      <c r="A15" s="109"/>
      <c r="B15" s="109"/>
      <c r="C15" s="109"/>
      <c r="D15" s="22" t="s">
        <v>30</v>
      </c>
      <c r="E15" s="22" t="s">
        <v>25</v>
      </c>
      <c r="F15" s="22" t="s">
        <v>25</v>
      </c>
      <c r="G15" s="23" t="s">
        <v>87</v>
      </c>
      <c r="H15" s="23" t="s">
        <v>82</v>
      </c>
      <c r="I15" s="23">
        <f>'MERCADO TE'!$U$12</f>
        <v>381.96100000000001</v>
      </c>
      <c r="J15" s="15"/>
      <c r="L15" s="20">
        <f>1 - CUSTOS!$M$25</f>
        <v>1</v>
      </c>
      <c r="M15" s="20">
        <f>1 - CUSTOS!$M$25</f>
        <v>1</v>
      </c>
      <c r="N15" s="20">
        <f>1 - CUSTOS!$M$25</f>
        <v>1</v>
      </c>
      <c r="O15" s="20">
        <f>1 - CUSTOS!$M$25</f>
        <v>1</v>
      </c>
      <c r="P15" s="20">
        <f>1 - CUSTOS!$M$25</f>
        <v>1</v>
      </c>
      <c r="Q15" s="20"/>
      <c r="R15" s="20">
        <f>(1 - CUSTOS!$M$25)*1</f>
        <v>1</v>
      </c>
      <c r="S15" s="20"/>
      <c r="T15" s="20">
        <f>1 - CUSTOS!$M$25</f>
        <v>1</v>
      </c>
      <c r="U15" s="20">
        <f>1 - CUSTOS!$M$25</f>
        <v>1</v>
      </c>
      <c r="V15" s="20">
        <f>1 - CUSTOS!$M$25</f>
        <v>1</v>
      </c>
      <c r="W15" s="20"/>
      <c r="X15" s="20"/>
      <c r="Y15" s="20"/>
      <c r="Z15" s="20">
        <f>1 - CUSTOS!$M$25</f>
        <v>1</v>
      </c>
      <c r="AA15" s="20"/>
      <c r="AB15" s="20"/>
    </row>
    <row r="16" spans="1:28" ht="11.25" customHeight="1" x14ac:dyDescent="0.25">
      <c r="A16" s="109"/>
      <c r="B16" s="109"/>
      <c r="C16" s="109"/>
      <c r="D16" s="22" t="s">
        <v>31</v>
      </c>
      <c r="E16" s="22" t="s">
        <v>25</v>
      </c>
      <c r="F16" s="22" t="s">
        <v>25</v>
      </c>
      <c r="G16" s="23" t="s">
        <v>87</v>
      </c>
      <c r="H16" s="23" t="s">
        <v>82</v>
      </c>
      <c r="I16" s="23">
        <f>'MERCADO TE'!$U$13</f>
        <v>465.60300000000001</v>
      </c>
      <c r="J16" s="15"/>
      <c r="L16" s="20">
        <f>1 - CUSTOS!$M$26</f>
        <v>1</v>
      </c>
      <c r="M16" s="20">
        <f>1 - CUSTOS!$M$26</f>
        <v>1</v>
      </c>
      <c r="N16" s="20">
        <f>1 - CUSTOS!$M$26</f>
        <v>1</v>
      </c>
      <c r="O16" s="20">
        <f>1 - CUSTOS!$M$26</f>
        <v>1</v>
      </c>
      <c r="P16" s="20">
        <f>1 - CUSTOS!$M$26</f>
        <v>1</v>
      </c>
      <c r="Q16" s="20"/>
      <c r="R16" s="20">
        <f>(1 - CUSTOS!$M$26)*1</f>
        <v>1</v>
      </c>
      <c r="S16" s="20"/>
      <c r="T16" s="20">
        <f>1 - CUSTOS!$M$26</f>
        <v>1</v>
      </c>
      <c r="U16" s="20">
        <f>1 - CUSTOS!$M$26</f>
        <v>1</v>
      </c>
      <c r="V16" s="20">
        <f>1 - CUSTOS!$M$26</f>
        <v>1</v>
      </c>
      <c r="W16" s="20"/>
      <c r="X16" s="20"/>
      <c r="Y16" s="20"/>
      <c r="Z16" s="20">
        <f>1 - CUSTOS!$M$26</f>
        <v>1</v>
      </c>
      <c r="AA16" s="20"/>
      <c r="AB16" s="20"/>
    </row>
    <row r="17" spans="1:28" ht="11.25" customHeight="1" x14ac:dyDescent="0.25">
      <c r="A17" s="109"/>
      <c r="B17" s="109"/>
      <c r="C17" s="109"/>
      <c r="D17" s="22" t="s">
        <v>32</v>
      </c>
      <c r="E17" s="22" t="s">
        <v>25</v>
      </c>
      <c r="F17" s="22" t="s">
        <v>25</v>
      </c>
      <c r="G17" s="23" t="s">
        <v>87</v>
      </c>
      <c r="H17" s="23" t="s">
        <v>82</v>
      </c>
      <c r="I17" s="23">
        <f>'MERCADO TE'!$U$14</f>
        <v>317.14700000000005</v>
      </c>
      <c r="J17" s="15"/>
      <c r="L17" s="20">
        <f>1 - CUSTOS!$M$27</f>
        <v>1</v>
      </c>
      <c r="M17" s="20">
        <f>1 - CUSTOS!$M$27</f>
        <v>1</v>
      </c>
      <c r="N17" s="20">
        <f>1 - CUSTOS!$M$27</f>
        <v>1</v>
      </c>
      <c r="O17" s="20">
        <f>1 - CUSTOS!$M$27</f>
        <v>1</v>
      </c>
      <c r="P17" s="20">
        <f>1 - CUSTOS!$M$27</f>
        <v>1</v>
      </c>
      <c r="Q17" s="20"/>
      <c r="R17" s="20">
        <f>(1 - CUSTOS!$M$27)*1</f>
        <v>1</v>
      </c>
      <c r="S17" s="20"/>
      <c r="T17" s="20">
        <f>1 - CUSTOS!$M$27</f>
        <v>1</v>
      </c>
      <c r="U17" s="20">
        <f>1 - CUSTOS!$M$27</f>
        <v>1</v>
      </c>
      <c r="V17" s="20">
        <f>1 - CUSTOS!$M$27</f>
        <v>1</v>
      </c>
      <c r="W17" s="20"/>
      <c r="X17" s="20"/>
      <c r="Y17" s="20"/>
      <c r="Z17" s="20">
        <f>1 - CUSTOS!$M$27</f>
        <v>1</v>
      </c>
      <c r="AA17" s="20"/>
      <c r="AB17" s="20"/>
    </row>
    <row r="18" spans="1:28" ht="11.25" customHeight="1" x14ac:dyDescent="0.25">
      <c r="A18" s="109"/>
      <c r="B18" s="109" t="s">
        <v>98</v>
      </c>
      <c r="C18" s="109" t="s">
        <v>24</v>
      </c>
      <c r="D18" s="22" t="s">
        <v>24</v>
      </c>
      <c r="E18" s="22" t="s">
        <v>25</v>
      </c>
      <c r="F18" s="22" t="s">
        <v>25</v>
      </c>
      <c r="G18" s="23" t="s">
        <v>87</v>
      </c>
      <c r="H18" s="23" t="s">
        <v>82</v>
      </c>
      <c r="I18" s="23">
        <f>'MERCADO TE'!$U$15</f>
        <v>0</v>
      </c>
      <c r="J18" s="15"/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/>
      <c r="R18" s="20">
        <v>1</v>
      </c>
      <c r="S18" s="20"/>
      <c r="T18" s="20">
        <v>1</v>
      </c>
      <c r="U18" s="20">
        <v>1</v>
      </c>
      <c r="V18" s="20">
        <v>1</v>
      </c>
      <c r="W18" s="20"/>
      <c r="X18" s="20"/>
      <c r="Y18" s="20"/>
      <c r="Z18" s="20">
        <v>1</v>
      </c>
      <c r="AA18" s="20"/>
      <c r="AB18" s="20"/>
    </row>
    <row r="19" spans="1:28" ht="11.25" customHeight="1" x14ac:dyDescent="0.25">
      <c r="A19" s="109"/>
      <c r="B19" s="109"/>
      <c r="C19" s="109"/>
      <c r="D19" s="22" t="s">
        <v>29</v>
      </c>
      <c r="E19" s="22" t="s">
        <v>25</v>
      </c>
      <c r="F19" s="22" t="s">
        <v>25</v>
      </c>
      <c r="G19" s="23" t="s">
        <v>87</v>
      </c>
      <c r="H19" s="23" t="s">
        <v>82</v>
      </c>
      <c r="I19" s="23">
        <f>'MERCADO TE'!$U$16</f>
        <v>0</v>
      </c>
      <c r="J19" s="15"/>
      <c r="L19" s="20">
        <f>1 - CUSTOS!$M$24</f>
        <v>1</v>
      </c>
      <c r="M19" s="20">
        <f>1 - CUSTOS!$M$24</f>
        <v>1</v>
      </c>
      <c r="N19" s="20">
        <f>1 - CUSTOS!$M$24</f>
        <v>1</v>
      </c>
      <c r="O19" s="20">
        <f>1 - CUSTOS!$M$24</f>
        <v>1</v>
      </c>
      <c r="P19" s="20">
        <f>1 - CUSTOS!$M$24</f>
        <v>1</v>
      </c>
      <c r="Q19" s="20"/>
      <c r="R19" s="20">
        <f>(1 - CUSTOS!$M$24)*1</f>
        <v>1</v>
      </c>
      <c r="S19" s="20"/>
      <c r="T19" s="20">
        <f>1 - CUSTOS!$M$24</f>
        <v>1</v>
      </c>
      <c r="U19" s="20">
        <f>1 - CUSTOS!$M$24</f>
        <v>1</v>
      </c>
      <c r="V19" s="20">
        <f>1 - CUSTOS!$M$24</f>
        <v>1</v>
      </c>
      <c r="W19" s="20"/>
      <c r="X19" s="20"/>
      <c r="Y19" s="20"/>
      <c r="Z19" s="20">
        <f>1 - CUSTOS!$M$24</f>
        <v>1</v>
      </c>
      <c r="AA19" s="20"/>
      <c r="AB19" s="20"/>
    </row>
    <row r="20" spans="1:28" ht="11.25" customHeight="1" x14ac:dyDescent="0.25">
      <c r="A20" s="109"/>
      <c r="B20" s="109"/>
      <c r="C20" s="109"/>
      <c r="D20" s="22" t="s">
        <v>30</v>
      </c>
      <c r="E20" s="22" t="s">
        <v>25</v>
      </c>
      <c r="F20" s="22" t="s">
        <v>25</v>
      </c>
      <c r="G20" s="23" t="s">
        <v>87</v>
      </c>
      <c r="H20" s="23" t="s">
        <v>82</v>
      </c>
      <c r="I20" s="23">
        <f>'MERCADO TE'!$U$17</f>
        <v>0</v>
      </c>
      <c r="J20" s="15"/>
      <c r="L20" s="20">
        <f>1 - CUSTOS!$M$25</f>
        <v>1</v>
      </c>
      <c r="M20" s="20">
        <f>1 - CUSTOS!$M$25</f>
        <v>1</v>
      </c>
      <c r="N20" s="20">
        <f>1 - CUSTOS!$M$25</f>
        <v>1</v>
      </c>
      <c r="O20" s="20">
        <f>1 - CUSTOS!$M$25</f>
        <v>1</v>
      </c>
      <c r="P20" s="20">
        <f>1 - CUSTOS!$M$25</f>
        <v>1</v>
      </c>
      <c r="Q20" s="20"/>
      <c r="R20" s="20">
        <f>(1 - CUSTOS!$M$25)*1</f>
        <v>1</v>
      </c>
      <c r="S20" s="20"/>
      <c r="T20" s="20">
        <f>1 - CUSTOS!$M$25</f>
        <v>1</v>
      </c>
      <c r="U20" s="20">
        <f>1 - CUSTOS!$M$25</f>
        <v>1</v>
      </c>
      <c r="V20" s="20">
        <f>1 - CUSTOS!$M$25</f>
        <v>1</v>
      </c>
      <c r="W20" s="20"/>
      <c r="X20" s="20"/>
      <c r="Y20" s="20"/>
      <c r="Z20" s="20">
        <f>1 - CUSTOS!$M$25</f>
        <v>1</v>
      </c>
      <c r="AA20" s="20"/>
      <c r="AB20" s="20"/>
    </row>
    <row r="21" spans="1:28" ht="11.25" customHeight="1" x14ac:dyDescent="0.25">
      <c r="A21" s="109"/>
      <c r="B21" s="109"/>
      <c r="C21" s="109"/>
      <c r="D21" s="22" t="s">
        <v>31</v>
      </c>
      <c r="E21" s="22" t="s">
        <v>25</v>
      </c>
      <c r="F21" s="22" t="s">
        <v>25</v>
      </c>
      <c r="G21" s="23" t="s">
        <v>87</v>
      </c>
      <c r="H21" s="23" t="s">
        <v>82</v>
      </c>
      <c r="I21" s="23">
        <f>'MERCADO TE'!$U$18</f>
        <v>0</v>
      </c>
      <c r="J21" s="15"/>
      <c r="L21" s="20">
        <f>1 - CUSTOS!$M$26</f>
        <v>1</v>
      </c>
      <c r="M21" s="20">
        <f>1 - CUSTOS!$M$26</f>
        <v>1</v>
      </c>
      <c r="N21" s="20">
        <f>1 - CUSTOS!$M$26</f>
        <v>1</v>
      </c>
      <c r="O21" s="20">
        <f>1 - CUSTOS!$M$26</f>
        <v>1</v>
      </c>
      <c r="P21" s="20">
        <f>1 - CUSTOS!$M$26</f>
        <v>1</v>
      </c>
      <c r="Q21" s="20"/>
      <c r="R21" s="20">
        <f>(1 - CUSTOS!$M$26)*1</f>
        <v>1</v>
      </c>
      <c r="S21" s="20"/>
      <c r="T21" s="20">
        <f>1 - CUSTOS!$M$26</f>
        <v>1</v>
      </c>
      <c r="U21" s="20">
        <f>1 - CUSTOS!$M$26</f>
        <v>1</v>
      </c>
      <c r="V21" s="20">
        <f>1 - CUSTOS!$M$26</f>
        <v>1</v>
      </c>
      <c r="W21" s="20"/>
      <c r="X21" s="20"/>
      <c r="Y21" s="20"/>
      <c r="Z21" s="20">
        <f>1 - CUSTOS!$M$26</f>
        <v>1</v>
      </c>
      <c r="AA21" s="20"/>
      <c r="AB21" s="20"/>
    </row>
    <row r="22" spans="1:28" ht="11.25" customHeight="1" x14ac:dyDescent="0.25">
      <c r="A22" s="109"/>
      <c r="B22" s="109"/>
      <c r="C22" s="109"/>
      <c r="D22" s="22" t="s">
        <v>32</v>
      </c>
      <c r="E22" s="22" t="s">
        <v>25</v>
      </c>
      <c r="F22" s="22" t="s">
        <v>25</v>
      </c>
      <c r="G22" s="23" t="s">
        <v>87</v>
      </c>
      <c r="H22" s="23" t="s">
        <v>82</v>
      </c>
      <c r="I22" s="23">
        <f>'MERCADO TE'!$U$19</f>
        <v>0</v>
      </c>
      <c r="J22" s="15"/>
      <c r="L22" s="20">
        <f>1 - CUSTOS!$M$27</f>
        <v>1</v>
      </c>
      <c r="M22" s="20">
        <f>1 - CUSTOS!$M$27</f>
        <v>1</v>
      </c>
      <c r="N22" s="20">
        <f>1 - CUSTOS!$M$27</f>
        <v>1</v>
      </c>
      <c r="O22" s="20">
        <f>1 - CUSTOS!$M$27</f>
        <v>1</v>
      </c>
      <c r="P22" s="20">
        <f>1 - CUSTOS!$M$27</f>
        <v>1</v>
      </c>
      <c r="Q22" s="20"/>
      <c r="R22" s="20">
        <f>(1 - CUSTOS!$M$27)*1</f>
        <v>1</v>
      </c>
      <c r="S22" s="20"/>
      <c r="T22" s="20">
        <f>1 - CUSTOS!$M$27</f>
        <v>1</v>
      </c>
      <c r="U22" s="20">
        <f>1 - CUSTOS!$M$27</f>
        <v>1</v>
      </c>
      <c r="V22" s="20">
        <f>1 - CUSTOS!$M$27</f>
        <v>1</v>
      </c>
      <c r="W22" s="20"/>
      <c r="X22" s="20"/>
      <c r="Y22" s="20"/>
      <c r="Z22" s="20">
        <f>1 - CUSTOS!$M$27</f>
        <v>1</v>
      </c>
      <c r="AA22" s="20"/>
      <c r="AB22" s="20"/>
    </row>
    <row r="23" spans="1:28" ht="11.25" customHeight="1" x14ac:dyDescent="0.25">
      <c r="A23" s="109" t="s">
        <v>40</v>
      </c>
      <c r="B23" s="109" t="s">
        <v>81</v>
      </c>
      <c r="C23" s="109" t="s">
        <v>41</v>
      </c>
      <c r="D23" s="109" t="s">
        <v>25</v>
      </c>
      <c r="E23" s="109" t="s">
        <v>25</v>
      </c>
      <c r="F23" s="109" t="s">
        <v>25</v>
      </c>
      <c r="G23" s="23" t="s">
        <v>83</v>
      </c>
      <c r="H23" s="23" t="s">
        <v>82</v>
      </c>
      <c r="I23" s="23">
        <f>'MERCADO TE'!$U$20</f>
        <v>0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09"/>
      <c r="B24" s="109"/>
      <c r="C24" s="109"/>
      <c r="D24" s="109"/>
      <c r="E24" s="109"/>
      <c r="F24" s="109"/>
      <c r="G24" s="23" t="s">
        <v>95</v>
      </c>
      <c r="H24" s="23" t="s">
        <v>82</v>
      </c>
      <c r="I24" s="23">
        <f>'MERCADO TE'!$U$21</f>
        <v>0</v>
      </c>
      <c r="J24" s="15"/>
      <c r="L24" s="20">
        <f>1 - CUSTOS!$M$28</f>
        <v>1</v>
      </c>
      <c r="M24" s="20">
        <f>1 - CUSTOS!$M$28</f>
        <v>1</v>
      </c>
      <c r="N24" s="20">
        <f>1 - CUSTOS!$M$28</f>
        <v>1</v>
      </c>
      <c r="O24" s="20">
        <f>1 - CUSTOS!$M$28</f>
        <v>1</v>
      </c>
      <c r="P24" s="20">
        <f>1 - CUSTOS!$M$28</f>
        <v>1</v>
      </c>
      <c r="Q24" s="20"/>
      <c r="R24" s="20">
        <f>(1 - CUSTOS!$M$28)*1</f>
        <v>1</v>
      </c>
      <c r="S24" s="20"/>
      <c r="T24" s="20">
        <f>1 - CUSTOS!$M$28</f>
        <v>1</v>
      </c>
      <c r="U24" s="20">
        <f>1 - CUSTOS!$M$28</f>
        <v>1</v>
      </c>
      <c r="V24" s="20">
        <f>1 - CUSTOS!$M$28</f>
        <v>1</v>
      </c>
      <c r="W24" s="20"/>
      <c r="X24" s="20"/>
      <c r="Y24" s="20"/>
      <c r="Z24" s="20">
        <f>1 - CUSTOS!$M$28</f>
        <v>1</v>
      </c>
      <c r="AA24" s="20"/>
      <c r="AB24" s="20"/>
    </row>
    <row r="25" spans="1:28" ht="11.25" customHeight="1" x14ac:dyDescent="0.25">
      <c r="A25" s="109"/>
      <c r="B25" s="109"/>
      <c r="C25" s="109"/>
      <c r="D25" s="109"/>
      <c r="E25" s="109"/>
      <c r="F25" s="109"/>
      <c r="G25" s="23" t="s">
        <v>84</v>
      </c>
      <c r="H25" s="23" t="s">
        <v>82</v>
      </c>
      <c r="I25" s="23">
        <f>'MERCADO TE'!$U$22</f>
        <v>0</v>
      </c>
      <c r="J25" s="15"/>
      <c r="L25" s="20">
        <f>1 - CUSTOS!$M$28</f>
        <v>1</v>
      </c>
      <c r="M25" s="20">
        <f>1 - CUSTOS!$M$28</f>
        <v>1</v>
      </c>
      <c r="N25" s="20">
        <f>1 - CUSTOS!$M$28</f>
        <v>1</v>
      </c>
      <c r="O25" s="20">
        <f>1 - CUSTOS!$M$28</f>
        <v>1</v>
      </c>
      <c r="P25" s="20">
        <f>1 - CUSTOS!$M$28</f>
        <v>1</v>
      </c>
      <c r="Q25" s="20"/>
      <c r="R25" s="20">
        <f>(1 - CUSTOS!$M$28)*1</f>
        <v>1</v>
      </c>
      <c r="S25" s="20"/>
      <c r="T25" s="20">
        <f>1 - CUSTOS!$M$28</f>
        <v>1</v>
      </c>
      <c r="U25" s="20">
        <f>1 - CUSTOS!$M$28</f>
        <v>1</v>
      </c>
      <c r="V25" s="20">
        <f>1 - CUSTOS!$M$28</f>
        <v>1</v>
      </c>
      <c r="W25" s="20"/>
      <c r="X25" s="20"/>
      <c r="Y25" s="20"/>
      <c r="Z25" s="20">
        <f>1 - CUSTOS!$M$28</f>
        <v>1</v>
      </c>
      <c r="AA25" s="20"/>
      <c r="AB25" s="20"/>
    </row>
    <row r="26" spans="1:28" ht="11.25" customHeight="1" x14ac:dyDescent="0.25">
      <c r="A26" s="109"/>
      <c r="B26" s="22" t="s">
        <v>96</v>
      </c>
      <c r="C26" s="22" t="s">
        <v>41</v>
      </c>
      <c r="D26" s="22" t="s">
        <v>25</v>
      </c>
      <c r="E26" s="22" t="s">
        <v>25</v>
      </c>
      <c r="F26" s="22" t="s">
        <v>25</v>
      </c>
      <c r="G26" s="23" t="s">
        <v>87</v>
      </c>
      <c r="H26" s="23" t="s">
        <v>82</v>
      </c>
      <c r="I26" s="23">
        <f>'MERCADO TE'!$U$23</f>
        <v>28155.339999999997</v>
      </c>
      <c r="J26" s="15"/>
      <c r="L26" s="20">
        <f>1 - CUSTOS!$M$28</f>
        <v>1</v>
      </c>
      <c r="M26" s="20">
        <f>1 - CUSTOS!$M$28</f>
        <v>1</v>
      </c>
      <c r="N26" s="20">
        <f>1 - CUSTOS!$M$28</f>
        <v>1</v>
      </c>
      <c r="O26" s="20">
        <f>1 - CUSTOS!$M$28</f>
        <v>1</v>
      </c>
      <c r="P26" s="20">
        <f>1 - CUSTOS!$M$28</f>
        <v>1</v>
      </c>
      <c r="Q26" s="20"/>
      <c r="R26" s="20">
        <f>(1 - CUSTOS!$M$28)*1</f>
        <v>1</v>
      </c>
      <c r="S26" s="20"/>
      <c r="T26" s="20">
        <f>1 - CUSTOS!$M$28</f>
        <v>1</v>
      </c>
      <c r="U26" s="20">
        <f>1 - CUSTOS!$M$28</f>
        <v>1</v>
      </c>
      <c r="V26" s="20">
        <f>1 - CUSTOS!$M$28</f>
        <v>1</v>
      </c>
      <c r="W26" s="20"/>
      <c r="X26" s="20"/>
      <c r="Y26" s="20"/>
      <c r="Z26" s="20">
        <f>1 - CUSTOS!$M$28</f>
        <v>1</v>
      </c>
      <c r="AA26" s="20"/>
      <c r="AB26" s="20"/>
    </row>
    <row r="27" spans="1:28" ht="11.25" customHeight="1" x14ac:dyDescent="0.25">
      <c r="A27" s="109"/>
      <c r="B27" s="109" t="s">
        <v>81</v>
      </c>
      <c r="C27" s="109" t="s">
        <v>41</v>
      </c>
      <c r="D27" s="109" t="s">
        <v>100</v>
      </c>
      <c r="E27" s="109" t="s">
        <v>25</v>
      </c>
      <c r="F27" s="109" t="s">
        <v>25</v>
      </c>
      <c r="G27" s="23" t="s">
        <v>83</v>
      </c>
      <c r="H27" s="23" t="s">
        <v>82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09"/>
      <c r="B28" s="109"/>
      <c r="C28" s="109"/>
      <c r="D28" s="109"/>
      <c r="E28" s="109"/>
      <c r="F28" s="109"/>
      <c r="G28" s="23" t="s">
        <v>95</v>
      </c>
      <c r="H28" s="23" t="s">
        <v>82</v>
      </c>
      <c r="I28" s="23">
        <f>'MERCADO TE'!$U$25</f>
        <v>0</v>
      </c>
      <c r="J28" s="15"/>
      <c r="L28" s="20">
        <f>1 - CUSTOS!$M$29</f>
        <v>1</v>
      </c>
      <c r="M28" s="20">
        <f>1 - CUSTOS!$M$29</f>
        <v>1</v>
      </c>
      <c r="N28" s="20">
        <f>1 - CUSTOS!$M$29</f>
        <v>1</v>
      </c>
      <c r="O28" s="20">
        <f>1 - CUSTOS!$M$29</f>
        <v>1</v>
      </c>
      <c r="P28" s="20">
        <f>1 - CUSTOS!$M$29</f>
        <v>1</v>
      </c>
      <c r="Q28" s="20"/>
      <c r="R28" s="20">
        <f>(1 - CUSTOS!$M$29)*1</f>
        <v>1</v>
      </c>
      <c r="S28" s="20"/>
      <c r="T28" s="20">
        <f>1 - CUSTOS!$M$29</f>
        <v>1</v>
      </c>
      <c r="U28" s="20">
        <f>1 - CUSTOS!$M$29</f>
        <v>1</v>
      </c>
      <c r="V28" s="20">
        <f>1 - CUSTOS!$M$29</f>
        <v>1</v>
      </c>
      <c r="W28" s="20"/>
      <c r="X28" s="20"/>
      <c r="Y28" s="20"/>
      <c r="Z28" s="20">
        <f>1 - CUSTOS!$M$29</f>
        <v>1</v>
      </c>
      <c r="AA28" s="20"/>
      <c r="AB28" s="20"/>
    </row>
    <row r="29" spans="1:28" ht="11.25" customHeight="1" x14ac:dyDescent="0.25">
      <c r="A29" s="109"/>
      <c r="B29" s="109"/>
      <c r="C29" s="109"/>
      <c r="D29" s="109"/>
      <c r="E29" s="109"/>
      <c r="F29" s="109"/>
      <c r="G29" s="23" t="s">
        <v>84</v>
      </c>
      <c r="H29" s="23" t="s">
        <v>82</v>
      </c>
      <c r="I29" s="23">
        <f>'MERCADO TE'!$U$26</f>
        <v>0</v>
      </c>
      <c r="J29" s="15"/>
      <c r="L29" s="20">
        <f>1 - CUSTOS!$M$29</f>
        <v>1</v>
      </c>
      <c r="M29" s="20">
        <f>1 - CUSTOS!$M$29</f>
        <v>1</v>
      </c>
      <c r="N29" s="20">
        <f>1 - CUSTOS!$M$29</f>
        <v>1</v>
      </c>
      <c r="O29" s="20">
        <f>1 - CUSTOS!$M$29</f>
        <v>1</v>
      </c>
      <c r="P29" s="20">
        <f>1 - CUSTOS!$M$29</f>
        <v>1</v>
      </c>
      <c r="Q29" s="20"/>
      <c r="R29" s="20">
        <f>(1 - CUSTOS!$M$29)*1</f>
        <v>1</v>
      </c>
      <c r="S29" s="20"/>
      <c r="T29" s="20">
        <f>1 - CUSTOS!$M$29</f>
        <v>1</v>
      </c>
      <c r="U29" s="20">
        <f>1 - CUSTOS!$M$29</f>
        <v>1</v>
      </c>
      <c r="V29" s="20">
        <f>1 - CUSTOS!$M$29</f>
        <v>1</v>
      </c>
      <c r="W29" s="20"/>
      <c r="X29" s="20"/>
      <c r="Y29" s="20"/>
      <c r="Z29" s="20">
        <f>1 - CUSTOS!$M$29</f>
        <v>1</v>
      </c>
      <c r="AA29" s="20"/>
      <c r="AB29" s="20"/>
    </row>
    <row r="30" spans="1:28" ht="11.25" customHeight="1" x14ac:dyDescent="0.25">
      <c r="A30" s="109"/>
      <c r="B30" s="22" t="s">
        <v>96</v>
      </c>
      <c r="C30" s="22" t="s">
        <v>41</v>
      </c>
      <c r="D30" s="22" t="s">
        <v>100</v>
      </c>
      <c r="E30" s="22" t="s">
        <v>25</v>
      </c>
      <c r="F30" s="22" t="s">
        <v>25</v>
      </c>
      <c r="G30" s="23" t="s">
        <v>87</v>
      </c>
      <c r="H30" s="23" t="s">
        <v>82</v>
      </c>
      <c r="I30" s="23">
        <f>'MERCADO TE'!$U$27</f>
        <v>0</v>
      </c>
      <c r="J30" s="15"/>
      <c r="L30" s="20">
        <f>1 - CUSTOS!$M$29</f>
        <v>1</v>
      </c>
      <c r="M30" s="20">
        <f>1 - CUSTOS!$M$29</f>
        <v>1</v>
      </c>
      <c r="N30" s="20">
        <f>1 - CUSTOS!$M$29</f>
        <v>1</v>
      </c>
      <c r="O30" s="20">
        <f>1 - CUSTOS!$M$29</f>
        <v>1</v>
      </c>
      <c r="P30" s="20">
        <f>1 - CUSTOS!$M$29</f>
        <v>1</v>
      </c>
      <c r="Q30" s="20"/>
      <c r="R30" s="20">
        <f>(1 - CUSTOS!$M$29)*1</f>
        <v>1</v>
      </c>
      <c r="S30" s="20"/>
      <c r="T30" s="20">
        <f>1 - CUSTOS!$M$29</f>
        <v>1</v>
      </c>
      <c r="U30" s="20">
        <f>1 - CUSTOS!$M$29</f>
        <v>1</v>
      </c>
      <c r="V30" s="20">
        <f>1 - CUSTOS!$M$29</f>
        <v>1</v>
      </c>
      <c r="W30" s="20"/>
      <c r="X30" s="20"/>
      <c r="Y30" s="20"/>
      <c r="Z30" s="20">
        <f>1 - CUSTOS!$M$29</f>
        <v>1</v>
      </c>
      <c r="AA30" s="20"/>
      <c r="AB30" s="20"/>
    </row>
    <row r="31" spans="1:28" ht="11.25" customHeight="1" x14ac:dyDescent="0.25">
      <c r="A31" s="109"/>
      <c r="B31" s="109" t="s">
        <v>81</v>
      </c>
      <c r="C31" s="109" t="s">
        <v>41</v>
      </c>
      <c r="D31" s="109" t="s">
        <v>101</v>
      </c>
      <c r="E31" s="109" t="s">
        <v>25</v>
      </c>
      <c r="F31" s="109" t="s">
        <v>25</v>
      </c>
      <c r="G31" s="23" t="s">
        <v>83</v>
      </c>
      <c r="H31" s="23" t="s">
        <v>82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09"/>
      <c r="B32" s="109"/>
      <c r="C32" s="109"/>
      <c r="D32" s="109"/>
      <c r="E32" s="109"/>
      <c r="F32" s="109"/>
      <c r="G32" s="23" t="s">
        <v>95</v>
      </c>
      <c r="H32" s="23" t="s">
        <v>82</v>
      </c>
      <c r="I32" s="23">
        <f>'MERCADO TE'!$U$29</f>
        <v>0</v>
      </c>
      <c r="J32" s="15"/>
      <c r="L32" s="20">
        <f>1 - CUSTOS!$M$30</f>
        <v>1</v>
      </c>
      <c r="M32" s="20">
        <f>1 - CUSTOS!$M$30</f>
        <v>1</v>
      </c>
      <c r="N32" s="20">
        <f>1 - CUSTOS!$M$30</f>
        <v>1</v>
      </c>
      <c r="O32" s="20">
        <f>1 - CUSTOS!$M$30</f>
        <v>1</v>
      </c>
      <c r="P32" s="20">
        <f>1 - CUSTOS!$M$30</f>
        <v>1</v>
      </c>
      <c r="Q32" s="20"/>
      <c r="R32" s="20">
        <f>(1 - CUSTOS!$M$30)*1</f>
        <v>1</v>
      </c>
      <c r="S32" s="20"/>
      <c r="T32" s="20">
        <f>1 - CUSTOS!$M$30</f>
        <v>1</v>
      </c>
      <c r="U32" s="20">
        <f>1 - CUSTOS!$M$30</f>
        <v>1</v>
      </c>
      <c r="V32" s="20">
        <f>1 - CUSTOS!$M$30</f>
        <v>1</v>
      </c>
      <c r="W32" s="20"/>
      <c r="X32" s="20"/>
      <c r="Y32" s="20"/>
      <c r="Z32" s="20">
        <f>1 - CUSTOS!$M$30</f>
        <v>1</v>
      </c>
      <c r="AA32" s="20"/>
      <c r="AB32" s="20"/>
    </row>
    <row r="33" spans="1:28" ht="11.25" customHeight="1" x14ac:dyDescent="0.25">
      <c r="A33" s="109"/>
      <c r="B33" s="109"/>
      <c r="C33" s="109"/>
      <c r="D33" s="109"/>
      <c r="E33" s="109"/>
      <c r="F33" s="109"/>
      <c r="G33" s="23" t="s">
        <v>84</v>
      </c>
      <c r="H33" s="23" t="s">
        <v>82</v>
      </c>
      <c r="I33" s="23">
        <f>'MERCADO TE'!$U$30</f>
        <v>0</v>
      </c>
      <c r="J33" s="15"/>
      <c r="L33" s="20">
        <f>1 - CUSTOS!$M$30</f>
        <v>1</v>
      </c>
      <c r="M33" s="20">
        <f>1 - CUSTOS!$M$30</f>
        <v>1</v>
      </c>
      <c r="N33" s="20">
        <f>1 - CUSTOS!$M$30</f>
        <v>1</v>
      </c>
      <c r="O33" s="20">
        <f>1 - CUSTOS!$M$30</f>
        <v>1</v>
      </c>
      <c r="P33" s="20">
        <f>1 - CUSTOS!$M$30</f>
        <v>1</v>
      </c>
      <c r="Q33" s="20"/>
      <c r="R33" s="20">
        <f>(1 - CUSTOS!$M$30)*1</f>
        <v>1</v>
      </c>
      <c r="S33" s="20"/>
      <c r="T33" s="20">
        <f>1 - CUSTOS!$M$30</f>
        <v>1</v>
      </c>
      <c r="U33" s="20">
        <f>1 - CUSTOS!$M$30</f>
        <v>1</v>
      </c>
      <c r="V33" s="20">
        <f>1 - CUSTOS!$M$30</f>
        <v>1</v>
      </c>
      <c r="W33" s="20"/>
      <c r="X33" s="20"/>
      <c r="Y33" s="20"/>
      <c r="Z33" s="20">
        <f>1 - CUSTOS!$M$30</f>
        <v>1</v>
      </c>
      <c r="AA33" s="20"/>
      <c r="AB33" s="20"/>
    </row>
    <row r="34" spans="1:28" ht="11.25" customHeight="1" x14ac:dyDescent="0.25">
      <c r="A34" s="109"/>
      <c r="B34" s="22" t="s">
        <v>96</v>
      </c>
      <c r="C34" s="22" t="s">
        <v>41</v>
      </c>
      <c r="D34" s="22" t="s">
        <v>101</v>
      </c>
      <c r="E34" s="22" t="s">
        <v>25</v>
      </c>
      <c r="F34" s="22" t="s">
        <v>25</v>
      </c>
      <c r="G34" s="23" t="s">
        <v>87</v>
      </c>
      <c r="H34" s="23" t="s">
        <v>82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09"/>
      <c r="B35" s="109" t="s">
        <v>98</v>
      </c>
      <c r="C35" s="109" t="s">
        <v>41</v>
      </c>
      <c r="D35" s="22" t="s">
        <v>25</v>
      </c>
      <c r="E35" s="22" t="s">
        <v>25</v>
      </c>
      <c r="F35" s="22" t="s">
        <v>25</v>
      </c>
      <c r="G35" s="23" t="s">
        <v>87</v>
      </c>
      <c r="H35" s="23" t="s">
        <v>82</v>
      </c>
      <c r="I35" s="23">
        <f>'MERCADO TE'!$U$32</f>
        <v>0</v>
      </c>
      <c r="J35" s="15"/>
      <c r="L35" s="20">
        <f>1 - CUSTOS!$M$28</f>
        <v>1</v>
      </c>
      <c r="M35" s="20">
        <f>1 - CUSTOS!$M$28</f>
        <v>1</v>
      </c>
      <c r="N35" s="20">
        <f>1 - CUSTOS!$M$28</f>
        <v>1</v>
      </c>
      <c r="O35" s="20">
        <f>1 - CUSTOS!$M$28</f>
        <v>1</v>
      </c>
      <c r="P35" s="20">
        <f>1 - CUSTOS!$M$28</f>
        <v>1</v>
      </c>
      <c r="Q35" s="20"/>
      <c r="R35" s="20">
        <f>(1 - CUSTOS!$M$28)*1</f>
        <v>1</v>
      </c>
      <c r="S35" s="20"/>
      <c r="T35" s="20">
        <f>1 - CUSTOS!$M$28</f>
        <v>1</v>
      </c>
      <c r="U35" s="20">
        <f>1 - CUSTOS!$M$28</f>
        <v>1</v>
      </c>
      <c r="V35" s="20">
        <f>1 - CUSTOS!$M$28</f>
        <v>1</v>
      </c>
      <c r="W35" s="20"/>
      <c r="X35" s="20"/>
      <c r="Y35" s="20"/>
      <c r="Z35" s="20">
        <f>1 - CUSTOS!$M$28</f>
        <v>1</v>
      </c>
      <c r="AA35" s="20"/>
      <c r="AB35" s="20"/>
    </row>
    <row r="36" spans="1:28" ht="11.25" customHeight="1" x14ac:dyDescent="0.25">
      <c r="A36" s="109"/>
      <c r="B36" s="109"/>
      <c r="C36" s="109"/>
      <c r="D36" s="22" t="s">
        <v>100</v>
      </c>
      <c r="E36" s="22" t="s">
        <v>25</v>
      </c>
      <c r="F36" s="22" t="s">
        <v>25</v>
      </c>
      <c r="G36" s="23" t="s">
        <v>87</v>
      </c>
      <c r="H36" s="23" t="s">
        <v>82</v>
      </c>
      <c r="I36" s="23">
        <f>'MERCADO TE'!$U$33</f>
        <v>0</v>
      </c>
      <c r="J36" s="15"/>
      <c r="L36" s="20">
        <f>1 - CUSTOS!$M$29</f>
        <v>1</v>
      </c>
      <c r="M36" s="20">
        <f>1 - CUSTOS!$M$29</f>
        <v>1</v>
      </c>
      <c r="N36" s="20">
        <f>1 - CUSTOS!$M$29</f>
        <v>1</v>
      </c>
      <c r="O36" s="20">
        <f>1 - CUSTOS!$M$29</f>
        <v>1</v>
      </c>
      <c r="P36" s="20">
        <f>1 - CUSTOS!$M$29</f>
        <v>1</v>
      </c>
      <c r="Q36" s="20"/>
      <c r="R36" s="20">
        <f>(1 - CUSTOS!$M$29)*1</f>
        <v>1</v>
      </c>
      <c r="S36" s="20"/>
      <c r="T36" s="20">
        <f>1 - CUSTOS!$M$29</f>
        <v>1</v>
      </c>
      <c r="U36" s="20">
        <f>1 - CUSTOS!$M$29</f>
        <v>1</v>
      </c>
      <c r="V36" s="20">
        <f>1 - CUSTOS!$M$29</f>
        <v>1</v>
      </c>
      <c r="W36" s="20"/>
      <c r="X36" s="20"/>
      <c r="Y36" s="20"/>
      <c r="Z36" s="20">
        <f>1 - CUSTOS!$M$29</f>
        <v>1</v>
      </c>
      <c r="AA36" s="20"/>
      <c r="AB36" s="20"/>
    </row>
    <row r="37" spans="1:28" ht="11.25" customHeight="1" x14ac:dyDescent="0.25">
      <c r="A37" s="109"/>
      <c r="B37" s="109"/>
      <c r="C37" s="109"/>
      <c r="D37" s="22" t="s">
        <v>101</v>
      </c>
      <c r="E37" s="22" t="s">
        <v>25</v>
      </c>
      <c r="F37" s="22" t="s">
        <v>25</v>
      </c>
      <c r="G37" s="23" t="s">
        <v>87</v>
      </c>
      <c r="H37" s="23" t="s">
        <v>82</v>
      </c>
      <c r="I37" s="23">
        <f>'MERCADO TE'!$U$34</f>
        <v>0</v>
      </c>
      <c r="J37" s="15"/>
      <c r="L37" s="20">
        <f>1 - CUSTOS!$M$30</f>
        <v>1</v>
      </c>
      <c r="M37" s="20">
        <f>1 - CUSTOS!$M$30</f>
        <v>1</v>
      </c>
      <c r="N37" s="20">
        <f>1 - CUSTOS!$M$30</f>
        <v>1</v>
      </c>
      <c r="O37" s="20">
        <f>1 - CUSTOS!$M$30</f>
        <v>1</v>
      </c>
      <c r="P37" s="20">
        <f>1 - CUSTOS!$M$30</f>
        <v>1</v>
      </c>
      <c r="Q37" s="20"/>
      <c r="R37" s="20">
        <f>(1 - CUSTOS!$M$30)*1</f>
        <v>1</v>
      </c>
      <c r="S37" s="20"/>
      <c r="T37" s="20">
        <f>1 - CUSTOS!$M$30</f>
        <v>1</v>
      </c>
      <c r="U37" s="20">
        <f>1 - CUSTOS!$M$30</f>
        <v>1</v>
      </c>
      <c r="V37" s="20">
        <f>1 - CUSTOS!$M$30</f>
        <v>1</v>
      </c>
      <c r="W37" s="20"/>
      <c r="X37" s="20"/>
      <c r="Y37" s="20"/>
      <c r="Z37" s="20">
        <f>1 - CUSTOS!$M$30</f>
        <v>1</v>
      </c>
      <c r="AA37" s="20"/>
      <c r="AB37" s="20"/>
    </row>
    <row r="38" spans="1:28" ht="11.25" customHeight="1" x14ac:dyDescent="0.25">
      <c r="A38" s="109" t="s">
        <v>33</v>
      </c>
      <c r="B38" s="109" t="s">
        <v>81</v>
      </c>
      <c r="C38" s="109" t="s">
        <v>25</v>
      </c>
      <c r="D38" s="109" t="s">
        <v>25</v>
      </c>
      <c r="E38" s="109" t="s">
        <v>25</v>
      </c>
      <c r="F38" s="109" t="s">
        <v>25</v>
      </c>
      <c r="G38" s="23" t="s">
        <v>83</v>
      </c>
      <c r="H38" s="23" t="s">
        <v>82</v>
      </c>
      <c r="I38" s="23">
        <f>'MERCADO TE'!$U$35</f>
        <v>0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09"/>
      <c r="B39" s="109"/>
      <c r="C39" s="109"/>
      <c r="D39" s="109"/>
      <c r="E39" s="109"/>
      <c r="F39" s="109"/>
      <c r="G39" s="23" t="s">
        <v>95</v>
      </c>
      <c r="H39" s="23" t="s">
        <v>82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09"/>
      <c r="B40" s="109"/>
      <c r="C40" s="109"/>
      <c r="D40" s="109"/>
      <c r="E40" s="109"/>
      <c r="F40" s="109"/>
      <c r="G40" s="23" t="s">
        <v>84</v>
      </c>
      <c r="H40" s="23" t="s">
        <v>82</v>
      </c>
      <c r="I40" s="23">
        <f>'MERCADO TE'!$U$37</f>
        <v>0</v>
      </c>
      <c r="J40" s="15"/>
      <c r="L40" s="20">
        <f>1 - CUSTOS!$M$31</f>
        <v>1</v>
      </c>
      <c r="M40" s="20">
        <f>1 - CUSTOS!$M$31</f>
        <v>1</v>
      </c>
      <c r="N40" s="20">
        <f>1 - CUSTOS!$M$31</f>
        <v>1</v>
      </c>
      <c r="O40" s="20">
        <f>1 - CUSTOS!$M$31</f>
        <v>1</v>
      </c>
      <c r="P40" s="20">
        <f>1 - CUSTOS!$M$31</f>
        <v>1</v>
      </c>
      <c r="Q40" s="20"/>
      <c r="R40" s="20">
        <f>(1 - CUSTOS!$M$31)*1</f>
        <v>1</v>
      </c>
      <c r="S40" s="20"/>
      <c r="T40" s="20">
        <f>1 - CUSTOS!$M$31</f>
        <v>1</v>
      </c>
      <c r="U40" s="20">
        <f>1 - CUSTOS!$M$31</f>
        <v>1</v>
      </c>
      <c r="V40" s="20">
        <f>1 - CUSTOS!$M$31</f>
        <v>1</v>
      </c>
      <c r="W40" s="20"/>
      <c r="X40" s="20"/>
      <c r="Y40" s="20"/>
      <c r="Z40" s="20">
        <f>1 - CUSTOS!$M$31</f>
        <v>1</v>
      </c>
      <c r="AA40" s="20"/>
      <c r="AB40" s="20"/>
    </row>
    <row r="41" spans="1:28" ht="11.25" customHeight="1" x14ac:dyDescent="0.25">
      <c r="A41" s="109"/>
      <c r="B41" s="22" t="s">
        <v>96</v>
      </c>
      <c r="C41" s="22" t="s">
        <v>25</v>
      </c>
      <c r="D41" s="22" t="s">
        <v>25</v>
      </c>
      <c r="E41" s="22" t="s">
        <v>25</v>
      </c>
      <c r="F41" s="22" t="s">
        <v>25</v>
      </c>
      <c r="G41" s="23" t="s">
        <v>87</v>
      </c>
      <c r="H41" s="23" t="s">
        <v>82</v>
      </c>
      <c r="I41" s="23">
        <f>'MERCADO TE'!$U$38</f>
        <v>19569.288999999997</v>
      </c>
      <c r="J41" s="15"/>
      <c r="L41" s="20">
        <f>1 - CUSTOS!$M$31</f>
        <v>1</v>
      </c>
      <c r="M41" s="20">
        <f>1 - CUSTOS!$M$31</f>
        <v>1</v>
      </c>
      <c r="N41" s="20">
        <f>1 - CUSTOS!$M$31</f>
        <v>1</v>
      </c>
      <c r="O41" s="20">
        <f>1 - CUSTOS!$M$31</f>
        <v>1</v>
      </c>
      <c r="P41" s="20">
        <f>1 - CUSTOS!$M$31</f>
        <v>1</v>
      </c>
      <c r="Q41" s="20"/>
      <c r="R41" s="20">
        <f>(1 - CUSTOS!$M$31)*1</f>
        <v>1</v>
      </c>
      <c r="S41" s="20"/>
      <c r="T41" s="20">
        <f>1 - CUSTOS!$M$31</f>
        <v>1</v>
      </c>
      <c r="U41" s="20">
        <f>1 - CUSTOS!$M$31</f>
        <v>1</v>
      </c>
      <c r="V41" s="20">
        <f>1 - CUSTOS!$M$31</f>
        <v>1</v>
      </c>
      <c r="W41" s="20"/>
      <c r="X41" s="20"/>
      <c r="Y41" s="20"/>
      <c r="Z41" s="20">
        <f>1 - CUSTOS!$M$31</f>
        <v>1</v>
      </c>
      <c r="AA41" s="20"/>
      <c r="AB41" s="20"/>
    </row>
    <row r="42" spans="1:28" ht="11.25" customHeight="1" x14ac:dyDescent="0.25">
      <c r="A42" s="109"/>
      <c r="B42" s="22" t="s">
        <v>98</v>
      </c>
      <c r="C42" s="22" t="s">
        <v>25</v>
      </c>
      <c r="D42" s="22" t="s">
        <v>25</v>
      </c>
      <c r="E42" s="22" t="s">
        <v>25</v>
      </c>
      <c r="F42" s="22" t="s">
        <v>25</v>
      </c>
      <c r="G42" s="23" t="s">
        <v>87</v>
      </c>
      <c r="H42" s="23" t="s">
        <v>82</v>
      </c>
      <c r="I42" s="23">
        <f>'MERCADO TE'!$U$39</f>
        <v>0</v>
      </c>
      <c r="J42" s="15"/>
      <c r="L42" s="20">
        <f>1 - CUSTOS!$M$31</f>
        <v>1</v>
      </c>
      <c r="M42" s="20">
        <f>1 - CUSTOS!$M$31</f>
        <v>1</v>
      </c>
      <c r="N42" s="20">
        <f>1 - CUSTOS!$M$31</f>
        <v>1</v>
      </c>
      <c r="O42" s="20">
        <f>1 - CUSTOS!$M$31</f>
        <v>1</v>
      </c>
      <c r="P42" s="20">
        <f>1 - CUSTOS!$M$31</f>
        <v>1</v>
      </c>
      <c r="Q42" s="20"/>
      <c r="R42" s="20">
        <f>(1 - CUSTOS!$M$31)*1</f>
        <v>1</v>
      </c>
      <c r="S42" s="20"/>
      <c r="T42" s="20">
        <f>1 - CUSTOS!$M$31</f>
        <v>1</v>
      </c>
      <c r="U42" s="20">
        <f>1 - CUSTOS!$M$31</f>
        <v>1</v>
      </c>
      <c r="V42" s="20">
        <f>1 - CUSTOS!$M$31</f>
        <v>1</v>
      </c>
      <c r="W42" s="20"/>
      <c r="X42" s="20"/>
      <c r="Y42" s="20"/>
      <c r="Z42" s="20">
        <f>1 - CUSTOS!$M$31</f>
        <v>1</v>
      </c>
      <c r="AA42" s="20"/>
      <c r="AB42" s="20"/>
    </row>
    <row r="43" spans="1:28" ht="11.25" customHeight="1" x14ac:dyDescent="0.25">
      <c r="A43" s="109" t="s">
        <v>43</v>
      </c>
      <c r="B43" s="109" t="s">
        <v>96</v>
      </c>
      <c r="C43" s="109" t="s">
        <v>44</v>
      </c>
      <c r="D43" s="22" t="s">
        <v>45</v>
      </c>
      <c r="E43" s="22" t="s">
        <v>25</v>
      </c>
      <c r="F43" s="22" t="s">
        <v>25</v>
      </c>
      <c r="G43" s="23" t="s">
        <v>87</v>
      </c>
      <c r="H43" s="23" t="s">
        <v>82</v>
      </c>
      <c r="I43" s="23">
        <f>'MERCADO TE'!$U$40</f>
        <v>4547.4760000000006</v>
      </c>
      <c r="J43" s="15"/>
      <c r="L43" s="20">
        <f>1 - CUSTOS!$M$32</f>
        <v>0.55000000000000004</v>
      </c>
      <c r="M43" s="20">
        <f>1 - CUSTOS!$M$32</f>
        <v>0.55000000000000004</v>
      </c>
      <c r="N43" s="20">
        <f>1 - CUSTOS!$M$32</f>
        <v>0.55000000000000004</v>
      </c>
      <c r="O43" s="20">
        <f>1 - CUSTOS!$M$32</f>
        <v>0.55000000000000004</v>
      </c>
      <c r="P43" s="20">
        <f>1 - CUSTOS!$M$32</f>
        <v>0.55000000000000004</v>
      </c>
      <c r="Q43" s="20"/>
      <c r="R43" s="20">
        <f>(1 - CUSTOS!$M$32)*1</f>
        <v>0.55000000000000004</v>
      </c>
      <c r="S43" s="20"/>
      <c r="T43" s="20">
        <f>1 - CUSTOS!$M$32</f>
        <v>0.55000000000000004</v>
      </c>
      <c r="U43" s="20">
        <f>1 - CUSTOS!$M$32</f>
        <v>0.55000000000000004</v>
      </c>
      <c r="V43" s="20">
        <f>1 - CUSTOS!$M$32</f>
        <v>0.55000000000000004</v>
      </c>
      <c r="W43" s="20"/>
      <c r="X43" s="20"/>
      <c r="Y43" s="20"/>
      <c r="Z43" s="20">
        <f>1 - CUSTOS!$M$32</f>
        <v>0.55000000000000004</v>
      </c>
      <c r="AA43" s="20"/>
      <c r="AB43" s="20"/>
    </row>
    <row r="44" spans="1:28" ht="11.25" customHeight="1" x14ac:dyDescent="0.25">
      <c r="A44" s="109"/>
      <c r="B44" s="109"/>
      <c r="C44" s="109"/>
      <c r="D44" s="23" t="s">
        <v>102</v>
      </c>
      <c r="E44" s="23" t="s">
        <v>25</v>
      </c>
      <c r="F44" s="23" t="s">
        <v>25</v>
      </c>
      <c r="G44" s="23" t="s">
        <v>87</v>
      </c>
      <c r="H44" s="23" t="s">
        <v>82</v>
      </c>
      <c r="I44" s="23">
        <f>'MERCADO TE'!$U$41</f>
        <v>0</v>
      </c>
      <c r="J44" s="15"/>
      <c r="L44" s="20">
        <f>1 - CUSTOS!$M$33</f>
        <v>0.6</v>
      </c>
      <c r="M44" s="20">
        <f>1 - CUSTOS!$M$33</f>
        <v>0.6</v>
      </c>
      <c r="N44" s="20">
        <f>1 - CUSTOS!$M$33</f>
        <v>0.6</v>
      </c>
      <c r="O44" s="20">
        <f>1 - CUSTOS!$M$33</f>
        <v>0.6</v>
      </c>
      <c r="P44" s="20">
        <f>1 - CUSTOS!$M$33</f>
        <v>0.6</v>
      </c>
      <c r="Q44" s="20"/>
      <c r="R44" s="20">
        <f>(1 - CUSTOS!$M$33)*1</f>
        <v>0.6</v>
      </c>
      <c r="S44" s="20"/>
      <c r="T44" s="20">
        <f>1 - CUSTOS!$M$33</f>
        <v>0.6</v>
      </c>
      <c r="U44" s="20">
        <f>1 - CUSTOS!$M$33</f>
        <v>0.6</v>
      </c>
      <c r="V44" s="20">
        <f>1 - CUSTOS!$M$33</f>
        <v>0.6</v>
      </c>
      <c r="W44" s="20"/>
      <c r="X44" s="20"/>
      <c r="Y44" s="20"/>
      <c r="Z44" s="20">
        <f>1 - CUSTOS!$M$33</f>
        <v>0.6</v>
      </c>
      <c r="AA44" s="20"/>
      <c r="AB44" s="20"/>
    </row>
    <row r="46" spans="1:28" ht="11.25" customHeight="1" x14ac:dyDescent="0.25">
      <c r="K46" s="25" t="s">
        <v>587</v>
      </c>
      <c r="L46" s="20">
        <f t="shared" ref="L46:AB46" si="0">SUMPRODUCT($I$5:$I$44,L$5:L$44)</f>
        <v>145475.3328</v>
      </c>
      <c r="M46" s="20">
        <f t="shared" si="0"/>
        <v>145475.3328</v>
      </c>
      <c r="N46" s="20">
        <f t="shared" si="0"/>
        <v>145475.3328</v>
      </c>
      <c r="O46" s="20">
        <f t="shared" si="0"/>
        <v>145475.3328</v>
      </c>
      <c r="P46" s="20">
        <f t="shared" si="0"/>
        <v>145475.3328</v>
      </c>
      <c r="Q46" s="20">
        <f t="shared" si="0"/>
        <v>0</v>
      </c>
      <c r="R46" s="20">
        <f t="shared" si="0"/>
        <v>145475.3328</v>
      </c>
      <c r="S46" s="20">
        <f t="shared" si="0"/>
        <v>0</v>
      </c>
      <c r="T46" s="20">
        <f t="shared" si="0"/>
        <v>145475.3328</v>
      </c>
      <c r="U46" s="20">
        <f t="shared" si="0"/>
        <v>145475.3328</v>
      </c>
      <c r="V46" s="20">
        <f t="shared" si="0"/>
        <v>145475.3328</v>
      </c>
      <c r="W46" s="20">
        <f t="shared" si="0"/>
        <v>0</v>
      </c>
      <c r="X46" s="20">
        <f t="shared" si="0"/>
        <v>0</v>
      </c>
      <c r="Y46" s="20">
        <f t="shared" si="0"/>
        <v>0</v>
      </c>
      <c r="Z46" s="20">
        <f t="shared" si="0"/>
        <v>145475.3328</v>
      </c>
      <c r="AA46" s="20">
        <f t="shared" si="0"/>
        <v>0</v>
      </c>
      <c r="AB46" s="20">
        <f t="shared" si="0"/>
        <v>0</v>
      </c>
    </row>
    <row r="47" spans="1:28" ht="11.25" customHeight="1" x14ac:dyDescent="0.25">
      <c r="K47" s="25" t="s">
        <v>506</v>
      </c>
      <c r="L47" s="20">
        <f>CUSTOS!$D$30</f>
        <v>0</v>
      </c>
      <c r="M47" s="20">
        <f>CUSTOS!$D$31</f>
        <v>4000632.2600000002</v>
      </c>
      <c r="N47" s="20">
        <f>CUSTOS!$D$32</f>
        <v>0</v>
      </c>
      <c r="O47" s="20">
        <f>CUSTOS!$D$33</f>
        <v>0</v>
      </c>
      <c r="P47" s="20">
        <f>CUSTOS!$D$34</f>
        <v>-2394550.81</v>
      </c>
      <c r="Q47" s="20">
        <f>CUSTOS!$D$35</f>
        <v>1606081.4500000002</v>
      </c>
      <c r="R47" s="20">
        <f>CUSTOS!$D$36</f>
        <v>27767013.349883825</v>
      </c>
      <c r="S47" s="20">
        <f>CUSTOS!$D$37</f>
        <v>27767013.349883825</v>
      </c>
      <c r="T47" s="20">
        <f>CUSTOS!$D$38</f>
        <v>0</v>
      </c>
      <c r="U47" s="20">
        <f>CUSTOS!$D$39</f>
        <v>0</v>
      </c>
      <c r="V47" s="20">
        <f>CUSTOS!$D$40</f>
        <v>0</v>
      </c>
      <c r="W47" s="20">
        <f>CUSTOS!$D$41</f>
        <v>0</v>
      </c>
      <c r="X47" s="20">
        <f>CUSTOS!$D$42</f>
        <v>0</v>
      </c>
      <c r="Y47" s="20">
        <f>CUSTOS!$D$43</f>
        <v>0</v>
      </c>
      <c r="Z47" s="20">
        <f>CUSTOS!$D$44</f>
        <v>762114.76802333537</v>
      </c>
      <c r="AA47" s="20">
        <f>CUSTOS!$D$45</f>
        <v>762114.76802333537</v>
      </c>
      <c r="AB47" s="20">
        <f>CUSTOS!$D$46</f>
        <v>30135209.567907158</v>
      </c>
    </row>
    <row r="48" spans="1:28" ht="11.25" customHeight="1" x14ac:dyDescent="0.25">
      <c r="K48" s="25" t="s">
        <v>507</v>
      </c>
      <c r="L48" s="20">
        <f>CUSTOS!$E$30</f>
        <v>0</v>
      </c>
      <c r="M48" s="20">
        <f>CUSTOS!$E$31</f>
        <v>1430384.8026129566</v>
      </c>
      <c r="N48" s="20">
        <f>CUSTOS!$E$32</f>
        <v>0</v>
      </c>
      <c r="O48" s="20">
        <f>CUSTOS!$E$33</f>
        <v>0</v>
      </c>
      <c r="P48" s="20">
        <f>CUSTOS!$E$34</f>
        <v>0</v>
      </c>
      <c r="Q48" s="20">
        <f>CUSTOS!$E$35</f>
        <v>1430384.8026129566</v>
      </c>
      <c r="R48" s="20">
        <f>CUSTOS!$E$36</f>
        <v>-1924314.0596831457</v>
      </c>
      <c r="S48" s="20">
        <f>CUSTOS!$E$37</f>
        <v>-1924314.0596831457</v>
      </c>
      <c r="T48" s="20">
        <f>CUSTOS!$E$38</f>
        <v>0</v>
      </c>
      <c r="U48" s="20">
        <f>CUSTOS!$E$39</f>
        <v>0</v>
      </c>
      <c r="V48" s="20">
        <f>CUSTOS!$E$40</f>
        <v>0</v>
      </c>
      <c r="W48" s="20">
        <f>CUSTOS!$E$41</f>
        <v>0</v>
      </c>
      <c r="X48" s="20">
        <f>CUSTOS!$E$42</f>
        <v>0</v>
      </c>
      <c r="Y48" s="20">
        <f>CUSTOS!$E$43</f>
        <v>0</v>
      </c>
      <c r="Z48" s="20">
        <f>CUSTOS!$E$44</f>
        <v>-52816.201177992349</v>
      </c>
      <c r="AA48" s="20">
        <f>CUSTOS!$E$45</f>
        <v>-52816.201177992349</v>
      </c>
      <c r="AB48" s="20">
        <f>CUSTOS!$E$46</f>
        <v>-546745.4582481815</v>
      </c>
    </row>
    <row r="49" spans="11:28" ht="11.25" customHeight="1" x14ac:dyDescent="0.25">
      <c r="K49" s="25" t="s">
        <v>508</v>
      </c>
      <c r="L49" s="20">
        <f>CUSTOS!$F$30</f>
        <v>0</v>
      </c>
      <c r="M49" s="20">
        <f>CUSTOS!$F$31</f>
        <v>0</v>
      </c>
      <c r="N49" s="20">
        <f>CUSTOS!$F$32</f>
        <v>0</v>
      </c>
      <c r="O49" s="20">
        <f>CUSTOS!$F$33</f>
        <v>0</v>
      </c>
      <c r="P49" s="20">
        <f>CUSTOS!$F$34</f>
        <v>0</v>
      </c>
      <c r="Q49" s="20">
        <f>CUSTOS!$F$35</f>
        <v>0</v>
      </c>
      <c r="R49" s="20">
        <f>CUSTOS!$F$36</f>
        <v>0</v>
      </c>
      <c r="S49" s="20">
        <f>CUSTOS!$F$37</f>
        <v>0</v>
      </c>
      <c r="T49" s="20">
        <f>CUSTOS!$F$38</f>
        <v>0</v>
      </c>
      <c r="U49" s="20">
        <f>CUSTOS!$F$39</f>
        <v>0</v>
      </c>
      <c r="V49" s="20">
        <f>CUSTOS!$F$40</f>
        <v>0</v>
      </c>
      <c r="W49" s="20">
        <f>CUSTOS!$F$41</f>
        <v>0</v>
      </c>
      <c r="X49" s="20">
        <f>CUSTOS!$F$42</f>
        <v>0</v>
      </c>
      <c r="Y49" s="20">
        <f>CUSTOS!$F$43</f>
        <v>0</v>
      </c>
      <c r="Z49" s="20">
        <f>CUSTOS!$F$44</f>
        <v>0</v>
      </c>
      <c r="AA49" s="20">
        <f>CUSTOS!$F$45</f>
        <v>0</v>
      </c>
      <c r="AB49" s="20">
        <f>CUSTOS!$F$46</f>
        <v>0</v>
      </c>
    </row>
    <row r="50" spans="11:28" ht="11.25" customHeight="1" x14ac:dyDescent="0.25">
      <c r="K50" s="25" t="s">
        <v>588</v>
      </c>
      <c r="L50" s="20">
        <f>IF(SUMPRODUCT($I$5:$I$44,$L$5:$L$44)&lt;&gt;0,L47/SUMPRODUCT($I$5:$I$44,$L$5:$L$44),0)</f>
        <v>0</v>
      </c>
      <c r="M50" s="20">
        <f>IF(SUMPRODUCT($I$5:$I$44,$M$5:$M$44)&lt;&gt;0,M47/SUMPRODUCT($I$5:$I$44,$M$5:$M$44),0)</f>
        <v>27.500416620459522</v>
      </c>
      <c r="N50" s="20">
        <f>IF(SUMPRODUCT($I$5:$I$44,$N$5:$N$44)&lt;&gt;0,N47/SUMPRODUCT($I$5:$I$44,$N$5:$N$44),0)</f>
        <v>0</v>
      </c>
      <c r="O50" s="20">
        <f>IF(SUMPRODUCT($I$5:$I$44,$O$5:$O$44)&lt;&gt;0,O47/SUMPRODUCT($I$5:$I$44,$O$5:$O$44),0)</f>
        <v>0</v>
      </c>
      <c r="P50" s="20">
        <f>IF(SUMPRODUCT($I$5:$I$44,$P$5:$P$44)&lt;&gt;0,P47/SUMPRODUCT($I$5:$I$44,$P$5:$P$44),0)</f>
        <v>-16.460184444410498</v>
      </c>
      <c r="Q50" s="20"/>
      <c r="R50" s="20">
        <f>IF((CUSTOS!$M$12-CUSTOS!$M$13)&lt;&gt;0,(CUSTOS!$M$12*CUSTOS!$M$14)/(CUSTOS!$M$12-CUSTOS!$M$13),0)</f>
        <v>190.96164791855168</v>
      </c>
      <c r="S50" s="20"/>
      <c r="T50" s="20">
        <f>IF(SUMPRODUCT($I$5:$I$44,$T$5:$T$44)&lt;&gt;0,T47/SUMPRODUCT($I$5:$I$44,$T$5:$T$44),0)</f>
        <v>0</v>
      </c>
      <c r="U50" s="20">
        <f>IF(SUMPRODUCT($I$5:$I$44,$U$5:$U$44)&lt;&gt;0,U47/SUMPRODUCT($I$5:$I$44,$U$5:$U$44),0)</f>
        <v>0</v>
      </c>
      <c r="V50" s="20">
        <f>IF(SUMPRODUCT($I$5:$I$44,$V$5:$V$44)&lt;&gt;0,V47/SUMPRODUCT($I$5:$I$44,$V$5:$V$44),0)</f>
        <v>0</v>
      </c>
      <c r="W50" s="20"/>
      <c r="X50" s="20">
        <f>IF(SUMPRODUCT($I$5:$I$44,$X$5:$X$44)&lt;&gt;0,X47/SUMPRODUCT($I$5:$I$44,$X$5:$X$44),0)</f>
        <v>0</v>
      </c>
      <c r="Y50" s="20"/>
      <c r="Z50" s="20">
        <f>IF(SUMPRODUCT($I$5:$I$44,$Z$5:$Z$44)&lt;&gt;0,Z47/SUMPRODUCT($I$5:$I$44,$Z$5:$Z$44),0)</f>
        <v>5.2387903389167247</v>
      </c>
      <c r="AA50" s="20"/>
      <c r="AB50" s="20"/>
    </row>
    <row r="51" spans="11:28" ht="11.25" customHeight="1" x14ac:dyDescent="0.25">
      <c r="K51" s="25" t="s">
        <v>589</v>
      </c>
      <c r="L51" s="20">
        <f>IF(L46&lt;&gt;0,(L47-L50*(+ $I$7*L$7+ $I$8*L$8+ $I$9*L$9))/(L46-(+ $I$7*L$7+ $I$8*L$8+ $I$9*L$9)),0)</f>
        <v>0</v>
      </c>
      <c r="M51" s="20">
        <f>IF(M46&lt;&gt;0,(M47-M50*(+ $I$7*M$7+ $I$8*M$8+ $I$9*M$9))/(M46-(+ $I$7*M$7+ $I$8*M$8+ $I$9*M$9)),0)</f>
        <v>27.500416620459522</v>
      </c>
      <c r="N51" s="20">
        <f>IF(N46&lt;&gt;0,(N47-N50*(+ $I$7*N$7+ $I$8*N$8+ $I$9*N$9))/(N46-(+ $I$7*N$7+ $I$8*N$8+ $I$9*N$9)),0)</f>
        <v>0</v>
      </c>
      <c r="O51" s="20">
        <f>IF(O46&lt;&gt;0,(O47-O50*(+ $I$7*O$7+ $I$8*O$8+ $I$9*O$9))/(O46-(+ $I$7*O$7+ $I$8*O$8+ $I$9*O$9)),0)</f>
        <v>0</v>
      </c>
      <c r="P51" s="20">
        <f>IF(P46&lt;&gt;0,(P47-P50*(+ $I$7*P$7+ $I$8*P$8+ $I$9*P$9))/(P46-(+ $I$7*P$7+ $I$8*P$8+ $I$9*P$9)),0)</f>
        <v>-16.460184444410494</v>
      </c>
      <c r="Q51" s="20"/>
      <c r="R51" s="20">
        <f>IF(R46&lt;&gt;0,(R47-R50*(+ $I$7+ $I$8+ $I$9))/(R46-(+ $I$7*R$7+ $I$8*R$8+ $I$9*R$9)),0)</f>
        <v>190.86139645655678</v>
      </c>
      <c r="S51" s="20"/>
      <c r="T51" s="20">
        <f>IF(T46&lt;&gt;0,(T47-T50*(+ $I$7*T$7+ $I$8*T$8+ $I$9*T$9))/(T46-(+ $I$7*T$7+ $I$8*T$8+ $I$9*T$9)),0)</f>
        <v>0</v>
      </c>
      <c r="U51" s="20">
        <f>IF(U46&lt;&gt;0,(U47-U50*(+ $I$7*U$7+ $I$8*U$8+ $I$9*U$9))/(U46-(+ $I$7*U$7+ $I$8*U$8+ $I$9*U$9)),0)</f>
        <v>0</v>
      </c>
      <c r="V51" s="20">
        <f>IF(V46&lt;&gt;0,(V47-V50*(+ $I$7*V$7+ $I$8*V$8+ $I$9*V$9))/(V46-(+ $I$7*V$7+ $I$8*V$8+ $I$9*V$9)),0)</f>
        <v>0</v>
      </c>
      <c r="W51" s="20"/>
      <c r="X51" s="20">
        <f>IF(X46&lt;&gt;0,(X47-X50*(+ $I$7*X$7+ $I$8*X$8+ $I$9*X$9))/(X46-(+ $I$7*X$7+ $I$8*X$8+ $I$9*X$9)),0)</f>
        <v>0</v>
      </c>
      <c r="Y51" s="20"/>
      <c r="Z51" s="20">
        <f>IF(Z46&lt;&gt;0,(Z47-Z50*(+ $I$7*Z$7+ $I$8*Z$8+ $I$9*Z$9))/(Z46-(+ $I$7*Z$7+ $I$8*Z$8+ $I$9*Z$9)),0)</f>
        <v>5.2387903389167247</v>
      </c>
      <c r="AA51" s="20"/>
      <c r="AB51" s="20"/>
    </row>
    <row r="52" spans="11:28" ht="11.25" customHeight="1" x14ac:dyDescent="0.25">
      <c r="K52" s="25" t="s">
        <v>590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61">
    <mergeCell ref="F5:F6"/>
    <mergeCell ref="A5:A9"/>
    <mergeCell ref="B5:B6"/>
    <mergeCell ref="C5:C6"/>
    <mergeCell ref="D5:D6"/>
    <mergeCell ref="E5:E6"/>
    <mergeCell ref="F10:F12"/>
    <mergeCell ref="B13:B17"/>
    <mergeCell ref="C13:C17"/>
    <mergeCell ref="B18:B22"/>
    <mergeCell ref="C18:C22"/>
    <mergeCell ref="A10:A22"/>
    <mergeCell ref="B10:B12"/>
    <mergeCell ref="C10:C12"/>
    <mergeCell ref="D10:D12"/>
    <mergeCell ref="E10:E12"/>
    <mergeCell ref="E31:E33"/>
    <mergeCell ref="F31:F33"/>
    <mergeCell ref="A23:A37"/>
    <mergeCell ref="B23:B25"/>
    <mergeCell ref="C23:C25"/>
    <mergeCell ref="D23:D25"/>
    <mergeCell ref="E23:E25"/>
    <mergeCell ref="F23:F25"/>
    <mergeCell ref="B27:B29"/>
    <mergeCell ref="C27:C29"/>
    <mergeCell ref="D27:D29"/>
    <mergeCell ref="E27:E29"/>
    <mergeCell ref="F1:F4"/>
    <mergeCell ref="E38:E40"/>
    <mergeCell ref="F38:F40"/>
    <mergeCell ref="A43:A44"/>
    <mergeCell ref="B43:B44"/>
    <mergeCell ref="C43:C44"/>
    <mergeCell ref="B35:B37"/>
    <mergeCell ref="C35:C37"/>
    <mergeCell ref="A38:A42"/>
    <mergeCell ref="B38:B40"/>
    <mergeCell ref="C38:C40"/>
    <mergeCell ref="D38:D40"/>
    <mergeCell ref="F27:F29"/>
    <mergeCell ref="B31:B33"/>
    <mergeCell ref="C31:C33"/>
    <mergeCell ref="D31:D33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1D69-6086-4AA7-B870-34DAC0B98059}">
  <sheetPr codeName="Planilha13"/>
  <dimension ref="A1:AB52"/>
  <sheetViews>
    <sheetView showGridLines="0" topLeftCell="K1" workbookViewId="0">
      <selection activeCell="AB46" sqref="AB46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8" t="s">
        <v>72</v>
      </c>
      <c r="B1" s="108" t="s">
        <v>73</v>
      </c>
      <c r="C1" s="108" t="s">
        <v>74</v>
      </c>
      <c r="D1" s="108" t="s">
        <v>75</v>
      </c>
      <c r="E1" s="108" t="s">
        <v>76</v>
      </c>
      <c r="F1" s="108" t="s">
        <v>15</v>
      </c>
      <c r="G1" s="108" t="s">
        <v>78</v>
      </c>
      <c r="H1" s="108" t="s">
        <v>79</v>
      </c>
      <c r="I1" s="108" t="s">
        <v>565</v>
      </c>
      <c r="J1" s="91"/>
      <c r="L1" s="106" t="s">
        <v>591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</row>
    <row r="2" spans="1:28" ht="11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91"/>
      <c r="L2" s="106" t="s">
        <v>492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8" ht="11.2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91"/>
      <c r="L3" s="106" t="s">
        <v>465</v>
      </c>
      <c r="M3" s="106"/>
      <c r="N3" s="106"/>
      <c r="O3" s="106"/>
      <c r="P3" s="106"/>
      <c r="Q3" s="106"/>
      <c r="R3" s="106" t="s">
        <v>496</v>
      </c>
      <c r="S3" s="106"/>
      <c r="T3" s="106" t="s">
        <v>474</v>
      </c>
      <c r="U3" s="106"/>
      <c r="V3" s="106"/>
      <c r="W3" s="106"/>
      <c r="X3" s="106" t="s">
        <v>484</v>
      </c>
      <c r="Y3" s="106"/>
      <c r="Z3" s="106" t="s">
        <v>487</v>
      </c>
      <c r="AA3" s="106"/>
      <c r="AB3" s="106" t="s">
        <v>473</v>
      </c>
    </row>
    <row r="4" spans="1:28" ht="11.2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  <c r="J4" s="91"/>
      <c r="L4" s="24" t="s">
        <v>467</v>
      </c>
      <c r="M4" s="24" t="s">
        <v>493</v>
      </c>
      <c r="N4" s="24" t="s">
        <v>494</v>
      </c>
      <c r="O4" s="24" t="s">
        <v>553</v>
      </c>
      <c r="P4" s="24" t="s">
        <v>495</v>
      </c>
      <c r="Q4" s="24" t="s">
        <v>473</v>
      </c>
      <c r="R4" s="24" t="s">
        <v>497</v>
      </c>
      <c r="S4" s="24" t="s">
        <v>473</v>
      </c>
      <c r="T4" s="24" t="s">
        <v>498</v>
      </c>
      <c r="U4" s="24" t="s">
        <v>499</v>
      </c>
      <c r="V4" s="24" t="s">
        <v>500</v>
      </c>
      <c r="W4" s="24" t="s">
        <v>473</v>
      </c>
      <c r="X4" s="24" t="s">
        <v>485</v>
      </c>
      <c r="Y4" s="24" t="s">
        <v>473</v>
      </c>
      <c r="Z4" s="24" t="s">
        <v>501</v>
      </c>
      <c r="AA4" s="24" t="s">
        <v>473</v>
      </c>
      <c r="AB4" s="107"/>
    </row>
    <row r="5" spans="1:28" ht="11.25" customHeight="1" x14ac:dyDescent="0.25">
      <c r="A5" s="109" t="s">
        <v>35</v>
      </c>
      <c r="B5" s="109" t="s">
        <v>81</v>
      </c>
      <c r="C5" s="109" t="s">
        <v>25</v>
      </c>
      <c r="D5" s="109" t="s">
        <v>25</v>
      </c>
      <c r="E5" s="109" t="s">
        <v>25</v>
      </c>
      <c r="F5" s="109" t="s">
        <v>25</v>
      </c>
      <c r="G5" s="23" t="s">
        <v>83</v>
      </c>
      <c r="H5" s="23" t="s">
        <v>82</v>
      </c>
      <c r="I5" s="23">
        <f>'MERCADO TE'!$U$2</f>
        <v>3293.4549999999999</v>
      </c>
      <c r="J5" s="15"/>
      <c r="L5" s="20">
        <f>'TR TE'!$L$5*'TR TE'!$L$51</f>
        <v>0</v>
      </c>
      <c r="M5" s="20">
        <f>'TR TE'!$M$5*'TR TE'!$M$51</f>
        <v>27.500416620459522</v>
      </c>
      <c r="N5" s="20">
        <f>'TR TE'!$N$5*'TR TE'!$N$51</f>
        <v>0</v>
      </c>
      <c r="O5" s="20">
        <f>'TR TE'!$O$5*'TR TE'!$O$51</f>
        <v>0</v>
      </c>
      <c r="P5" s="20">
        <f>'TR TE'!$P$5*'TR TE'!$P$51</f>
        <v>-16.460184444410494</v>
      </c>
      <c r="Q5" s="20">
        <f>SUM($L$5:$P$5)</f>
        <v>11.040232176049027</v>
      </c>
      <c r="R5" s="20">
        <f>'TR TE'!$R$5*'TR TE'!$R$51</f>
        <v>190.86139645655678</v>
      </c>
      <c r="S5" s="20">
        <f>SUM($R$5:$R$5)</f>
        <v>190.86139645655678</v>
      </c>
      <c r="T5" s="20">
        <f>'TR TE'!$T$5*'TR TE'!$T$51</f>
        <v>0</v>
      </c>
      <c r="U5" s="20">
        <f>'TR TE'!$U$5*'TR TE'!$U$51</f>
        <v>0</v>
      </c>
      <c r="V5" s="20">
        <f>'TR TE'!$V$5*'TR TE'!$V$51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TE'!$Z$51</f>
        <v>5.2387903389167247</v>
      </c>
      <c r="AA5" s="20">
        <f>SUM($Z$5:$Z$5)</f>
        <v>5.2387903389167247</v>
      </c>
      <c r="AB5" s="20">
        <f>SUMIF($L$4:$AA$4,"SUBTOTAL",$L$5:$AA$5)</f>
        <v>207.14041897152251</v>
      </c>
    </row>
    <row r="6" spans="1:28" ht="11.25" customHeight="1" x14ac:dyDescent="0.25">
      <c r="A6" s="109"/>
      <c r="B6" s="109"/>
      <c r="C6" s="109"/>
      <c r="D6" s="109"/>
      <c r="E6" s="109"/>
      <c r="F6" s="109"/>
      <c r="G6" s="23" t="s">
        <v>84</v>
      </c>
      <c r="H6" s="23" t="s">
        <v>82</v>
      </c>
      <c r="I6" s="23">
        <f>'MERCADO TE'!$U$3</f>
        <v>43158.441999999995</v>
      </c>
      <c r="J6" s="15"/>
      <c r="L6" s="20">
        <f>'TR TE'!$L$6*'TR TE'!$L$51</f>
        <v>0</v>
      </c>
      <c r="M6" s="20">
        <f>'TR TE'!$M$6*'TR TE'!$M$51</f>
        <v>27.500416620459522</v>
      </c>
      <c r="N6" s="20">
        <f>'TR TE'!$N$6*'TR TE'!$N$51</f>
        <v>0</v>
      </c>
      <c r="O6" s="20">
        <f>'TR TE'!$O$6*'TR TE'!$O$51</f>
        <v>0</v>
      </c>
      <c r="P6" s="20">
        <f>'TR TE'!$P$6*'TR TE'!$P$51</f>
        <v>-16.460184444410494</v>
      </c>
      <c r="Q6" s="20">
        <f>SUM($L$6:$P$6)</f>
        <v>11.040232176049027</v>
      </c>
      <c r="R6" s="20">
        <f>'TR TE'!$R$6*'TR TE'!$R$51</f>
        <v>190.86139645655678</v>
      </c>
      <c r="S6" s="20">
        <f>SUM($R$6:$R$6)</f>
        <v>190.86139645655678</v>
      </c>
      <c r="T6" s="20">
        <f>'TR TE'!$T$6*'TR TE'!$T$51</f>
        <v>0</v>
      </c>
      <c r="U6" s="20">
        <f>'TR TE'!$U$6*'TR TE'!$U$51</f>
        <v>0</v>
      </c>
      <c r="V6" s="20">
        <f>'TR TE'!$V$6*'TR TE'!$V$51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TE'!$Z$51</f>
        <v>5.2387903389167247</v>
      </c>
      <c r="AA6" s="20">
        <f>SUM($Z$6:$Z$6)</f>
        <v>5.2387903389167247</v>
      </c>
      <c r="AB6" s="20">
        <f>SUMIF($L$4:$AA$4,"SUBTOTAL",$L$6:$AA$6)</f>
        <v>207.14041897152251</v>
      </c>
    </row>
    <row r="7" spans="1:28" ht="11.25" customHeight="1" x14ac:dyDescent="0.25">
      <c r="A7" s="109"/>
      <c r="B7" s="22" t="s">
        <v>85</v>
      </c>
      <c r="C7" s="22" t="s">
        <v>25</v>
      </c>
      <c r="D7" s="22" t="s">
        <v>25</v>
      </c>
      <c r="E7" s="22" t="s">
        <v>86</v>
      </c>
      <c r="F7" s="22" t="s">
        <v>25</v>
      </c>
      <c r="G7" s="23" t="s">
        <v>87</v>
      </c>
      <c r="H7" s="23" t="s">
        <v>82</v>
      </c>
      <c r="I7" s="23">
        <f>'MERCADO TE'!$U$4</f>
        <v>0</v>
      </c>
      <c r="J7" s="15"/>
      <c r="L7" s="20">
        <f>'TR TE'!$L$50</f>
        <v>0</v>
      </c>
      <c r="M7" s="20">
        <f>'TR TE'!$M$50</f>
        <v>27.500416620459522</v>
      </c>
      <c r="N7" s="20">
        <f>'TR TE'!$N$50</f>
        <v>0</v>
      </c>
      <c r="O7" s="20">
        <f>'TR TE'!$O$50</f>
        <v>0</v>
      </c>
      <c r="P7" s="20">
        <f>'TR TE'!$P$50</f>
        <v>-16.460184444410498</v>
      </c>
      <c r="Q7" s="20">
        <f>SUM($L$7:$P$7)</f>
        <v>11.040232176049024</v>
      </c>
      <c r="R7" s="20">
        <f>'TR TE'!$R$50</f>
        <v>190.96164791855168</v>
      </c>
      <c r="S7" s="20">
        <f>SUM($R$7:$R$7)</f>
        <v>190.96164791855168</v>
      </c>
      <c r="T7" s="20">
        <f>'TR TE'!$T$50</f>
        <v>0</v>
      </c>
      <c r="U7" s="20">
        <f>'TR TE'!$U$50</f>
        <v>0</v>
      </c>
      <c r="V7" s="20">
        <f>'TR TE'!$V$50</f>
        <v>0</v>
      </c>
      <c r="W7" s="20">
        <f>SUM($T$7:$V$7)</f>
        <v>0</v>
      </c>
      <c r="X7" s="20"/>
      <c r="Y7" s="20">
        <f>SUM($X$7:$X$7)</f>
        <v>0</v>
      </c>
      <c r="Z7" s="20">
        <f>'TR TE'!$Z$50</f>
        <v>5.2387903389167247</v>
      </c>
      <c r="AA7" s="20">
        <f>SUM($Z$7:$Z$7)</f>
        <v>5.2387903389167247</v>
      </c>
      <c r="AB7" s="20">
        <f>SUMIF($L$4:$AA$4,"SUBTOTAL",$L$7:$AA$7)</f>
        <v>207.24067043351741</v>
      </c>
    </row>
    <row r="8" spans="1:28" ht="11.25" customHeight="1" x14ac:dyDescent="0.25">
      <c r="A8" s="109"/>
      <c r="B8" s="22" t="s">
        <v>91</v>
      </c>
      <c r="C8" s="22" t="s">
        <v>25</v>
      </c>
      <c r="D8" s="22" t="s">
        <v>25</v>
      </c>
      <c r="E8" s="22" t="s">
        <v>86</v>
      </c>
      <c r="F8" s="22" t="s">
        <v>25</v>
      </c>
      <c r="G8" s="23" t="s">
        <v>87</v>
      </c>
      <c r="H8" s="23" t="s">
        <v>82</v>
      </c>
      <c r="I8" s="23">
        <f>'MERCADO TE'!$U$5</f>
        <v>13846.997000000001</v>
      </c>
      <c r="J8" s="15"/>
      <c r="L8" s="20">
        <f>'TR TE'!$L$50</f>
        <v>0</v>
      </c>
      <c r="M8" s="20">
        <f>'TR TE'!$M$50</f>
        <v>27.500416620459522</v>
      </c>
      <c r="N8" s="20">
        <f>'TR TE'!$N$50</f>
        <v>0</v>
      </c>
      <c r="O8" s="20">
        <f>'TR TE'!$O$50</f>
        <v>0</v>
      </c>
      <c r="P8" s="20">
        <f>'TR TE'!$P$50</f>
        <v>-16.460184444410498</v>
      </c>
      <c r="Q8" s="20">
        <f>SUM($L$8:$P$8)</f>
        <v>11.040232176049024</v>
      </c>
      <c r="R8" s="20">
        <f>'TR TE'!$R$50</f>
        <v>190.96164791855168</v>
      </c>
      <c r="S8" s="20">
        <f>SUM($R$8:$R$8)</f>
        <v>190.96164791855168</v>
      </c>
      <c r="T8" s="20">
        <f>'TR TE'!$T$50</f>
        <v>0</v>
      </c>
      <c r="U8" s="20">
        <f>'TR TE'!$U$50</f>
        <v>0</v>
      </c>
      <c r="V8" s="20">
        <f>'TR TE'!$V$50</f>
        <v>0</v>
      </c>
      <c r="W8" s="20">
        <f>SUM($T$8:$V$8)</f>
        <v>0</v>
      </c>
      <c r="X8" s="20"/>
      <c r="Y8" s="20">
        <f>SUM($X$8:$X$8)</f>
        <v>0</v>
      </c>
      <c r="Z8" s="20">
        <f>'TR TE'!$Z$50</f>
        <v>5.2387903389167247</v>
      </c>
      <c r="AA8" s="20">
        <f>SUM($Z$8:$Z$8)</f>
        <v>5.2387903389167247</v>
      </c>
      <c r="AB8" s="20">
        <f>SUMIF($L$4:$AA$4,"SUBTOTAL",$L$8:$AA$8)</f>
        <v>207.24067043351741</v>
      </c>
    </row>
    <row r="9" spans="1:28" ht="11.25" customHeight="1" x14ac:dyDescent="0.25">
      <c r="A9" s="109"/>
      <c r="B9" s="22" t="s">
        <v>85</v>
      </c>
      <c r="C9" s="22" t="s">
        <v>25</v>
      </c>
      <c r="D9" s="22" t="s">
        <v>25</v>
      </c>
      <c r="E9" s="22" t="s">
        <v>25</v>
      </c>
      <c r="F9" s="22" t="s">
        <v>25</v>
      </c>
      <c r="G9" s="23" t="s">
        <v>87</v>
      </c>
      <c r="H9" s="23" t="s">
        <v>82</v>
      </c>
      <c r="I9" s="23">
        <f>'MERCADO TE'!$U$6</f>
        <v>0</v>
      </c>
      <c r="J9" s="15"/>
      <c r="L9" s="20">
        <f>'TR TE'!$L$50</f>
        <v>0</v>
      </c>
      <c r="M9" s="20">
        <v>0</v>
      </c>
      <c r="N9" s="20">
        <f>'TR TE'!$N$50</f>
        <v>0</v>
      </c>
      <c r="O9" s="20">
        <f>'TR TE'!$O$50</f>
        <v>0</v>
      </c>
      <c r="P9" s="20">
        <f>'TR TE'!$P$50</f>
        <v>-16.460184444410498</v>
      </c>
      <c r="Q9" s="20">
        <f>SUM($L$9:$P$9)</f>
        <v>-16.460184444410498</v>
      </c>
      <c r="R9" s="20">
        <f>'TR TE'!$R$50</f>
        <v>190.96164791855168</v>
      </c>
      <c r="S9" s="20">
        <f>SUM($R$9:$R$9)</f>
        <v>190.96164791855168</v>
      </c>
      <c r="T9" s="20">
        <f>'TR TE'!$T$50</f>
        <v>0</v>
      </c>
      <c r="U9" s="20">
        <f>'TR TE'!$U$50</f>
        <v>0</v>
      </c>
      <c r="V9" s="20">
        <f>'TR TE'!$V$50</f>
        <v>0</v>
      </c>
      <c r="W9" s="20">
        <f>SUM($T$9:$V$9)</f>
        <v>0</v>
      </c>
      <c r="X9" s="20"/>
      <c r="Y9" s="20">
        <f>SUM($X$9:$X$9)</f>
        <v>0</v>
      </c>
      <c r="Z9" s="20">
        <v>0</v>
      </c>
      <c r="AA9" s="20">
        <f>SUM($Z$9:$Z$9)</f>
        <v>0</v>
      </c>
      <c r="AB9" s="20">
        <f>SUMIF($L$4:$AA$4,"SUBTOTAL",$L$9:$AA$9)</f>
        <v>174.50146347414119</v>
      </c>
    </row>
    <row r="10" spans="1:28" ht="11.25" customHeight="1" x14ac:dyDescent="0.25">
      <c r="A10" s="109" t="s">
        <v>22</v>
      </c>
      <c r="B10" s="109" t="s">
        <v>81</v>
      </c>
      <c r="C10" s="109" t="s">
        <v>24</v>
      </c>
      <c r="D10" s="109" t="s">
        <v>24</v>
      </c>
      <c r="E10" s="109" t="s">
        <v>25</v>
      </c>
      <c r="F10" s="109" t="s">
        <v>25</v>
      </c>
      <c r="G10" s="23" t="s">
        <v>83</v>
      </c>
      <c r="H10" s="23" t="s">
        <v>82</v>
      </c>
      <c r="I10" s="23">
        <f>'MERCADO TE'!$U$7</f>
        <v>0</v>
      </c>
      <c r="J10" s="15"/>
      <c r="L10" s="20">
        <f>'TR TE'!$L$10*'TR TE'!$L$51</f>
        <v>0</v>
      </c>
      <c r="M10" s="20">
        <f>'TR TE'!$M$10*'TR TE'!$M$51</f>
        <v>27.500416620459522</v>
      </c>
      <c r="N10" s="20">
        <f>'TR TE'!$N$10*'TR TE'!$N$51</f>
        <v>0</v>
      </c>
      <c r="O10" s="20">
        <f>'TR TE'!$O$10*'TR TE'!$O$51</f>
        <v>0</v>
      </c>
      <c r="P10" s="20">
        <f>'TR TE'!$P$10*'TR TE'!$P$51</f>
        <v>-16.460184444410494</v>
      </c>
      <c r="Q10" s="20">
        <f>SUM($L$10:$P$10)</f>
        <v>11.040232176049027</v>
      </c>
      <c r="R10" s="20">
        <f>'TR TE'!$R$10*'TR TE'!$R$51</f>
        <v>190.86139645655678</v>
      </c>
      <c r="S10" s="20">
        <f>SUM($R$10:$R$10)</f>
        <v>190.86139645655678</v>
      </c>
      <c r="T10" s="20">
        <f>'TR TE'!$T$10*'TR TE'!$T$51</f>
        <v>0</v>
      </c>
      <c r="U10" s="20">
        <f>'TR TE'!$U$10*'TR TE'!$U$51</f>
        <v>0</v>
      </c>
      <c r="V10" s="20">
        <f>'TR TE'!$V$10*'TR TE'!$V$51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TE'!$Z$51</f>
        <v>5.2387903389167247</v>
      </c>
      <c r="AA10" s="20">
        <f>SUM($Z$10:$Z$10)</f>
        <v>5.2387903389167247</v>
      </c>
      <c r="AB10" s="20">
        <f>SUMIF($L$4:$AA$4,"SUBTOTAL",$L$10:$AA$10)</f>
        <v>207.14041897152251</v>
      </c>
    </row>
    <row r="11" spans="1:28" ht="11.25" customHeight="1" x14ac:dyDescent="0.25">
      <c r="A11" s="109"/>
      <c r="B11" s="109"/>
      <c r="C11" s="109"/>
      <c r="D11" s="109"/>
      <c r="E11" s="109"/>
      <c r="F11" s="109"/>
      <c r="G11" s="23" t="s">
        <v>95</v>
      </c>
      <c r="H11" s="23" t="s">
        <v>82</v>
      </c>
      <c r="I11" s="23">
        <f>'MERCADO TE'!$U$8</f>
        <v>0</v>
      </c>
      <c r="J11" s="15"/>
      <c r="L11" s="20">
        <f>'TR TE'!$L$11*'TR TE'!$L$51</f>
        <v>0</v>
      </c>
      <c r="M11" s="20">
        <f>'TR TE'!$M$11*'TR TE'!$M$51</f>
        <v>27.500416620459522</v>
      </c>
      <c r="N11" s="20">
        <f>'TR TE'!$N$11*'TR TE'!$N$51</f>
        <v>0</v>
      </c>
      <c r="O11" s="20">
        <f>'TR TE'!$O$11*'TR TE'!$O$51</f>
        <v>0</v>
      </c>
      <c r="P11" s="20">
        <f>'TR TE'!$P$11*'TR TE'!$P$51</f>
        <v>-16.460184444410494</v>
      </c>
      <c r="Q11" s="20">
        <f>SUM($L$11:$P$11)</f>
        <v>11.040232176049027</v>
      </c>
      <c r="R11" s="20">
        <f>'TR TE'!$R$11*'TR TE'!$R$51</f>
        <v>190.86139645655678</v>
      </c>
      <c r="S11" s="20">
        <f>SUM($R$11:$R$11)</f>
        <v>190.86139645655678</v>
      </c>
      <c r="T11" s="20">
        <f>'TR TE'!$T$11*'TR TE'!$T$51</f>
        <v>0</v>
      </c>
      <c r="U11" s="20">
        <f>'TR TE'!$U$11*'TR TE'!$U$51</f>
        <v>0</v>
      </c>
      <c r="V11" s="20">
        <f>'TR TE'!$V$11*'TR TE'!$V$51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TE'!$Z$51</f>
        <v>5.2387903389167247</v>
      </c>
      <c r="AA11" s="20">
        <f>SUM($Z$11:$Z$11)</f>
        <v>5.2387903389167247</v>
      </c>
      <c r="AB11" s="20">
        <f>SUMIF($L$4:$AA$4,"SUBTOTAL",$L$11:$AA$11)</f>
        <v>207.14041897152251</v>
      </c>
    </row>
    <row r="12" spans="1:28" ht="11.25" customHeight="1" x14ac:dyDescent="0.25">
      <c r="A12" s="109"/>
      <c r="B12" s="109"/>
      <c r="C12" s="109"/>
      <c r="D12" s="109"/>
      <c r="E12" s="109"/>
      <c r="F12" s="109"/>
      <c r="G12" s="23" t="s">
        <v>84</v>
      </c>
      <c r="H12" s="23" t="s">
        <v>82</v>
      </c>
      <c r="I12" s="23">
        <f>'MERCADO TE'!$U$9</f>
        <v>0</v>
      </c>
      <c r="J12" s="15"/>
      <c r="L12" s="20">
        <f>'TR TE'!$L$12*'TR TE'!$L$51</f>
        <v>0</v>
      </c>
      <c r="M12" s="20">
        <f>'TR TE'!$M$12*'TR TE'!$M$51</f>
        <v>27.500416620459522</v>
      </c>
      <c r="N12" s="20">
        <f>'TR TE'!$N$12*'TR TE'!$N$51</f>
        <v>0</v>
      </c>
      <c r="O12" s="20">
        <f>'TR TE'!$O$12*'TR TE'!$O$51</f>
        <v>0</v>
      </c>
      <c r="P12" s="20">
        <f>'TR TE'!$P$12*'TR TE'!$P$51</f>
        <v>-16.460184444410494</v>
      </c>
      <c r="Q12" s="20">
        <f>SUM($L$12:$P$12)</f>
        <v>11.040232176049027</v>
      </c>
      <c r="R12" s="20">
        <f>'TR TE'!$R$12*'TR TE'!$R$51</f>
        <v>190.86139645655678</v>
      </c>
      <c r="S12" s="20">
        <f>SUM($R$12:$R$12)</f>
        <v>190.86139645655678</v>
      </c>
      <c r="T12" s="20">
        <f>'TR TE'!$T$12*'TR TE'!$T$51</f>
        <v>0</v>
      </c>
      <c r="U12" s="20">
        <f>'TR TE'!$U$12*'TR TE'!$U$51</f>
        <v>0</v>
      </c>
      <c r="V12" s="20">
        <f>'TR TE'!$V$12*'TR TE'!$V$51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TE'!$Z$51</f>
        <v>5.2387903389167247</v>
      </c>
      <c r="AA12" s="20">
        <f>SUM($Z$12:$Z$12)</f>
        <v>5.2387903389167247</v>
      </c>
      <c r="AB12" s="20">
        <f>SUMIF($L$4:$AA$4,"SUBTOTAL",$L$12:$AA$12)</f>
        <v>207.14041897152251</v>
      </c>
    </row>
    <row r="13" spans="1:28" ht="11.25" customHeight="1" x14ac:dyDescent="0.25">
      <c r="A13" s="109"/>
      <c r="B13" s="109" t="s">
        <v>96</v>
      </c>
      <c r="C13" s="109" t="s">
        <v>24</v>
      </c>
      <c r="D13" s="22" t="s">
        <v>24</v>
      </c>
      <c r="E13" s="22" t="s">
        <v>25</v>
      </c>
      <c r="F13" s="22" t="s">
        <v>25</v>
      </c>
      <c r="G13" s="23" t="s">
        <v>87</v>
      </c>
      <c r="H13" s="23" t="s">
        <v>82</v>
      </c>
      <c r="I13" s="23">
        <f>'MERCADO TE'!$U$10</f>
        <v>33611.357000000004</v>
      </c>
      <c r="J13" s="15"/>
      <c r="L13" s="20">
        <f>'TR TE'!$L$13*'TR TE'!$L$51</f>
        <v>0</v>
      </c>
      <c r="M13" s="20">
        <f>'TR TE'!$M$13*'TR TE'!$M$51</f>
        <v>27.500416620459522</v>
      </c>
      <c r="N13" s="20">
        <f>'TR TE'!$N$13*'TR TE'!$N$51</f>
        <v>0</v>
      </c>
      <c r="O13" s="20">
        <f>'TR TE'!$O$13*'TR TE'!$O$51</f>
        <v>0</v>
      </c>
      <c r="P13" s="20">
        <f>'TR TE'!$P$13*'TR TE'!$P$51</f>
        <v>-16.460184444410494</v>
      </c>
      <c r="Q13" s="20">
        <f>SUM($L$13:$P$13)</f>
        <v>11.040232176049027</v>
      </c>
      <c r="R13" s="20">
        <f>'TR TE'!$R$13*'TR TE'!$R$51</f>
        <v>190.86139645655678</v>
      </c>
      <c r="S13" s="20">
        <f>SUM($R$13:$R$13)</f>
        <v>190.86139645655678</v>
      </c>
      <c r="T13" s="20">
        <f>'TR TE'!$T$13*'TR TE'!$T$51</f>
        <v>0</v>
      </c>
      <c r="U13" s="20">
        <f>'TR TE'!$U$13*'TR TE'!$U$51</f>
        <v>0</v>
      </c>
      <c r="V13" s="20">
        <f>'TR TE'!$V$13*'TR TE'!$V$51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TE'!$Z$51</f>
        <v>5.2387903389167247</v>
      </c>
      <c r="AA13" s="20">
        <f>SUM($Z$13:$Z$13)</f>
        <v>5.2387903389167247</v>
      </c>
      <c r="AB13" s="20">
        <f>SUMIF($L$4:$AA$4,"SUBTOTAL",$L$13:$AA$13)</f>
        <v>207.14041897152251</v>
      </c>
    </row>
    <row r="14" spans="1:28" ht="11.25" customHeight="1" x14ac:dyDescent="0.25">
      <c r="A14" s="109"/>
      <c r="B14" s="109"/>
      <c r="C14" s="109"/>
      <c r="D14" s="22" t="s">
        <v>29</v>
      </c>
      <c r="E14" s="22" t="s">
        <v>25</v>
      </c>
      <c r="F14" s="22" t="s">
        <v>25</v>
      </c>
      <c r="G14" s="23" t="s">
        <v>87</v>
      </c>
      <c r="H14" s="23" t="s">
        <v>82</v>
      </c>
      <c r="I14" s="23">
        <f>'MERCADO TE'!$U$11</f>
        <v>174.63</v>
      </c>
      <c r="J14" s="15"/>
      <c r="L14" s="20">
        <f>'TR TE'!$L$14*'TR TE'!$L$51</f>
        <v>0</v>
      </c>
      <c r="M14" s="20">
        <f>'TR TE'!$M$14*'TR TE'!$M$51</f>
        <v>27.500416620459522</v>
      </c>
      <c r="N14" s="20">
        <f>'TR TE'!$N$14*'TR TE'!$N$51</f>
        <v>0</v>
      </c>
      <c r="O14" s="20">
        <f>'TR TE'!$O$14*'TR TE'!$O$51</f>
        <v>0</v>
      </c>
      <c r="P14" s="20">
        <f>'TR TE'!$P$14*'TR TE'!$P$51</f>
        <v>-16.460184444410494</v>
      </c>
      <c r="Q14" s="20">
        <f>SUM($L$14:$P$14)</f>
        <v>11.040232176049027</v>
      </c>
      <c r="R14" s="20">
        <f>'TR TE'!$R$14*'TR TE'!$R$51</f>
        <v>190.86139645655678</v>
      </c>
      <c r="S14" s="20">
        <f>SUM($R$14:$R$14)</f>
        <v>190.86139645655678</v>
      </c>
      <c r="T14" s="20">
        <f>'TR TE'!$T$14*'TR TE'!$T$51</f>
        <v>0</v>
      </c>
      <c r="U14" s="20">
        <f>'TR TE'!$U$14*'TR TE'!$U$51</f>
        <v>0</v>
      </c>
      <c r="V14" s="20">
        <f>'TR TE'!$V$14*'TR TE'!$V$51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TE'!$Z$51</f>
        <v>5.2387903389167247</v>
      </c>
      <c r="AA14" s="20">
        <f>SUM($Z$14:$Z$14)</f>
        <v>5.2387903389167247</v>
      </c>
      <c r="AB14" s="20">
        <f>SUMIF($L$4:$AA$4,"SUBTOTAL",$L$14:$AA$14)</f>
        <v>207.14041897152251</v>
      </c>
    </row>
    <row r="15" spans="1:28" ht="11.25" customHeight="1" x14ac:dyDescent="0.25">
      <c r="A15" s="109"/>
      <c r="B15" s="109"/>
      <c r="C15" s="109"/>
      <c r="D15" s="22" t="s">
        <v>30</v>
      </c>
      <c r="E15" s="22" t="s">
        <v>25</v>
      </c>
      <c r="F15" s="22" t="s">
        <v>25</v>
      </c>
      <c r="G15" s="23" t="s">
        <v>87</v>
      </c>
      <c r="H15" s="23" t="s">
        <v>82</v>
      </c>
      <c r="I15" s="23">
        <f>'MERCADO TE'!$U$12</f>
        <v>381.96100000000001</v>
      </c>
      <c r="J15" s="15"/>
      <c r="L15" s="20">
        <f>'TR TE'!$L$15*'TR TE'!$L$51</f>
        <v>0</v>
      </c>
      <c r="M15" s="20">
        <f>'TR TE'!$M$15*'TR TE'!$M$51</f>
        <v>27.500416620459522</v>
      </c>
      <c r="N15" s="20">
        <f>'TR TE'!$N$15*'TR TE'!$N$51</f>
        <v>0</v>
      </c>
      <c r="O15" s="20">
        <f>'TR TE'!$O$15*'TR TE'!$O$51</f>
        <v>0</v>
      </c>
      <c r="P15" s="20">
        <f>'TR TE'!$P$15*'TR TE'!$P$51</f>
        <v>-16.460184444410494</v>
      </c>
      <c r="Q15" s="20">
        <f>SUM($L$15:$P$15)</f>
        <v>11.040232176049027</v>
      </c>
      <c r="R15" s="20">
        <f>'TR TE'!$R$15*'TR TE'!$R$51</f>
        <v>190.86139645655678</v>
      </c>
      <c r="S15" s="20">
        <f>SUM($R$15:$R$15)</f>
        <v>190.86139645655678</v>
      </c>
      <c r="T15" s="20">
        <f>'TR TE'!$T$15*'TR TE'!$T$51</f>
        <v>0</v>
      </c>
      <c r="U15" s="20">
        <f>'TR TE'!$U$15*'TR TE'!$U$51</f>
        <v>0</v>
      </c>
      <c r="V15" s="20">
        <f>'TR TE'!$V$15*'TR TE'!$V$51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TE'!$Z$51</f>
        <v>5.2387903389167247</v>
      </c>
      <c r="AA15" s="20">
        <f>SUM($Z$15:$Z$15)</f>
        <v>5.2387903389167247</v>
      </c>
      <c r="AB15" s="20">
        <f>SUMIF($L$4:$AA$4,"SUBTOTAL",$L$15:$AA$15)</f>
        <v>207.14041897152251</v>
      </c>
    </row>
    <row r="16" spans="1:28" ht="11.25" customHeight="1" x14ac:dyDescent="0.25">
      <c r="A16" s="109"/>
      <c r="B16" s="109"/>
      <c r="C16" s="109"/>
      <c r="D16" s="22" t="s">
        <v>31</v>
      </c>
      <c r="E16" s="22" t="s">
        <v>25</v>
      </c>
      <c r="F16" s="22" t="s">
        <v>25</v>
      </c>
      <c r="G16" s="23" t="s">
        <v>87</v>
      </c>
      <c r="H16" s="23" t="s">
        <v>82</v>
      </c>
      <c r="I16" s="23">
        <f>'MERCADO TE'!$U$13</f>
        <v>465.60300000000001</v>
      </c>
      <c r="J16" s="15"/>
      <c r="L16" s="20">
        <f>'TR TE'!$L$16*'TR TE'!$L$51</f>
        <v>0</v>
      </c>
      <c r="M16" s="20">
        <f>'TR TE'!$M$16*'TR TE'!$M$51</f>
        <v>27.500416620459522</v>
      </c>
      <c r="N16" s="20">
        <f>'TR TE'!$N$16*'TR TE'!$N$51</f>
        <v>0</v>
      </c>
      <c r="O16" s="20">
        <f>'TR TE'!$O$16*'TR TE'!$O$51</f>
        <v>0</v>
      </c>
      <c r="P16" s="20">
        <f>'TR TE'!$P$16*'TR TE'!$P$51</f>
        <v>-16.460184444410494</v>
      </c>
      <c r="Q16" s="20">
        <f>SUM($L$16:$P$16)</f>
        <v>11.040232176049027</v>
      </c>
      <c r="R16" s="20">
        <f>'TR TE'!$R$16*'TR TE'!$R$51</f>
        <v>190.86139645655678</v>
      </c>
      <c r="S16" s="20">
        <f>SUM($R$16:$R$16)</f>
        <v>190.86139645655678</v>
      </c>
      <c r="T16" s="20">
        <f>'TR TE'!$T$16*'TR TE'!$T$51</f>
        <v>0</v>
      </c>
      <c r="U16" s="20">
        <f>'TR TE'!$U$16*'TR TE'!$U$51</f>
        <v>0</v>
      </c>
      <c r="V16" s="20">
        <f>'TR TE'!$V$16*'TR TE'!$V$51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TE'!$Z$51</f>
        <v>5.2387903389167247</v>
      </c>
      <c r="AA16" s="20">
        <f>SUM($Z$16:$Z$16)</f>
        <v>5.2387903389167247</v>
      </c>
      <c r="AB16" s="20">
        <f>SUMIF($L$4:$AA$4,"SUBTOTAL",$L$16:$AA$16)</f>
        <v>207.14041897152251</v>
      </c>
    </row>
    <row r="17" spans="1:28" ht="11.25" customHeight="1" x14ac:dyDescent="0.25">
      <c r="A17" s="109"/>
      <c r="B17" s="109"/>
      <c r="C17" s="109"/>
      <c r="D17" s="22" t="s">
        <v>32</v>
      </c>
      <c r="E17" s="22" t="s">
        <v>25</v>
      </c>
      <c r="F17" s="22" t="s">
        <v>25</v>
      </c>
      <c r="G17" s="23" t="s">
        <v>87</v>
      </c>
      <c r="H17" s="23" t="s">
        <v>82</v>
      </c>
      <c r="I17" s="23">
        <f>'MERCADO TE'!$U$14</f>
        <v>317.14700000000005</v>
      </c>
      <c r="J17" s="15"/>
      <c r="L17" s="20">
        <f>'TR TE'!$L$17*'TR TE'!$L$51</f>
        <v>0</v>
      </c>
      <c r="M17" s="20">
        <f>'TR TE'!$M$17*'TR TE'!$M$51</f>
        <v>27.500416620459522</v>
      </c>
      <c r="N17" s="20">
        <f>'TR TE'!$N$17*'TR TE'!$N$51</f>
        <v>0</v>
      </c>
      <c r="O17" s="20">
        <f>'TR TE'!$O$17*'TR TE'!$O$51</f>
        <v>0</v>
      </c>
      <c r="P17" s="20">
        <f>'TR TE'!$P$17*'TR TE'!$P$51</f>
        <v>-16.460184444410494</v>
      </c>
      <c r="Q17" s="20">
        <f>SUM($L$17:$P$17)</f>
        <v>11.040232176049027</v>
      </c>
      <c r="R17" s="20">
        <f>'TR TE'!$R$17*'TR TE'!$R$51</f>
        <v>190.86139645655678</v>
      </c>
      <c r="S17" s="20">
        <f>SUM($R$17:$R$17)</f>
        <v>190.86139645655678</v>
      </c>
      <c r="T17" s="20">
        <f>'TR TE'!$T$17*'TR TE'!$T$51</f>
        <v>0</v>
      </c>
      <c r="U17" s="20">
        <f>'TR TE'!$U$17*'TR TE'!$U$51</f>
        <v>0</v>
      </c>
      <c r="V17" s="20">
        <f>'TR TE'!$V$17*'TR TE'!$V$51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TE'!$Z$51</f>
        <v>5.2387903389167247</v>
      </c>
      <c r="AA17" s="20">
        <f>SUM($Z$17:$Z$17)</f>
        <v>5.2387903389167247</v>
      </c>
      <c r="AB17" s="20">
        <f>SUMIF($L$4:$AA$4,"SUBTOTAL",$L$17:$AA$17)</f>
        <v>207.14041897152251</v>
      </c>
    </row>
    <row r="18" spans="1:28" ht="11.25" customHeight="1" x14ac:dyDescent="0.25">
      <c r="A18" s="109"/>
      <c r="B18" s="109" t="s">
        <v>98</v>
      </c>
      <c r="C18" s="109" t="s">
        <v>24</v>
      </c>
      <c r="D18" s="22" t="s">
        <v>24</v>
      </c>
      <c r="E18" s="22" t="s">
        <v>25</v>
      </c>
      <c r="F18" s="22" t="s">
        <v>25</v>
      </c>
      <c r="G18" s="23" t="s">
        <v>87</v>
      </c>
      <c r="H18" s="23" t="s">
        <v>82</v>
      </c>
      <c r="I18" s="23">
        <f>'MERCADO TE'!$U$15</f>
        <v>0</v>
      </c>
      <c r="J18" s="15"/>
      <c r="L18" s="20">
        <f>'TR TE'!$L$18*'TR TE'!$L$51</f>
        <v>0</v>
      </c>
      <c r="M18" s="20">
        <f>'TR TE'!$M$18*'TR TE'!$M$51</f>
        <v>27.500416620459522</v>
      </c>
      <c r="N18" s="20">
        <f>'TR TE'!$N$18*'TR TE'!$N$51</f>
        <v>0</v>
      </c>
      <c r="O18" s="20">
        <f>'TR TE'!$O$18*'TR TE'!$O$51</f>
        <v>0</v>
      </c>
      <c r="P18" s="20">
        <f>'TR TE'!$P$18*'TR TE'!$P$51</f>
        <v>-16.460184444410494</v>
      </c>
      <c r="Q18" s="20">
        <f>SUM($L$18:$P$18)</f>
        <v>11.040232176049027</v>
      </c>
      <c r="R18" s="20">
        <f>'TR TE'!$R$18*'TR TE'!$R$51</f>
        <v>190.86139645655678</v>
      </c>
      <c r="S18" s="20">
        <f>SUM($R$18:$R$18)</f>
        <v>190.86139645655678</v>
      </c>
      <c r="T18" s="20">
        <f>'TR TE'!$T$18*'TR TE'!$T$51</f>
        <v>0</v>
      </c>
      <c r="U18" s="20">
        <f>'TR TE'!$U$18*'TR TE'!$U$51</f>
        <v>0</v>
      </c>
      <c r="V18" s="20">
        <f>'TR TE'!$V$18*'TR TE'!$V$51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TE'!$Z$51</f>
        <v>5.2387903389167247</v>
      </c>
      <c r="AA18" s="20">
        <f>SUM($Z$18:$Z$18)</f>
        <v>5.2387903389167247</v>
      </c>
      <c r="AB18" s="20">
        <f>SUMIF($L$4:$AA$4,"SUBTOTAL",$L$18:$AA$18)</f>
        <v>207.14041897152251</v>
      </c>
    </row>
    <row r="19" spans="1:28" ht="11.25" customHeight="1" x14ac:dyDescent="0.25">
      <c r="A19" s="109"/>
      <c r="B19" s="109"/>
      <c r="C19" s="109"/>
      <c r="D19" s="22" t="s">
        <v>29</v>
      </c>
      <c r="E19" s="22" t="s">
        <v>25</v>
      </c>
      <c r="F19" s="22" t="s">
        <v>25</v>
      </c>
      <c r="G19" s="23" t="s">
        <v>87</v>
      </c>
      <c r="H19" s="23" t="s">
        <v>82</v>
      </c>
      <c r="I19" s="23">
        <f>'MERCADO TE'!$U$16</f>
        <v>0</v>
      </c>
      <c r="J19" s="15"/>
      <c r="L19" s="20">
        <f>'TR TE'!$L$19*'TR TE'!$L$51</f>
        <v>0</v>
      </c>
      <c r="M19" s="20">
        <f>'TR TE'!$M$19*'TR TE'!$M$51</f>
        <v>27.500416620459522</v>
      </c>
      <c r="N19" s="20">
        <f>'TR TE'!$N$19*'TR TE'!$N$51</f>
        <v>0</v>
      </c>
      <c r="O19" s="20">
        <f>'TR TE'!$O$19*'TR TE'!$O$51</f>
        <v>0</v>
      </c>
      <c r="P19" s="20">
        <f>'TR TE'!$P$19*'TR TE'!$P$51</f>
        <v>-16.460184444410494</v>
      </c>
      <c r="Q19" s="20">
        <f>SUM($L$19:$P$19)</f>
        <v>11.040232176049027</v>
      </c>
      <c r="R19" s="20">
        <f>'TR TE'!$R$19*'TR TE'!$R$51</f>
        <v>190.86139645655678</v>
      </c>
      <c r="S19" s="20">
        <f>SUM($R$19:$R$19)</f>
        <v>190.86139645655678</v>
      </c>
      <c r="T19" s="20">
        <f>'TR TE'!$T$19*'TR TE'!$T$51</f>
        <v>0</v>
      </c>
      <c r="U19" s="20">
        <f>'TR TE'!$U$19*'TR TE'!$U$51</f>
        <v>0</v>
      </c>
      <c r="V19" s="20">
        <f>'TR TE'!$V$19*'TR TE'!$V$51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TE'!$Z$51</f>
        <v>5.2387903389167247</v>
      </c>
      <c r="AA19" s="20">
        <f>SUM($Z$19:$Z$19)</f>
        <v>5.2387903389167247</v>
      </c>
      <c r="AB19" s="20">
        <f>SUMIF($L$4:$AA$4,"SUBTOTAL",$L$19:$AA$19)</f>
        <v>207.14041897152251</v>
      </c>
    </row>
    <row r="20" spans="1:28" ht="11.25" customHeight="1" x14ac:dyDescent="0.25">
      <c r="A20" s="109"/>
      <c r="B20" s="109"/>
      <c r="C20" s="109"/>
      <c r="D20" s="22" t="s">
        <v>30</v>
      </c>
      <c r="E20" s="22" t="s">
        <v>25</v>
      </c>
      <c r="F20" s="22" t="s">
        <v>25</v>
      </c>
      <c r="G20" s="23" t="s">
        <v>87</v>
      </c>
      <c r="H20" s="23" t="s">
        <v>82</v>
      </c>
      <c r="I20" s="23">
        <f>'MERCADO TE'!$U$17</f>
        <v>0</v>
      </c>
      <c r="J20" s="15"/>
      <c r="L20" s="20">
        <f>'TR TE'!$L$20*'TR TE'!$L$51</f>
        <v>0</v>
      </c>
      <c r="M20" s="20">
        <f>'TR TE'!$M$20*'TR TE'!$M$51</f>
        <v>27.500416620459522</v>
      </c>
      <c r="N20" s="20">
        <f>'TR TE'!$N$20*'TR TE'!$N$51</f>
        <v>0</v>
      </c>
      <c r="O20" s="20">
        <f>'TR TE'!$O$20*'TR TE'!$O$51</f>
        <v>0</v>
      </c>
      <c r="P20" s="20">
        <f>'TR TE'!$P$20*'TR TE'!$P$51</f>
        <v>-16.460184444410494</v>
      </c>
      <c r="Q20" s="20">
        <f>SUM($L$20:$P$20)</f>
        <v>11.040232176049027</v>
      </c>
      <c r="R20" s="20">
        <f>'TR TE'!$R$20*'TR TE'!$R$51</f>
        <v>190.86139645655678</v>
      </c>
      <c r="S20" s="20">
        <f>SUM($R$20:$R$20)</f>
        <v>190.86139645655678</v>
      </c>
      <c r="T20" s="20">
        <f>'TR TE'!$T$20*'TR TE'!$T$51</f>
        <v>0</v>
      </c>
      <c r="U20" s="20">
        <f>'TR TE'!$U$20*'TR TE'!$U$51</f>
        <v>0</v>
      </c>
      <c r="V20" s="20">
        <f>'TR TE'!$V$20*'TR TE'!$V$51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TE'!$Z$51</f>
        <v>5.2387903389167247</v>
      </c>
      <c r="AA20" s="20">
        <f>SUM($Z$20:$Z$20)</f>
        <v>5.2387903389167247</v>
      </c>
      <c r="AB20" s="20">
        <f>SUMIF($L$4:$AA$4,"SUBTOTAL",$L$20:$AA$20)</f>
        <v>207.14041897152251</v>
      </c>
    </row>
    <row r="21" spans="1:28" ht="11.25" customHeight="1" x14ac:dyDescent="0.25">
      <c r="A21" s="109"/>
      <c r="B21" s="109"/>
      <c r="C21" s="109"/>
      <c r="D21" s="22" t="s">
        <v>31</v>
      </c>
      <c r="E21" s="22" t="s">
        <v>25</v>
      </c>
      <c r="F21" s="22" t="s">
        <v>25</v>
      </c>
      <c r="G21" s="23" t="s">
        <v>87</v>
      </c>
      <c r="H21" s="23" t="s">
        <v>82</v>
      </c>
      <c r="I21" s="23">
        <f>'MERCADO TE'!$U$18</f>
        <v>0</v>
      </c>
      <c r="J21" s="15"/>
      <c r="L21" s="20">
        <f>'TR TE'!$L$21*'TR TE'!$L$51</f>
        <v>0</v>
      </c>
      <c r="M21" s="20">
        <f>'TR TE'!$M$21*'TR TE'!$M$51</f>
        <v>27.500416620459522</v>
      </c>
      <c r="N21" s="20">
        <f>'TR TE'!$N$21*'TR TE'!$N$51</f>
        <v>0</v>
      </c>
      <c r="O21" s="20">
        <f>'TR TE'!$O$21*'TR TE'!$O$51</f>
        <v>0</v>
      </c>
      <c r="P21" s="20">
        <f>'TR TE'!$P$21*'TR TE'!$P$51</f>
        <v>-16.460184444410494</v>
      </c>
      <c r="Q21" s="20">
        <f>SUM($L$21:$P$21)</f>
        <v>11.040232176049027</v>
      </c>
      <c r="R21" s="20">
        <f>'TR TE'!$R$21*'TR TE'!$R$51</f>
        <v>190.86139645655678</v>
      </c>
      <c r="S21" s="20">
        <f>SUM($R$21:$R$21)</f>
        <v>190.86139645655678</v>
      </c>
      <c r="T21" s="20">
        <f>'TR TE'!$T$21*'TR TE'!$T$51</f>
        <v>0</v>
      </c>
      <c r="U21" s="20">
        <f>'TR TE'!$U$21*'TR TE'!$U$51</f>
        <v>0</v>
      </c>
      <c r="V21" s="20">
        <f>'TR TE'!$V$21*'TR TE'!$V$51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TE'!$Z$51</f>
        <v>5.2387903389167247</v>
      </c>
      <c r="AA21" s="20">
        <f>SUM($Z$21:$Z$21)</f>
        <v>5.2387903389167247</v>
      </c>
      <c r="AB21" s="20">
        <f>SUMIF($L$4:$AA$4,"SUBTOTAL",$L$21:$AA$21)</f>
        <v>207.14041897152251</v>
      </c>
    </row>
    <row r="22" spans="1:28" ht="11.25" customHeight="1" x14ac:dyDescent="0.25">
      <c r="A22" s="109"/>
      <c r="B22" s="109"/>
      <c r="C22" s="109"/>
      <c r="D22" s="22" t="s">
        <v>32</v>
      </c>
      <c r="E22" s="22" t="s">
        <v>25</v>
      </c>
      <c r="F22" s="22" t="s">
        <v>25</v>
      </c>
      <c r="G22" s="23" t="s">
        <v>87</v>
      </c>
      <c r="H22" s="23" t="s">
        <v>82</v>
      </c>
      <c r="I22" s="23">
        <f>'MERCADO TE'!$U$19</f>
        <v>0</v>
      </c>
      <c r="J22" s="15"/>
      <c r="L22" s="20">
        <f>'TR TE'!$L$22*'TR TE'!$L$51</f>
        <v>0</v>
      </c>
      <c r="M22" s="20">
        <f>'TR TE'!$M$22*'TR TE'!$M$51</f>
        <v>27.500416620459522</v>
      </c>
      <c r="N22" s="20">
        <f>'TR TE'!$N$22*'TR TE'!$N$51</f>
        <v>0</v>
      </c>
      <c r="O22" s="20">
        <f>'TR TE'!$O$22*'TR TE'!$O$51</f>
        <v>0</v>
      </c>
      <c r="P22" s="20">
        <f>'TR TE'!$P$22*'TR TE'!$P$51</f>
        <v>-16.460184444410494</v>
      </c>
      <c r="Q22" s="20">
        <f>SUM($L$22:$P$22)</f>
        <v>11.040232176049027</v>
      </c>
      <c r="R22" s="20">
        <f>'TR TE'!$R$22*'TR TE'!$R$51</f>
        <v>190.86139645655678</v>
      </c>
      <c r="S22" s="20">
        <f>SUM($R$22:$R$22)</f>
        <v>190.86139645655678</v>
      </c>
      <c r="T22" s="20">
        <f>'TR TE'!$T$22*'TR TE'!$T$51</f>
        <v>0</v>
      </c>
      <c r="U22" s="20">
        <f>'TR TE'!$U$22*'TR TE'!$U$51</f>
        <v>0</v>
      </c>
      <c r="V22" s="20">
        <f>'TR TE'!$V$22*'TR TE'!$V$51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TE'!$Z$51</f>
        <v>5.2387903389167247</v>
      </c>
      <c r="AA22" s="20">
        <f>SUM($Z$22:$Z$22)</f>
        <v>5.2387903389167247</v>
      </c>
      <c r="AB22" s="20">
        <f>SUMIF($L$4:$AA$4,"SUBTOTAL",$L$22:$AA$22)</f>
        <v>207.14041897152251</v>
      </c>
    </row>
    <row r="23" spans="1:28" ht="11.25" customHeight="1" x14ac:dyDescent="0.25">
      <c r="A23" s="109" t="s">
        <v>40</v>
      </c>
      <c r="B23" s="109" t="s">
        <v>81</v>
      </c>
      <c r="C23" s="109" t="s">
        <v>41</v>
      </c>
      <c r="D23" s="109" t="s">
        <v>25</v>
      </c>
      <c r="E23" s="109" t="s">
        <v>25</v>
      </c>
      <c r="F23" s="109" t="s">
        <v>25</v>
      </c>
      <c r="G23" s="23" t="s">
        <v>83</v>
      </c>
      <c r="H23" s="23" t="s">
        <v>82</v>
      </c>
      <c r="I23" s="23">
        <f>'MERCADO TE'!$U$20</f>
        <v>0</v>
      </c>
      <c r="J23" s="15"/>
      <c r="L23" s="20">
        <f>'TR TE'!$L$23*'TR TE'!$L$51</f>
        <v>0</v>
      </c>
      <c r="M23" s="20">
        <f>'TR TE'!$M$23*'TR TE'!$M$51</f>
        <v>27.500416620459522</v>
      </c>
      <c r="N23" s="20">
        <f>'TR TE'!$N$23*'TR TE'!$N$51</f>
        <v>0</v>
      </c>
      <c r="O23" s="20">
        <f>'TR TE'!$O$23*'TR TE'!$O$51</f>
        <v>0</v>
      </c>
      <c r="P23" s="20">
        <f>'TR TE'!$P$23*'TR TE'!$P$51</f>
        <v>-16.460184444410494</v>
      </c>
      <c r="Q23" s="20">
        <f>SUM($L$23:$P$23)</f>
        <v>11.040232176049027</v>
      </c>
      <c r="R23" s="20">
        <f>'TR TE'!$R$23*'TR TE'!$R$51</f>
        <v>190.86139645655678</v>
      </c>
      <c r="S23" s="20">
        <f>SUM($R$23:$R$23)</f>
        <v>190.86139645655678</v>
      </c>
      <c r="T23" s="20">
        <f>'TR TE'!$T$23*'TR TE'!$T$51</f>
        <v>0</v>
      </c>
      <c r="U23" s="20">
        <f>'TR TE'!$U$23*'TR TE'!$U$51</f>
        <v>0</v>
      </c>
      <c r="V23" s="20">
        <f>'TR TE'!$V$23*'TR TE'!$V$51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TE'!$Z$51</f>
        <v>5.2387903389167247</v>
      </c>
      <c r="AA23" s="20">
        <f>SUM($Z$23:$Z$23)</f>
        <v>5.2387903389167247</v>
      </c>
      <c r="AB23" s="20">
        <f>SUMIF($L$4:$AA$4,"SUBTOTAL",$L$23:$AA$23)</f>
        <v>207.14041897152251</v>
      </c>
    </row>
    <row r="24" spans="1:28" ht="11.25" customHeight="1" x14ac:dyDescent="0.25">
      <c r="A24" s="109"/>
      <c r="B24" s="109"/>
      <c r="C24" s="109"/>
      <c r="D24" s="109"/>
      <c r="E24" s="109"/>
      <c r="F24" s="109"/>
      <c r="G24" s="23" t="s">
        <v>95</v>
      </c>
      <c r="H24" s="23" t="s">
        <v>82</v>
      </c>
      <c r="I24" s="23">
        <f>'MERCADO TE'!$U$21</f>
        <v>0</v>
      </c>
      <c r="J24" s="15"/>
      <c r="L24" s="20">
        <f>'TR TE'!$L$24*'TR TE'!$L$51</f>
        <v>0</v>
      </c>
      <c r="M24" s="20">
        <f>'TR TE'!$M$24*'TR TE'!$M$51</f>
        <v>27.500416620459522</v>
      </c>
      <c r="N24" s="20">
        <f>'TR TE'!$N$24*'TR TE'!$N$51</f>
        <v>0</v>
      </c>
      <c r="O24" s="20">
        <f>'TR TE'!$O$24*'TR TE'!$O$51</f>
        <v>0</v>
      </c>
      <c r="P24" s="20">
        <f>'TR TE'!$P$24*'TR TE'!$P$51</f>
        <v>-16.460184444410494</v>
      </c>
      <c r="Q24" s="20">
        <f>SUM($L$24:$P$24)</f>
        <v>11.040232176049027</v>
      </c>
      <c r="R24" s="20">
        <f>'TR TE'!$R$24*'TR TE'!$R$51</f>
        <v>190.86139645655678</v>
      </c>
      <c r="S24" s="20">
        <f>SUM($R$24:$R$24)</f>
        <v>190.86139645655678</v>
      </c>
      <c r="T24" s="20">
        <f>'TR TE'!$T$24*'TR TE'!$T$51</f>
        <v>0</v>
      </c>
      <c r="U24" s="20">
        <f>'TR TE'!$U$24*'TR TE'!$U$51</f>
        <v>0</v>
      </c>
      <c r="V24" s="20">
        <f>'TR TE'!$V$24*'TR TE'!$V$51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TE'!$Z$51</f>
        <v>5.2387903389167247</v>
      </c>
      <c r="AA24" s="20">
        <f>SUM($Z$24:$Z$24)</f>
        <v>5.2387903389167247</v>
      </c>
      <c r="AB24" s="20">
        <f>SUMIF($L$4:$AA$4,"SUBTOTAL",$L$24:$AA$24)</f>
        <v>207.14041897152251</v>
      </c>
    </row>
    <row r="25" spans="1:28" ht="11.25" customHeight="1" x14ac:dyDescent="0.25">
      <c r="A25" s="109"/>
      <c r="B25" s="109"/>
      <c r="C25" s="109"/>
      <c r="D25" s="109"/>
      <c r="E25" s="109"/>
      <c r="F25" s="109"/>
      <c r="G25" s="23" t="s">
        <v>84</v>
      </c>
      <c r="H25" s="23" t="s">
        <v>82</v>
      </c>
      <c r="I25" s="23">
        <f>'MERCADO TE'!$U$22</f>
        <v>0</v>
      </c>
      <c r="J25" s="15"/>
      <c r="L25" s="20">
        <f>'TR TE'!$L$25*'TR TE'!$L$51</f>
        <v>0</v>
      </c>
      <c r="M25" s="20">
        <f>'TR TE'!$M$25*'TR TE'!$M$51</f>
        <v>27.500416620459522</v>
      </c>
      <c r="N25" s="20">
        <f>'TR TE'!$N$25*'TR TE'!$N$51</f>
        <v>0</v>
      </c>
      <c r="O25" s="20">
        <f>'TR TE'!$O$25*'TR TE'!$O$51</f>
        <v>0</v>
      </c>
      <c r="P25" s="20">
        <f>'TR TE'!$P$25*'TR TE'!$P$51</f>
        <v>-16.460184444410494</v>
      </c>
      <c r="Q25" s="20">
        <f>SUM($L$25:$P$25)</f>
        <v>11.040232176049027</v>
      </c>
      <c r="R25" s="20">
        <f>'TR TE'!$R$25*'TR TE'!$R$51</f>
        <v>190.86139645655678</v>
      </c>
      <c r="S25" s="20">
        <f>SUM($R$25:$R$25)</f>
        <v>190.86139645655678</v>
      </c>
      <c r="T25" s="20">
        <f>'TR TE'!$T$25*'TR TE'!$T$51</f>
        <v>0</v>
      </c>
      <c r="U25" s="20">
        <f>'TR TE'!$U$25*'TR TE'!$U$51</f>
        <v>0</v>
      </c>
      <c r="V25" s="20">
        <f>'TR TE'!$V$25*'TR TE'!$V$51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TE'!$Z$51</f>
        <v>5.2387903389167247</v>
      </c>
      <c r="AA25" s="20">
        <f>SUM($Z$25:$Z$25)</f>
        <v>5.2387903389167247</v>
      </c>
      <c r="AB25" s="20">
        <f>SUMIF($L$4:$AA$4,"SUBTOTAL",$L$25:$AA$25)</f>
        <v>207.14041897152251</v>
      </c>
    </row>
    <row r="26" spans="1:28" ht="11.25" customHeight="1" x14ac:dyDescent="0.25">
      <c r="A26" s="109"/>
      <c r="B26" s="22" t="s">
        <v>96</v>
      </c>
      <c r="C26" s="22" t="s">
        <v>41</v>
      </c>
      <c r="D26" s="22" t="s">
        <v>25</v>
      </c>
      <c r="E26" s="22" t="s">
        <v>25</v>
      </c>
      <c r="F26" s="22" t="s">
        <v>25</v>
      </c>
      <c r="G26" s="23" t="s">
        <v>87</v>
      </c>
      <c r="H26" s="23" t="s">
        <v>82</v>
      </c>
      <c r="I26" s="23">
        <f>'MERCADO TE'!$U$23</f>
        <v>28155.339999999997</v>
      </c>
      <c r="J26" s="15"/>
      <c r="L26" s="20">
        <f>'TR TE'!$L$26*'TR TE'!$L$51</f>
        <v>0</v>
      </c>
      <c r="M26" s="20">
        <f>'TR TE'!$M$26*'TR TE'!$M$51</f>
        <v>27.500416620459522</v>
      </c>
      <c r="N26" s="20">
        <f>'TR TE'!$N$26*'TR TE'!$N$51</f>
        <v>0</v>
      </c>
      <c r="O26" s="20">
        <f>'TR TE'!$O$26*'TR TE'!$O$51</f>
        <v>0</v>
      </c>
      <c r="P26" s="20">
        <f>'TR TE'!$P$26*'TR TE'!$P$51</f>
        <v>-16.460184444410494</v>
      </c>
      <c r="Q26" s="20">
        <f>SUM($L$26:$P$26)</f>
        <v>11.040232176049027</v>
      </c>
      <c r="R26" s="20">
        <f>'TR TE'!$R$26*'TR TE'!$R$51</f>
        <v>190.86139645655678</v>
      </c>
      <c r="S26" s="20">
        <f>SUM($R$26:$R$26)</f>
        <v>190.86139645655678</v>
      </c>
      <c r="T26" s="20">
        <f>'TR TE'!$T$26*'TR TE'!$T$51</f>
        <v>0</v>
      </c>
      <c r="U26" s="20">
        <f>'TR TE'!$U$26*'TR TE'!$U$51</f>
        <v>0</v>
      </c>
      <c r="V26" s="20">
        <f>'TR TE'!$V$26*'TR TE'!$V$51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TE'!$Z$51</f>
        <v>5.2387903389167247</v>
      </c>
      <c r="AA26" s="20">
        <f>SUM($Z$26:$Z$26)</f>
        <v>5.2387903389167247</v>
      </c>
      <c r="AB26" s="20">
        <f>SUMIF($L$4:$AA$4,"SUBTOTAL",$L$26:$AA$26)</f>
        <v>207.14041897152251</v>
      </c>
    </row>
    <row r="27" spans="1:28" ht="11.25" customHeight="1" x14ac:dyDescent="0.25">
      <c r="A27" s="109"/>
      <c r="B27" s="109" t="s">
        <v>81</v>
      </c>
      <c r="C27" s="109" t="s">
        <v>41</v>
      </c>
      <c r="D27" s="109" t="s">
        <v>100</v>
      </c>
      <c r="E27" s="109" t="s">
        <v>25</v>
      </c>
      <c r="F27" s="109" t="s">
        <v>25</v>
      </c>
      <c r="G27" s="23" t="s">
        <v>83</v>
      </c>
      <c r="H27" s="23" t="s">
        <v>82</v>
      </c>
      <c r="I27" s="23">
        <f>'MERCADO TE'!$U$24</f>
        <v>0</v>
      </c>
      <c r="J27" s="15"/>
      <c r="L27" s="20">
        <f>'TR TE'!$L$27*'TR TE'!$L$51</f>
        <v>0</v>
      </c>
      <c r="M27" s="20">
        <f>'TR TE'!$M$27*'TR TE'!$M$51</f>
        <v>27.500416620459522</v>
      </c>
      <c r="N27" s="20">
        <f>'TR TE'!$N$27*'TR TE'!$N$51</f>
        <v>0</v>
      </c>
      <c r="O27" s="20">
        <f>'TR TE'!$O$27*'TR TE'!$O$51</f>
        <v>0</v>
      </c>
      <c r="P27" s="20">
        <f>'TR TE'!$P$27*'TR TE'!$P$51</f>
        <v>-16.460184444410494</v>
      </c>
      <c r="Q27" s="20">
        <f>SUM($L$27:$P$27)</f>
        <v>11.040232176049027</v>
      </c>
      <c r="R27" s="20">
        <f>'TR TE'!$R$27*'TR TE'!$R$51</f>
        <v>190.86139645655678</v>
      </c>
      <c r="S27" s="20">
        <f>SUM($R$27:$R$27)</f>
        <v>190.86139645655678</v>
      </c>
      <c r="T27" s="20">
        <f>'TR TE'!$T$27*'TR TE'!$T$51</f>
        <v>0</v>
      </c>
      <c r="U27" s="20">
        <f>'TR TE'!$U$27*'TR TE'!$U$51</f>
        <v>0</v>
      </c>
      <c r="V27" s="20">
        <f>'TR TE'!$V$27*'TR TE'!$V$51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TE'!$Z$51</f>
        <v>5.2387903389167247</v>
      </c>
      <c r="AA27" s="20">
        <f>SUM($Z$27:$Z$27)</f>
        <v>5.2387903389167247</v>
      </c>
      <c r="AB27" s="20">
        <f>SUMIF($L$4:$AA$4,"SUBTOTAL",$L$27:$AA$27)</f>
        <v>207.14041897152251</v>
      </c>
    </row>
    <row r="28" spans="1:28" ht="11.25" customHeight="1" x14ac:dyDescent="0.25">
      <c r="A28" s="109"/>
      <c r="B28" s="109"/>
      <c r="C28" s="109"/>
      <c r="D28" s="109"/>
      <c r="E28" s="109"/>
      <c r="F28" s="109"/>
      <c r="G28" s="23" t="s">
        <v>95</v>
      </c>
      <c r="H28" s="23" t="s">
        <v>82</v>
      </c>
      <c r="I28" s="23">
        <f>'MERCADO TE'!$U$25</f>
        <v>0</v>
      </c>
      <c r="J28" s="15"/>
      <c r="L28" s="20">
        <f>'TR TE'!$L$28*'TR TE'!$L$51</f>
        <v>0</v>
      </c>
      <c r="M28" s="20">
        <f>'TR TE'!$M$28*'TR TE'!$M$51</f>
        <v>27.500416620459522</v>
      </c>
      <c r="N28" s="20">
        <f>'TR TE'!$N$28*'TR TE'!$N$51</f>
        <v>0</v>
      </c>
      <c r="O28" s="20">
        <f>'TR TE'!$O$28*'TR TE'!$O$51</f>
        <v>0</v>
      </c>
      <c r="P28" s="20">
        <f>'TR TE'!$P$28*'TR TE'!$P$51</f>
        <v>-16.460184444410494</v>
      </c>
      <c r="Q28" s="20">
        <f>SUM($L$28:$P$28)</f>
        <v>11.040232176049027</v>
      </c>
      <c r="R28" s="20">
        <f>'TR TE'!$R$28*'TR TE'!$R$51</f>
        <v>190.86139645655678</v>
      </c>
      <c r="S28" s="20">
        <f>SUM($R$28:$R$28)</f>
        <v>190.86139645655678</v>
      </c>
      <c r="T28" s="20">
        <f>'TR TE'!$T$28*'TR TE'!$T$51</f>
        <v>0</v>
      </c>
      <c r="U28" s="20">
        <f>'TR TE'!$U$28*'TR TE'!$U$51</f>
        <v>0</v>
      </c>
      <c r="V28" s="20">
        <f>'TR TE'!$V$28*'TR TE'!$V$51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TE'!$Z$51</f>
        <v>5.2387903389167247</v>
      </c>
      <c r="AA28" s="20">
        <f>SUM($Z$28:$Z$28)</f>
        <v>5.2387903389167247</v>
      </c>
      <c r="AB28" s="20">
        <f>SUMIF($L$4:$AA$4,"SUBTOTAL",$L$28:$AA$28)</f>
        <v>207.14041897152251</v>
      </c>
    </row>
    <row r="29" spans="1:28" ht="11.25" customHeight="1" x14ac:dyDescent="0.25">
      <c r="A29" s="109"/>
      <c r="B29" s="109"/>
      <c r="C29" s="109"/>
      <c r="D29" s="109"/>
      <c r="E29" s="109"/>
      <c r="F29" s="109"/>
      <c r="G29" s="23" t="s">
        <v>84</v>
      </c>
      <c r="H29" s="23" t="s">
        <v>82</v>
      </c>
      <c r="I29" s="23">
        <f>'MERCADO TE'!$U$26</f>
        <v>0</v>
      </c>
      <c r="J29" s="15"/>
      <c r="L29" s="20">
        <f>'TR TE'!$L$29*'TR TE'!$L$51</f>
        <v>0</v>
      </c>
      <c r="M29" s="20">
        <f>'TR TE'!$M$29*'TR TE'!$M$51</f>
        <v>27.500416620459522</v>
      </c>
      <c r="N29" s="20">
        <f>'TR TE'!$N$29*'TR TE'!$N$51</f>
        <v>0</v>
      </c>
      <c r="O29" s="20">
        <f>'TR TE'!$O$29*'TR TE'!$O$51</f>
        <v>0</v>
      </c>
      <c r="P29" s="20">
        <f>'TR TE'!$P$29*'TR TE'!$P$51</f>
        <v>-16.460184444410494</v>
      </c>
      <c r="Q29" s="20">
        <f>SUM($L$29:$P$29)</f>
        <v>11.040232176049027</v>
      </c>
      <c r="R29" s="20">
        <f>'TR TE'!$R$29*'TR TE'!$R$51</f>
        <v>190.86139645655678</v>
      </c>
      <c r="S29" s="20">
        <f>SUM($R$29:$R$29)</f>
        <v>190.86139645655678</v>
      </c>
      <c r="T29" s="20">
        <f>'TR TE'!$T$29*'TR TE'!$T$51</f>
        <v>0</v>
      </c>
      <c r="U29" s="20">
        <f>'TR TE'!$U$29*'TR TE'!$U$51</f>
        <v>0</v>
      </c>
      <c r="V29" s="20">
        <f>'TR TE'!$V$29*'TR TE'!$V$51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TE'!$Z$51</f>
        <v>5.2387903389167247</v>
      </c>
      <c r="AA29" s="20">
        <f>SUM($Z$29:$Z$29)</f>
        <v>5.2387903389167247</v>
      </c>
      <c r="AB29" s="20">
        <f>SUMIF($L$4:$AA$4,"SUBTOTAL",$L$29:$AA$29)</f>
        <v>207.14041897152251</v>
      </c>
    </row>
    <row r="30" spans="1:28" ht="11.25" customHeight="1" x14ac:dyDescent="0.25">
      <c r="A30" s="109"/>
      <c r="B30" s="22" t="s">
        <v>96</v>
      </c>
      <c r="C30" s="22" t="s">
        <v>41</v>
      </c>
      <c r="D30" s="22" t="s">
        <v>100</v>
      </c>
      <c r="E30" s="22" t="s">
        <v>25</v>
      </c>
      <c r="F30" s="22" t="s">
        <v>25</v>
      </c>
      <c r="G30" s="23" t="s">
        <v>87</v>
      </c>
      <c r="H30" s="23" t="s">
        <v>82</v>
      </c>
      <c r="I30" s="23">
        <f>'MERCADO TE'!$U$27</f>
        <v>0</v>
      </c>
      <c r="J30" s="15"/>
      <c r="L30" s="20">
        <f>'TR TE'!$L$30*'TR TE'!$L$51</f>
        <v>0</v>
      </c>
      <c r="M30" s="20">
        <f>'TR TE'!$M$30*'TR TE'!$M$51</f>
        <v>27.500416620459522</v>
      </c>
      <c r="N30" s="20">
        <f>'TR TE'!$N$30*'TR TE'!$N$51</f>
        <v>0</v>
      </c>
      <c r="O30" s="20">
        <f>'TR TE'!$O$30*'TR TE'!$O$51</f>
        <v>0</v>
      </c>
      <c r="P30" s="20">
        <f>'TR TE'!$P$30*'TR TE'!$P$51</f>
        <v>-16.460184444410494</v>
      </c>
      <c r="Q30" s="20">
        <f>SUM($L$30:$P$30)</f>
        <v>11.040232176049027</v>
      </c>
      <c r="R30" s="20">
        <f>'TR TE'!$R$30*'TR TE'!$R$51</f>
        <v>190.86139645655678</v>
      </c>
      <c r="S30" s="20">
        <f>SUM($R$30:$R$30)</f>
        <v>190.86139645655678</v>
      </c>
      <c r="T30" s="20">
        <f>'TR TE'!$T$30*'TR TE'!$T$51</f>
        <v>0</v>
      </c>
      <c r="U30" s="20">
        <f>'TR TE'!$U$30*'TR TE'!$U$51</f>
        <v>0</v>
      </c>
      <c r="V30" s="20">
        <f>'TR TE'!$V$30*'TR TE'!$V$51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TE'!$Z$51</f>
        <v>5.2387903389167247</v>
      </c>
      <c r="AA30" s="20">
        <f>SUM($Z$30:$Z$30)</f>
        <v>5.2387903389167247</v>
      </c>
      <c r="AB30" s="20">
        <f>SUMIF($L$4:$AA$4,"SUBTOTAL",$L$30:$AA$30)</f>
        <v>207.14041897152251</v>
      </c>
    </row>
    <row r="31" spans="1:28" ht="11.25" customHeight="1" x14ac:dyDescent="0.25">
      <c r="A31" s="109"/>
      <c r="B31" s="109" t="s">
        <v>81</v>
      </c>
      <c r="C31" s="109" t="s">
        <v>41</v>
      </c>
      <c r="D31" s="109" t="s">
        <v>101</v>
      </c>
      <c r="E31" s="109" t="s">
        <v>25</v>
      </c>
      <c r="F31" s="109" t="s">
        <v>25</v>
      </c>
      <c r="G31" s="23" t="s">
        <v>83</v>
      </c>
      <c r="H31" s="23" t="s">
        <v>82</v>
      </c>
      <c r="I31" s="23">
        <f>'MERCADO TE'!$U$28</f>
        <v>0</v>
      </c>
      <c r="J31" s="15"/>
      <c r="L31" s="20">
        <f>'TR TE'!$L$31*'TR TE'!$L$51</f>
        <v>0</v>
      </c>
      <c r="M31" s="20">
        <f>'TR TE'!$M$31*'TR TE'!$M$51</f>
        <v>27.500416620459522</v>
      </c>
      <c r="N31" s="20">
        <f>'TR TE'!$N$31*'TR TE'!$N$51</f>
        <v>0</v>
      </c>
      <c r="O31" s="20">
        <f>'TR TE'!$O$31*'TR TE'!$O$51</f>
        <v>0</v>
      </c>
      <c r="P31" s="20">
        <f>'TR TE'!$P$31*'TR TE'!$P$51</f>
        <v>-16.460184444410494</v>
      </c>
      <c r="Q31" s="20">
        <f>SUM($L$31:$P$31)</f>
        <v>11.040232176049027</v>
      </c>
      <c r="R31" s="20">
        <f>'TR TE'!$R$31*'TR TE'!$R$51</f>
        <v>190.86139645655678</v>
      </c>
      <c r="S31" s="20">
        <f>SUM($R$31:$R$31)</f>
        <v>190.86139645655678</v>
      </c>
      <c r="T31" s="20">
        <f>'TR TE'!$T$31*'TR TE'!$T$51</f>
        <v>0</v>
      </c>
      <c r="U31" s="20">
        <f>'TR TE'!$U$31*'TR TE'!$U$51</f>
        <v>0</v>
      </c>
      <c r="V31" s="20">
        <f>'TR TE'!$V$31*'TR TE'!$V$51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TE'!$Z$51</f>
        <v>5.2387903389167247</v>
      </c>
      <c r="AA31" s="20">
        <f>SUM($Z$31:$Z$31)</f>
        <v>5.2387903389167247</v>
      </c>
      <c r="AB31" s="20">
        <f>SUMIF($L$4:$AA$4,"SUBTOTAL",$L$31:$AA$31)</f>
        <v>207.14041897152251</v>
      </c>
    </row>
    <row r="32" spans="1:28" ht="11.25" customHeight="1" x14ac:dyDescent="0.25">
      <c r="A32" s="109"/>
      <c r="B32" s="109"/>
      <c r="C32" s="109"/>
      <c r="D32" s="109"/>
      <c r="E32" s="109"/>
      <c r="F32" s="109"/>
      <c r="G32" s="23" t="s">
        <v>95</v>
      </c>
      <c r="H32" s="23" t="s">
        <v>82</v>
      </c>
      <c r="I32" s="23">
        <f>'MERCADO TE'!$U$29</f>
        <v>0</v>
      </c>
      <c r="J32" s="15"/>
      <c r="L32" s="20">
        <f>'TR TE'!$L$32*'TR TE'!$L$51</f>
        <v>0</v>
      </c>
      <c r="M32" s="20">
        <f>'TR TE'!$M$32*'TR TE'!$M$51</f>
        <v>27.500416620459522</v>
      </c>
      <c r="N32" s="20">
        <f>'TR TE'!$N$32*'TR TE'!$N$51</f>
        <v>0</v>
      </c>
      <c r="O32" s="20">
        <f>'TR TE'!$O$32*'TR TE'!$O$51</f>
        <v>0</v>
      </c>
      <c r="P32" s="20">
        <f>'TR TE'!$P$32*'TR TE'!$P$51</f>
        <v>-16.460184444410494</v>
      </c>
      <c r="Q32" s="20">
        <f>SUM($L$32:$P$32)</f>
        <v>11.040232176049027</v>
      </c>
      <c r="R32" s="20">
        <f>'TR TE'!$R$32*'TR TE'!$R$51</f>
        <v>190.86139645655678</v>
      </c>
      <c r="S32" s="20">
        <f>SUM($R$32:$R$32)</f>
        <v>190.86139645655678</v>
      </c>
      <c r="T32" s="20">
        <f>'TR TE'!$T$32*'TR TE'!$T$51</f>
        <v>0</v>
      </c>
      <c r="U32" s="20">
        <f>'TR TE'!$U$32*'TR TE'!$U$51</f>
        <v>0</v>
      </c>
      <c r="V32" s="20">
        <f>'TR TE'!$V$32*'TR TE'!$V$51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TE'!$Z$51</f>
        <v>5.2387903389167247</v>
      </c>
      <c r="AA32" s="20">
        <f>SUM($Z$32:$Z$32)</f>
        <v>5.2387903389167247</v>
      </c>
      <c r="AB32" s="20">
        <f>SUMIF($L$4:$AA$4,"SUBTOTAL",$L$32:$AA$32)</f>
        <v>207.14041897152251</v>
      </c>
    </row>
    <row r="33" spans="1:28" ht="11.25" customHeight="1" x14ac:dyDescent="0.25">
      <c r="A33" s="109"/>
      <c r="B33" s="109"/>
      <c r="C33" s="109"/>
      <c r="D33" s="109"/>
      <c r="E33" s="109"/>
      <c r="F33" s="109"/>
      <c r="G33" s="23" t="s">
        <v>84</v>
      </c>
      <c r="H33" s="23" t="s">
        <v>82</v>
      </c>
      <c r="I33" s="23">
        <f>'MERCADO TE'!$U$30</f>
        <v>0</v>
      </c>
      <c r="J33" s="15"/>
      <c r="L33" s="20">
        <f>'TR TE'!$L$33*'TR TE'!$L$51</f>
        <v>0</v>
      </c>
      <c r="M33" s="20">
        <f>'TR TE'!$M$33*'TR TE'!$M$51</f>
        <v>27.500416620459522</v>
      </c>
      <c r="N33" s="20">
        <f>'TR TE'!$N$33*'TR TE'!$N$51</f>
        <v>0</v>
      </c>
      <c r="O33" s="20">
        <f>'TR TE'!$O$33*'TR TE'!$O$51</f>
        <v>0</v>
      </c>
      <c r="P33" s="20">
        <f>'TR TE'!$P$33*'TR TE'!$P$51</f>
        <v>-16.460184444410494</v>
      </c>
      <c r="Q33" s="20">
        <f>SUM($L$33:$P$33)</f>
        <v>11.040232176049027</v>
      </c>
      <c r="R33" s="20">
        <f>'TR TE'!$R$33*'TR TE'!$R$51</f>
        <v>190.86139645655678</v>
      </c>
      <c r="S33" s="20">
        <f>SUM($R$33:$R$33)</f>
        <v>190.86139645655678</v>
      </c>
      <c r="T33" s="20">
        <f>'TR TE'!$T$33*'TR TE'!$T$51</f>
        <v>0</v>
      </c>
      <c r="U33" s="20">
        <f>'TR TE'!$U$33*'TR TE'!$U$51</f>
        <v>0</v>
      </c>
      <c r="V33" s="20">
        <f>'TR TE'!$V$33*'TR TE'!$V$51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TE'!$Z$51</f>
        <v>5.2387903389167247</v>
      </c>
      <c r="AA33" s="20">
        <f>SUM($Z$33:$Z$33)</f>
        <v>5.2387903389167247</v>
      </c>
      <c r="AB33" s="20">
        <f>SUMIF($L$4:$AA$4,"SUBTOTAL",$L$33:$AA$33)</f>
        <v>207.14041897152251</v>
      </c>
    </row>
    <row r="34" spans="1:28" ht="11.25" customHeight="1" x14ac:dyDescent="0.25">
      <c r="A34" s="109"/>
      <c r="B34" s="22" t="s">
        <v>96</v>
      </c>
      <c r="C34" s="22" t="s">
        <v>41</v>
      </c>
      <c r="D34" s="22" t="s">
        <v>101</v>
      </c>
      <c r="E34" s="22" t="s">
        <v>25</v>
      </c>
      <c r="F34" s="22" t="s">
        <v>25</v>
      </c>
      <c r="G34" s="23" t="s">
        <v>87</v>
      </c>
      <c r="H34" s="23" t="s">
        <v>82</v>
      </c>
      <c r="I34" s="23">
        <f>'MERCADO TE'!$U$31</f>
        <v>0</v>
      </c>
      <c r="J34" s="15"/>
      <c r="L34" s="20">
        <f>'TR TE'!$L$34*'TR TE'!$L$51</f>
        <v>0</v>
      </c>
      <c r="M34" s="20">
        <f>'TR TE'!$M$34*'TR TE'!$M$51</f>
        <v>27.500416620459522</v>
      </c>
      <c r="N34" s="20">
        <f>'TR TE'!$N$34*'TR TE'!$N$51</f>
        <v>0</v>
      </c>
      <c r="O34" s="20">
        <f>'TR TE'!$O$34*'TR TE'!$O$51</f>
        <v>0</v>
      </c>
      <c r="P34" s="20">
        <f>'TR TE'!$P$34*'TR TE'!$P$51</f>
        <v>-16.460184444410494</v>
      </c>
      <c r="Q34" s="20">
        <f>SUM($L$34:$P$34)</f>
        <v>11.040232176049027</v>
      </c>
      <c r="R34" s="20">
        <f>'TR TE'!$R$34*'TR TE'!$R$51</f>
        <v>190.86139645655678</v>
      </c>
      <c r="S34" s="20">
        <f>SUM($R$34:$R$34)</f>
        <v>190.86139645655678</v>
      </c>
      <c r="T34" s="20">
        <f>'TR TE'!$T$34*'TR TE'!$T$51</f>
        <v>0</v>
      </c>
      <c r="U34" s="20">
        <f>'TR TE'!$U$34*'TR TE'!$U$51</f>
        <v>0</v>
      </c>
      <c r="V34" s="20">
        <f>'TR TE'!$V$34*'TR TE'!$V$51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TE'!$Z$51</f>
        <v>5.2387903389167247</v>
      </c>
      <c r="AA34" s="20">
        <f>SUM($Z$34:$Z$34)</f>
        <v>5.2387903389167247</v>
      </c>
      <c r="AB34" s="20">
        <f>SUMIF($L$4:$AA$4,"SUBTOTAL",$L$34:$AA$34)</f>
        <v>207.14041897152251</v>
      </c>
    </row>
    <row r="35" spans="1:28" ht="11.25" customHeight="1" x14ac:dyDescent="0.25">
      <c r="A35" s="109"/>
      <c r="B35" s="109" t="s">
        <v>98</v>
      </c>
      <c r="C35" s="109" t="s">
        <v>41</v>
      </c>
      <c r="D35" s="22" t="s">
        <v>25</v>
      </c>
      <c r="E35" s="22" t="s">
        <v>25</v>
      </c>
      <c r="F35" s="22" t="s">
        <v>25</v>
      </c>
      <c r="G35" s="23" t="s">
        <v>87</v>
      </c>
      <c r="H35" s="23" t="s">
        <v>82</v>
      </c>
      <c r="I35" s="23">
        <f>'MERCADO TE'!$U$32</f>
        <v>0</v>
      </c>
      <c r="J35" s="15"/>
      <c r="L35" s="20">
        <f>'TR TE'!$L$35*'TR TE'!$L$51</f>
        <v>0</v>
      </c>
      <c r="M35" s="20">
        <f>'TR TE'!$M$35*'TR TE'!$M$51</f>
        <v>27.500416620459522</v>
      </c>
      <c r="N35" s="20">
        <f>'TR TE'!$N$35*'TR TE'!$N$51</f>
        <v>0</v>
      </c>
      <c r="O35" s="20">
        <f>'TR TE'!$O$35*'TR TE'!$O$51</f>
        <v>0</v>
      </c>
      <c r="P35" s="20">
        <f>'TR TE'!$P$35*'TR TE'!$P$51</f>
        <v>-16.460184444410494</v>
      </c>
      <c r="Q35" s="20">
        <f>SUM($L$35:$P$35)</f>
        <v>11.040232176049027</v>
      </c>
      <c r="R35" s="20">
        <f>'TR TE'!$R$35*'TR TE'!$R$51</f>
        <v>190.86139645655678</v>
      </c>
      <c r="S35" s="20">
        <f>SUM($R$35:$R$35)</f>
        <v>190.86139645655678</v>
      </c>
      <c r="T35" s="20">
        <f>'TR TE'!$T$35*'TR TE'!$T$51</f>
        <v>0</v>
      </c>
      <c r="U35" s="20">
        <f>'TR TE'!$U$35*'TR TE'!$U$51</f>
        <v>0</v>
      </c>
      <c r="V35" s="20">
        <f>'TR TE'!$V$35*'TR TE'!$V$51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TE'!$Z$51</f>
        <v>5.2387903389167247</v>
      </c>
      <c r="AA35" s="20">
        <f>SUM($Z$35:$Z$35)</f>
        <v>5.2387903389167247</v>
      </c>
      <c r="AB35" s="20">
        <f>SUMIF($L$4:$AA$4,"SUBTOTAL",$L$35:$AA$35)</f>
        <v>207.14041897152251</v>
      </c>
    </row>
    <row r="36" spans="1:28" ht="11.25" customHeight="1" x14ac:dyDescent="0.25">
      <c r="A36" s="109"/>
      <c r="B36" s="109"/>
      <c r="C36" s="109"/>
      <c r="D36" s="22" t="s">
        <v>100</v>
      </c>
      <c r="E36" s="22" t="s">
        <v>25</v>
      </c>
      <c r="F36" s="22" t="s">
        <v>25</v>
      </c>
      <c r="G36" s="23" t="s">
        <v>87</v>
      </c>
      <c r="H36" s="23" t="s">
        <v>82</v>
      </c>
      <c r="I36" s="23">
        <f>'MERCADO TE'!$U$33</f>
        <v>0</v>
      </c>
      <c r="J36" s="15"/>
      <c r="L36" s="20">
        <f>'TR TE'!$L$36*'TR TE'!$L$51</f>
        <v>0</v>
      </c>
      <c r="M36" s="20">
        <f>'TR TE'!$M$36*'TR TE'!$M$51</f>
        <v>27.500416620459522</v>
      </c>
      <c r="N36" s="20">
        <f>'TR TE'!$N$36*'TR TE'!$N$51</f>
        <v>0</v>
      </c>
      <c r="O36" s="20">
        <f>'TR TE'!$O$36*'TR TE'!$O$51</f>
        <v>0</v>
      </c>
      <c r="P36" s="20">
        <f>'TR TE'!$P$36*'TR TE'!$P$51</f>
        <v>-16.460184444410494</v>
      </c>
      <c r="Q36" s="20">
        <f>SUM($L$36:$P$36)</f>
        <v>11.040232176049027</v>
      </c>
      <c r="R36" s="20">
        <f>'TR TE'!$R$36*'TR TE'!$R$51</f>
        <v>190.86139645655678</v>
      </c>
      <c r="S36" s="20">
        <f>SUM($R$36:$R$36)</f>
        <v>190.86139645655678</v>
      </c>
      <c r="T36" s="20">
        <f>'TR TE'!$T$36*'TR TE'!$T$51</f>
        <v>0</v>
      </c>
      <c r="U36" s="20">
        <f>'TR TE'!$U$36*'TR TE'!$U$51</f>
        <v>0</v>
      </c>
      <c r="V36" s="20">
        <f>'TR TE'!$V$36*'TR TE'!$V$51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TE'!$Z$51</f>
        <v>5.2387903389167247</v>
      </c>
      <c r="AA36" s="20">
        <f>SUM($Z$36:$Z$36)</f>
        <v>5.2387903389167247</v>
      </c>
      <c r="AB36" s="20">
        <f>SUMIF($L$4:$AA$4,"SUBTOTAL",$L$36:$AA$36)</f>
        <v>207.14041897152251</v>
      </c>
    </row>
    <row r="37" spans="1:28" ht="11.25" customHeight="1" x14ac:dyDescent="0.25">
      <c r="A37" s="109"/>
      <c r="B37" s="109"/>
      <c r="C37" s="109"/>
      <c r="D37" s="22" t="s">
        <v>101</v>
      </c>
      <c r="E37" s="22" t="s">
        <v>25</v>
      </c>
      <c r="F37" s="22" t="s">
        <v>25</v>
      </c>
      <c r="G37" s="23" t="s">
        <v>87</v>
      </c>
      <c r="H37" s="23" t="s">
        <v>82</v>
      </c>
      <c r="I37" s="23">
        <f>'MERCADO TE'!$U$34</f>
        <v>0</v>
      </c>
      <c r="J37" s="15"/>
      <c r="L37" s="20">
        <f>'TR TE'!$L$37*'TR TE'!$L$51</f>
        <v>0</v>
      </c>
      <c r="M37" s="20">
        <f>'TR TE'!$M$37*'TR TE'!$M$51</f>
        <v>27.500416620459522</v>
      </c>
      <c r="N37" s="20">
        <f>'TR TE'!$N$37*'TR TE'!$N$51</f>
        <v>0</v>
      </c>
      <c r="O37" s="20">
        <f>'TR TE'!$O$37*'TR TE'!$O$51</f>
        <v>0</v>
      </c>
      <c r="P37" s="20">
        <f>'TR TE'!$P$37*'TR TE'!$P$51</f>
        <v>-16.460184444410494</v>
      </c>
      <c r="Q37" s="20">
        <f>SUM($L$37:$P$37)</f>
        <v>11.040232176049027</v>
      </c>
      <c r="R37" s="20">
        <f>'TR TE'!$R$37*'TR TE'!$R$51</f>
        <v>190.86139645655678</v>
      </c>
      <c r="S37" s="20">
        <f>SUM($R$37:$R$37)</f>
        <v>190.86139645655678</v>
      </c>
      <c r="T37" s="20">
        <f>'TR TE'!$T$37*'TR TE'!$T$51</f>
        <v>0</v>
      </c>
      <c r="U37" s="20">
        <f>'TR TE'!$U$37*'TR TE'!$U$51</f>
        <v>0</v>
      </c>
      <c r="V37" s="20">
        <f>'TR TE'!$V$37*'TR TE'!$V$51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TE'!$Z$51</f>
        <v>5.2387903389167247</v>
      </c>
      <c r="AA37" s="20">
        <f>SUM($Z$37:$Z$37)</f>
        <v>5.2387903389167247</v>
      </c>
      <c r="AB37" s="20">
        <f>SUMIF($L$4:$AA$4,"SUBTOTAL",$L$37:$AA$37)</f>
        <v>207.14041897152251</v>
      </c>
    </row>
    <row r="38" spans="1:28" ht="11.25" customHeight="1" x14ac:dyDescent="0.25">
      <c r="A38" s="109" t="s">
        <v>33</v>
      </c>
      <c r="B38" s="109" t="s">
        <v>81</v>
      </c>
      <c r="C38" s="109" t="s">
        <v>25</v>
      </c>
      <c r="D38" s="109" t="s">
        <v>25</v>
      </c>
      <c r="E38" s="109" t="s">
        <v>25</v>
      </c>
      <c r="F38" s="109" t="s">
        <v>25</v>
      </c>
      <c r="G38" s="23" t="s">
        <v>83</v>
      </c>
      <c r="H38" s="23" t="s">
        <v>82</v>
      </c>
      <c r="I38" s="23">
        <f>'MERCADO TE'!$U$35</f>
        <v>0</v>
      </c>
      <c r="J38" s="15"/>
      <c r="L38" s="20">
        <f>'TR TE'!$L$38*'TR TE'!$L$51</f>
        <v>0</v>
      </c>
      <c r="M38" s="20">
        <f>'TR TE'!$M$38*'TR TE'!$M$51</f>
        <v>27.500416620459522</v>
      </c>
      <c r="N38" s="20">
        <f>'TR TE'!$N$38*'TR TE'!$N$51</f>
        <v>0</v>
      </c>
      <c r="O38" s="20">
        <f>'TR TE'!$O$38*'TR TE'!$O$51</f>
        <v>0</v>
      </c>
      <c r="P38" s="20">
        <f>'TR TE'!$P$38*'TR TE'!$P$51</f>
        <v>-16.460184444410494</v>
      </c>
      <c r="Q38" s="20">
        <f>SUM($L$38:$P$38)</f>
        <v>11.040232176049027</v>
      </c>
      <c r="R38" s="20">
        <f>'TR TE'!$R$38*'TR TE'!$R$51</f>
        <v>190.86139645655678</v>
      </c>
      <c r="S38" s="20">
        <f>SUM($R$38:$R$38)</f>
        <v>190.86139645655678</v>
      </c>
      <c r="T38" s="20">
        <f>'TR TE'!$T$38*'TR TE'!$T$51</f>
        <v>0</v>
      </c>
      <c r="U38" s="20">
        <f>'TR TE'!$U$38*'TR TE'!$U$51</f>
        <v>0</v>
      </c>
      <c r="V38" s="20">
        <f>'TR TE'!$V$38*'TR TE'!$V$51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TE'!$Z$51</f>
        <v>5.2387903389167247</v>
      </c>
      <c r="AA38" s="20">
        <f>SUM($Z$38:$Z$38)</f>
        <v>5.2387903389167247</v>
      </c>
      <c r="AB38" s="20">
        <f>SUMIF($L$4:$AA$4,"SUBTOTAL",$L$38:$AA$38)</f>
        <v>207.14041897152251</v>
      </c>
    </row>
    <row r="39" spans="1:28" ht="11.25" customHeight="1" x14ac:dyDescent="0.25">
      <c r="A39" s="109"/>
      <c r="B39" s="109"/>
      <c r="C39" s="109"/>
      <c r="D39" s="109"/>
      <c r="E39" s="109"/>
      <c r="F39" s="109"/>
      <c r="G39" s="23" t="s">
        <v>95</v>
      </c>
      <c r="H39" s="23" t="s">
        <v>82</v>
      </c>
      <c r="I39" s="23">
        <f>'MERCADO TE'!$U$36</f>
        <v>0</v>
      </c>
      <c r="J39" s="15"/>
      <c r="L39" s="20">
        <f>'TR TE'!$L$39*'TR TE'!$L$51</f>
        <v>0</v>
      </c>
      <c r="M39" s="20">
        <f>'TR TE'!$M$39*'TR TE'!$M$51</f>
        <v>27.500416620459522</v>
      </c>
      <c r="N39" s="20">
        <f>'TR TE'!$N$39*'TR TE'!$N$51</f>
        <v>0</v>
      </c>
      <c r="O39" s="20">
        <f>'TR TE'!$O$39*'TR TE'!$O$51</f>
        <v>0</v>
      </c>
      <c r="P39" s="20">
        <f>'TR TE'!$P$39*'TR TE'!$P$51</f>
        <v>-16.460184444410494</v>
      </c>
      <c r="Q39" s="20">
        <f>SUM($L$39:$P$39)</f>
        <v>11.040232176049027</v>
      </c>
      <c r="R39" s="20">
        <f>'TR TE'!$R$39*'TR TE'!$R$51</f>
        <v>190.86139645655678</v>
      </c>
      <c r="S39" s="20">
        <f>SUM($R$39:$R$39)</f>
        <v>190.86139645655678</v>
      </c>
      <c r="T39" s="20">
        <f>'TR TE'!$T$39*'TR TE'!$T$51</f>
        <v>0</v>
      </c>
      <c r="U39" s="20">
        <f>'TR TE'!$U$39*'TR TE'!$U$51</f>
        <v>0</v>
      </c>
      <c r="V39" s="20">
        <f>'TR TE'!$V$39*'TR TE'!$V$51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TE'!$Z$51</f>
        <v>5.2387903389167247</v>
      </c>
      <c r="AA39" s="20">
        <f>SUM($Z$39:$Z$39)</f>
        <v>5.2387903389167247</v>
      </c>
      <c r="AB39" s="20">
        <f>SUMIF($L$4:$AA$4,"SUBTOTAL",$L$39:$AA$39)</f>
        <v>207.14041897152251</v>
      </c>
    </row>
    <row r="40" spans="1:28" ht="11.25" customHeight="1" x14ac:dyDescent="0.25">
      <c r="A40" s="109"/>
      <c r="B40" s="109"/>
      <c r="C40" s="109"/>
      <c r="D40" s="109"/>
      <c r="E40" s="109"/>
      <c r="F40" s="109"/>
      <c r="G40" s="23" t="s">
        <v>84</v>
      </c>
      <c r="H40" s="23" t="s">
        <v>82</v>
      </c>
      <c r="I40" s="23">
        <f>'MERCADO TE'!$U$37</f>
        <v>0</v>
      </c>
      <c r="J40" s="15"/>
      <c r="L40" s="20">
        <f>'TR TE'!$L$40*'TR TE'!$L$51</f>
        <v>0</v>
      </c>
      <c r="M40" s="20">
        <f>'TR TE'!$M$40*'TR TE'!$M$51</f>
        <v>27.500416620459522</v>
      </c>
      <c r="N40" s="20">
        <f>'TR TE'!$N$40*'TR TE'!$N$51</f>
        <v>0</v>
      </c>
      <c r="O40" s="20">
        <f>'TR TE'!$O$40*'TR TE'!$O$51</f>
        <v>0</v>
      </c>
      <c r="P40" s="20">
        <f>'TR TE'!$P$40*'TR TE'!$P$51</f>
        <v>-16.460184444410494</v>
      </c>
      <c r="Q40" s="20">
        <f>SUM($L$40:$P$40)</f>
        <v>11.040232176049027</v>
      </c>
      <c r="R40" s="20">
        <f>'TR TE'!$R$40*'TR TE'!$R$51</f>
        <v>190.86139645655678</v>
      </c>
      <c r="S40" s="20">
        <f>SUM($R$40:$R$40)</f>
        <v>190.86139645655678</v>
      </c>
      <c r="T40" s="20">
        <f>'TR TE'!$T$40*'TR TE'!$T$51</f>
        <v>0</v>
      </c>
      <c r="U40" s="20">
        <f>'TR TE'!$U$40*'TR TE'!$U$51</f>
        <v>0</v>
      </c>
      <c r="V40" s="20">
        <f>'TR TE'!$V$40*'TR TE'!$V$51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TE'!$Z$51</f>
        <v>5.2387903389167247</v>
      </c>
      <c r="AA40" s="20">
        <f>SUM($Z$40:$Z$40)</f>
        <v>5.2387903389167247</v>
      </c>
      <c r="AB40" s="20">
        <f>SUMIF($L$4:$AA$4,"SUBTOTAL",$L$40:$AA$40)</f>
        <v>207.14041897152251</v>
      </c>
    </row>
    <row r="41" spans="1:28" ht="11.25" customHeight="1" x14ac:dyDescent="0.25">
      <c r="A41" s="109"/>
      <c r="B41" s="22" t="s">
        <v>96</v>
      </c>
      <c r="C41" s="22" t="s">
        <v>25</v>
      </c>
      <c r="D41" s="22" t="s">
        <v>25</v>
      </c>
      <c r="E41" s="22" t="s">
        <v>25</v>
      </c>
      <c r="F41" s="22" t="s">
        <v>25</v>
      </c>
      <c r="G41" s="23" t="s">
        <v>87</v>
      </c>
      <c r="H41" s="23" t="s">
        <v>82</v>
      </c>
      <c r="I41" s="23">
        <f>'MERCADO TE'!$U$38</f>
        <v>19569.288999999997</v>
      </c>
      <c r="J41" s="15"/>
      <c r="L41" s="20">
        <f>'TR TE'!$L$41*'TR TE'!$L$51</f>
        <v>0</v>
      </c>
      <c r="M41" s="20">
        <f>'TR TE'!$M$41*'TR TE'!$M$51</f>
        <v>27.500416620459522</v>
      </c>
      <c r="N41" s="20">
        <f>'TR TE'!$N$41*'TR TE'!$N$51</f>
        <v>0</v>
      </c>
      <c r="O41" s="20">
        <f>'TR TE'!$O$41*'TR TE'!$O$51</f>
        <v>0</v>
      </c>
      <c r="P41" s="20">
        <f>'TR TE'!$P$41*'TR TE'!$P$51</f>
        <v>-16.460184444410494</v>
      </c>
      <c r="Q41" s="20">
        <f>SUM($L$41:$P$41)</f>
        <v>11.040232176049027</v>
      </c>
      <c r="R41" s="20">
        <f>'TR TE'!$R$41*'TR TE'!$R$51</f>
        <v>190.86139645655678</v>
      </c>
      <c r="S41" s="20">
        <f>SUM($R$41:$R$41)</f>
        <v>190.86139645655678</v>
      </c>
      <c r="T41" s="20">
        <f>'TR TE'!$T$41*'TR TE'!$T$51</f>
        <v>0</v>
      </c>
      <c r="U41" s="20">
        <f>'TR TE'!$U$41*'TR TE'!$U$51</f>
        <v>0</v>
      </c>
      <c r="V41" s="20">
        <f>'TR TE'!$V$41*'TR TE'!$V$51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TE'!$Z$51</f>
        <v>5.2387903389167247</v>
      </c>
      <c r="AA41" s="20">
        <f>SUM($Z$41:$Z$41)</f>
        <v>5.2387903389167247</v>
      </c>
      <c r="AB41" s="20">
        <f>SUMIF($L$4:$AA$4,"SUBTOTAL",$L$41:$AA$41)</f>
        <v>207.14041897152251</v>
      </c>
    </row>
    <row r="42" spans="1:28" ht="11.25" customHeight="1" x14ac:dyDescent="0.25">
      <c r="A42" s="109"/>
      <c r="B42" s="22" t="s">
        <v>98</v>
      </c>
      <c r="C42" s="22" t="s">
        <v>25</v>
      </c>
      <c r="D42" s="22" t="s">
        <v>25</v>
      </c>
      <c r="E42" s="22" t="s">
        <v>25</v>
      </c>
      <c r="F42" s="22" t="s">
        <v>25</v>
      </c>
      <c r="G42" s="23" t="s">
        <v>87</v>
      </c>
      <c r="H42" s="23" t="s">
        <v>82</v>
      </c>
      <c r="I42" s="23">
        <f>'MERCADO TE'!$U$39</f>
        <v>0</v>
      </c>
      <c r="J42" s="15"/>
      <c r="L42" s="20">
        <f>'TR TE'!$L$42*'TR TE'!$L$51</f>
        <v>0</v>
      </c>
      <c r="M42" s="20">
        <f>'TR TE'!$M$42*'TR TE'!$M$51</f>
        <v>27.500416620459522</v>
      </c>
      <c r="N42" s="20">
        <f>'TR TE'!$N$42*'TR TE'!$N$51</f>
        <v>0</v>
      </c>
      <c r="O42" s="20">
        <f>'TR TE'!$O$42*'TR TE'!$O$51</f>
        <v>0</v>
      </c>
      <c r="P42" s="20">
        <f>'TR TE'!$P$42*'TR TE'!$P$51</f>
        <v>-16.460184444410494</v>
      </c>
      <c r="Q42" s="20">
        <f>SUM($L$42:$P$42)</f>
        <v>11.040232176049027</v>
      </c>
      <c r="R42" s="20">
        <f>'TR TE'!$R$42*'TR TE'!$R$51</f>
        <v>190.86139645655678</v>
      </c>
      <c r="S42" s="20">
        <f>SUM($R$42:$R$42)</f>
        <v>190.86139645655678</v>
      </c>
      <c r="T42" s="20">
        <f>'TR TE'!$T$42*'TR TE'!$T$51</f>
        <v>0</v>
      </c>
      <c r="U42" s="20">
        <f>'TR TE'!$U$42*'TR TE'!$U$51</f>
        <v>0</v>
      </c>
      <c r="V42" s="20">
        <f>'TR TE'!$V$42*'TR TE'!$V$51</f>
        <v>0</v>
      </c>
      <c r="W42" s="20">
        <f>SUM($T$42:$V$42)</f>
        <v>0</v>
      </c>
      <c r="X42" s="20"/>
      <c r="Y42" s="20">
        <f>SUM($X$42:$X$42)</f>
        <v>0</v>
      </c>
      <c r="Z42" s="20">
        <f>'TR TE'!$Z$42*'TR TE'!$Z$51</f>
        <v>5.2387903389167247</v>
      </c>
      <c r="AA42" s="20">
        <f>SUM($Z$42:$Z$42)</f>
        <v>5.2387903389167247</v>
      </c>
      <c r="AB42" s="20">
        <f>SUMIF($L$4:$AA$4,"SUBTOTAL",$L$42:$AA$42)</f>
        <v>207.14041897152251</v>
      </c>
    </row>
    <row r="43" spans="1:28" ht="11.25" customHeight="1" x14ac:dyDescent="0.25">
      <c r="A43" s="109" t="s">
        <v>43</v>
      </c>
      <c r="B43" s="109" t="s">
        <v>96</v>
      </c>
      <c r="C43" s="109" t="s">
        <v>44</v>
      </c>
      <c r="D43" s="22" t="s">
        <v>45</v>
      </c>
      <c r="E43" s="22" t="s">
        <v>25</v>
      </c>
      <c r="F43" s="22" t="s">
        <v>25</v>
      </c>
      <c r="G43" s="23" t="s">
        <v>87</v>
      </c>
      <c r="H43" s="23" t="s">
        <v>82</v>
      </c>
      <c r="I43" s="23">
        <f>'MERCADO TE'!$U$40</f>
        <v>4547.4760000000006</v>
      </c>
      <c r="J43" s="15"/>
      <c r="L43" s="20">
        <f>'TR TE'!$L$43*'TR TE'!$L$51</f>
        <v>0</v>
      </c>
      <c r="M43" s="20">
        <f>'TR TE'!$M$43*'TR TE'!$M$51</f>
        <v>15.125229141252738</v>
      </c>
      <c r="N43" s="20">
        <f>'TR TE'!$N$43*'TR TE'!$N$51</f>
        <v>0</v>
      </c>
      <c r="O43" s="20">
        <f>'TR TE'!$O$43*'TR TE'!$O$51</f>
        <v>0</v>
      </c>
      <c r="P43" s="20">
        <f>'TR TE'!$P$43*'TR TE'!$P$51</f>
        <v>-9.0531014444257725</v>
      </c>
      <c r="Q43" s="20">
        <f>SUM($L$43:$P$43)</f>
        <v>6.072127696826966</v>
      </c>
      <c r="R43" s="20">
        <f>'TR TE'!$R$43*'TR TE'!$R$51</f>
        <v>104.97376805110623</v>
      </c>
      <c r="S43" s="20">
        <f>SUM($R$43:$R$43)</f>
        <v>104.97376805110623</v>
      </c>
      <c r="T43" s="20">
        <f>'TR TE'!$T$43*'TR TE'!$T$51</f>
        <v>0</v>
      </c>
      <c r="U43" s="20">
        <f>'TR TE'!$U$43*'TR TE'!$U$51</f>
        <v>0</v>
      </c>
      <c r="V43" s="20">
        <f>'TR TE'!$V$43*'TR TE'!$V$51</f>
        <v>0</v>
      </c>
      <c r="W43" s="20">
        <f>SUM($T$43:$V$43)</f>
        <v>0</v>
      </c>
      <c r="X43" s="20"/>
      <c r="Y43" s="20">
        <f>SUM($X$43:$X$43)</f>
        <v>0</v>
      </c>
      <c r="Z43" s="20">
        <f>'TR TE'!$Z$43*'TR TE'!$Z$51</f>
        <v>2.8813346864041987</v>
      </c>
      <c r="AA43" s="20">
        <f>SUM($Z$43:$Z$43)</f>
        <v>2.8813346864041987</v>
      </c>
      <c r="AB43" s="20">
        <f>SUMIF($L$4:$AA$4,"SUBTOTAL",$L$43:$AA$43)</f>
        <v>113.9272304343374</v>
      </c>
    </row>
    <row r="44" spans="1:28" ht="11.25" customHeight="1" x14ac:dyDescent="0.25">
      <c r="A44" s="109"/>
      <c r="B44" s="109"/>
      <c r="C44" s="109"/>
      <c r="D44" s="23" t="s">
        <v>102</v>
      </c>
      <c r="E44" s="23" t="s">
        <v>25</v>
      </c>
      <c r="F44" s="23" t="s">
        <v>25</v>
      </c>
      <c r="G44" s="23" t="s">
        <v>87</v>
      </c>
      <c r="H44" s="23" t="s">
        <v>82</v>
      </c>
      <c r="I44" s="23">
        <f>'MERCADO TE'!$U$41</f>
        <v>0</v>
      </c>
      <c r="J44" s="15"/>
      <c r="L44" s="20">
        <f>'TR TE'!$L$44*'TR TE'!$L$51</f>
        <v>0</v>
      </c>
      <c r="M44" s="20">
        <f>'TR TE'!$M$44*'TR TE'!$M$51</f>
        <v>16.500249972275711</v>
      </c>
      <c r="N44" s="20">
        <f>'TR TE'!$N$44*'TR TE'!$N$51</f>
        <v>0</v>
      </c>
      <c r="O44" s="20">
        <f>'TR TE'!$O$44*'TR TE'!$O$51</f>
        <v>0</v>
      </c>
      <c r="P44" s="20">
        <f>'TR TE'!$P$44*'TR TE'!$P$51</f>
        <v>-9.8761106666462961</v>
      </c>
      <c r="Q44" s="20">
        <f>SUM($L$44:$P$44)</f>
        <v>6.6241393056294147</v>
      </c>
      <c r="R44" s="20">
        <f>'TR TE'!$R$44*'TR TE'!$R$51</f>
        <v>114.51683787393407</v>
      </c>
      <c r="S44" s="20">
        <f>SUM($R$44:$R$44)</f>
        <v>114.51683787393407</v>
      </c>
      <c r="T44" s="20">
        <f>'TR TE'!$T$44*'TR TE'!$T$51</f>
        <v>0</v>
      </c>
      <c r="U44" s="20">
        <f>'TR TE'!$U$44*'TR TE'!$U$51</f>
        <v>0</v>
      </c>
      <c r="V44" s="20">
        <f>'TR TE'!$V$44*'TR TE'!$V$51</f>
        <v>0</v>
      </c>
      <c r="W44" s="20">
        <f>SUM($T$44:$V$44)</f>
        <v>0</v>
      </c>
      <c r="X44" s="20"/>
      <c r="Y44" s="20">
        <f>SUM($X$44:$X$44)</f>
        <v>0</v>
      </c>
      <c r="Z44" s="20">
        <f>'TR TE'!$Z$44*'TR TE'!$Z$51</f>
        <v>3.1432742033500349</v>
      </c>
      <c r="AA44" s="20">
        <f>SUM($Z$44:$Z$44)</f>
        <v>3.1432742033500349</v>
      </c>
      <c r="AB44" s="20">
        <f>SUMIF($L$4:$AA$4,"SUBTOTAL",$L$44:$AA$44)</f>
        <v>124.28425138291351</v>
      </c>
    </row>
    <row r="46" spans="1:28" ht="11.25" customHeight="1" x14ac:dyDescent="0.25">
      <c r="K46" s="25" t="s">
        <v>587</v>
      </c>
      <c r="L46" s="20">
        <f t="shared" ref="L46:AB46" si="0">SUMPRODUCT($I$5:$I$44,L$5:L$44)</f>
        <v>0</v>
      </c>
      <c r="M46" s="20">
        <f t="shared" si="0"/>
        <v>4000632.26</v>
      </c>
      <c r="N46" s="20">
        <f t="shared" si="0"/>
        <v>0</v>
      </c>
      <c r="O46" s="20">
        <f t="shared" si="0"/>
        <v>0</v>
      </c>
      <c r="P46" s="20">
        <f t="shared" si="0"/>
        <v>-2394550.81</v>
      </c>
      <c r="Q46" s="20">
        <f t="shared" si="0"/>
        <v>1606081.4500000002</v>
      </c>
      <c r="R46" s="20">
        <f t="shared" si="0"/>
        <v>27767013.349883828</v>
      </c>
      <c r="S46" s="20">
        <f t="shared" si="0"/>
        <v>27767013.349883828</v>
      </c>
      <c r="T46" s="20">
        <f t="shared" si="0"/>
        <v>0</v>
      </c>
      <c r="U46" s="20">
        <f t="shared" si="0"/>
        <v>0</v>
      </c>
      <c r="V46" s="20">
        <f t="shared" si="0"/>
        <v>0</v>
      </c>
      <c r="W46" s="20">
        <f t="shared" si="0"/>
        <v>0</v>
      </c>
      <c r="X46" s="20">
        <f t="shared" si="0"/>
        <v>0</v>
      </c>
      <c r="Y46" s="20">
        <f t="shared" si="0"/>
        <v>0</v>
      </c>
      <c r="Z46" s="20">
        <f t="shared" si="0"/>
        <v>762114.76802333526</v>
      </c>
      <c r="AA46" s="20">
        <f t="shared" si="0"/>
        <v>762114.76802333526</v>
      </c>
      <c r="AB46" s="20">
        <f t="shared" si="0"/>
        <v>30135209.567907166</v>
      </c>
    </row>
    <row r="47" spans="1:28" ht="11.25" customHeight="1" x14ac:dyDescent="0.25">
      <c r="K47" s="25" t="s">
        <v>506</v>
      </c>
      <c r="L47" s="20">
        <f>CUSTOS!$D$30</f>
        <v>0</v>
      </c>
      <c r="M47" s="20">
        <f>CUSTOS!$D$31</f>
        <v>4000632.2600000002</v>
      </c>
      <c r="N47" s="20">
        <f>CUSTOS!$D$32</f>
        <v>0</v>
      </c>
      <c r="O47" s="20">
        <f>CUSTOS!$D$33</f>
        <v>0</v>
      </c>
      <c r="P47" s="20">
        <f>CUSTOS!$D$34</f>
        <v>-2394550.81</v>
      </c>
      <c r="Q47" s="20">
        <f>CUSTOS!$D$35</f>
        <v>1606081.4500000002</v>
      </c>
      <c r="R47" s="20">
        <f>CUSTOS!$D$36</f>
        <v>27767013.349883825</v>
      </c>
      <c r="S47" s="20">
        <f>CUSTOS!$D$37</f>
        <v>27767013.349883825</v>
      </c>
      <c r="T47" s="20">
        <f>CUSTOS!$D$38</f>
        <v>0</v>
      </c>
      <c r="U47" s="20">
        <f>CUSTOS!$D$39</f>
        <v>0</v>
      </c>
      <c r="V47" s="20">
        <f>CUSTOS!$D$40</f>
        <v>0</v>
      </c>
      <c r="W47" s="20">
        <f>CUSTOS!$D$41</f>
        <v>0</v>
      </c>
      <c r="X47" s="20">
        <f>CUSTOS!$D$42</f>
        <v>0</v>
      </c>
      <c r="Y47" s="20">
        <f>CUSTOS!$D$43</f>
        <v>0</v>
      </c>
      <c r="Z47" s="20">
        <f>CUSTOS!$D$44</f>
        <v>762114.76802333537</v>
      </c>
      <c r="AA47" s="20">
        <f>CUSTOS!$D$45</f>
        <v>762114.76802333537</v>
      </c>
      <c r="AB47" s="20">
        <f>CUSTOS!$D$46</f>
        <v>30135209.567907158</v>
      </c>
    </row>
    <row r="48" spans="1:28" ht="11.25" customHeight="1" x14ac:dyDescent="0.25">
      <c r="K48" s="25" t="s">
        <v>507</v>
      </c>
      <c r="L48" s="20">
        <f>CUSTOS!$E$30</f>
        <v>0</v>
      </c>
      <c r="M48" s="20">
        <f>CUSTOS!$E$31</f>
        <v>1430384.8026129566</v>
      </c>
      <c r="N48" s="20">
        <f>CUSTOS!$E$32</f>
        <v>0</v>
      </c>
      <c r="O48" s="20">
        <f>CUSTOS!$E$33</f>
        <v>0</v>
      </c>
      <c r="P48" s="20">
        <f>CUSTOS!$E$34</f>
        <v>0</v>
      </c>
      <c r="Q48" s="20">
        <f>CUSTOS!$E$35</f>
        <v>1430384.8026129566</v>
      </c>
      <c r="R48" s="20">
        <f>CUSTOS!$E$36</f>
        <v>-1924314.0596831457</v>
      </c>
      <c r="S48" s="20">
        <f>CUSTOS!$E$37</f>
        <v>-1924314.0596831457</v>
      </c>
      <c r="T48" s="20">
        <f>CUSTOS!$E$38</f>
        <v>0</v>
      </c>
      <c r="U48" s="20">
        <f>CUSTOS!$E$39</f>
        <v>0</v>
      </c>
      <c r="V48" s="20">
        <f>CUSTOS!$E$40</f>
        <v>0</v>
      </c>
      <c r="W48" s="20">
        <f>CUSTOS!$E$41</f>
        <v>0</v>
      </c>
      <c r="X48" s="20">
        <f>CUSTOS!$E$42</f>
        <v>0</v>
      </c>
      <c r="Y48" s="20">
        <f>CUSTOS!$E$43</f>
        <v>0</v>
      </c>
      <c r="Z48" s="20">
        <f>CUSTOS!$E$44</f>
        <v>-52816.201177992349</v>
      </c>
      <c r="AA48" s="20">
        <f>CUSTOS!$E$45</f>
        <v>-52816.201177992349</v>
      </c>
      <c r="AB48" s="20">
        <f>CUSTOS!$E$46</f>
        <v>-546745.4582481815</v>
      </c>
    </row>
    <row r="49" spans="11:28" ht="11.25" customHeight="1" x14ac:dyDescent="0.25">
      <c r="K49" s="25" t="s">
        <v>508</v>
      </c>
      <c r="L49" s="20">
        <f>CUSTOS!$F$30</f>
        <v>0</v>
      </c>
      <c r="M49" s="20">
        <f>CUSTOS!$F$31</f>
        <v>0</v>
      </c>
      <c r="N49" s="20">
        <f>CUSTOS!$F$32</f>
        <v>0</v>
      </c>
      <c r="O49" s="20">
        <f>CUSTOS!$F$33</f>
        <v>0</v>
      </c>
      <c r="P49" s="20">
        <f>CUSTOS!$F$34</f>
        <v>0</v>
      </c>
      <c r="Q49" s="20">
        <f>CUSTOS!$F$35</f>
        <v>0</v>
      </c>
      <c r="R49" s="20">
        <f>CUSTOS!$F$36</f>
        <v>0</v>
      </c>
      <c r="S49" s="20">
        <f>CUSTOS!$F$37</f>
        <v>0</v>
      </c>
      <c r="T49" s="20">
        <f>CUSTOS!$F$38</f>
        <v>0</v>
      </c>
      <c r="U49" s="20">
        <f>CUSTOS!$F$39</f>
        <v>0</v>
      </c>
      <c r="V49" s="20">
        <f>CUSTOS!$F$40</f>
        <v>0</v>
      </c>
      <c r="W49" s="20">
        <f>CUSTOS!$F$41</f>
        <v>0</v>
      </c>
      <c r="X49" s="20">
        <f>CUSTOS!$F$42</f>
        <v>0</v>
      </c>
      <c r="Y49" s="20">
        <f>CUSTOS!$F$43</f>
        <v>0</v>
      </c>
      <c r="Z49" s="20">
        <f>CUSTOS!$F$44</f>
        <v>0</v>
      </c>
      <c r="AA49" s="20">
        <f>CUSTOS!$F$45</f>
        <v>0</v>
      </c>
      <c r="AB49" s="20">
        <f>CUSTOS!$F$46</f>
        <v>0</v>
      </c>
    </row>
    <row r="50" spans="11:28" ht="11.25" customHeight="1" x14ac:dyDescent="0.25">
      <c r="K50" s="25" t="s">
        <v>588</v>
      </c>
      <c r="L50" s="20">
        <f>'TR TE'!$L$50*L51</f>
        <v>0</v>
      </c>
      <c r="M50" s="20">
        <f>'TR TE'!$M$50*M51</f>
        <v>9.8324903272739359</v>
      </c>
      <c r="N50" s="20">
        <f>'TR TE'!$N$50*N51</f>
        <v>0</v>
      </c>
      <c r="O50" s="20">
        <f>'TR TE'!$O$50*O51</f>
        <v>0</v>
      </c>
      <c r="P50" s="20">
        <f>'TR TE'!$P$50*P51</f>
        <v>0</v>
      </c>
      <c r="Q50" s="20"/>
      <c r="R50" s="20">
        <f>'TR TE'!$R$50*R51</f>
        <v>-13.234055075335251</v>
      </c>
      <c r="S50" s="20"/>
      <c r="T50" s="20">
        <f>'TR TE'!$T$50*T51</f>
        <v>0</v>
      </c>
      <c r="U50" s="20">
        <f>'TR TE'!$U$50*U51</f>
        <v>0</v>
      </c>
      <c r="V50" s="20">
        <f>'TR TE'!$V$50*V51</f>
        <v>0</v>
      </c>
      <c r="W50" s="20"/>
      <c r="X50" s="20"/>
      <c r="Y50" s="20"/>
      <c r="Z50" s="20">
        <f>'TR TE'!$Z$50*Z51</f>
        <v>-0.36305949717677732</v>
      </c>
      <c r="AA50" s="20"/>
      <c r="AB50" s="20"/>
    </row>
    <row r="51" spans="11:28" ht="11.25" customHeight="1" x14ac:dyDescent="0.25">
      <c r="K51" s="25" t="s">
        <v>575</v>
      </c>
      <c r="L51" s="20">
        <f>IF(L47&lt;&gt;0,L48/L47,0)</f>
        <v>0</v>
      </c>
      <c r="M51" s="20">
        <f>IF(M47&lt;&gt;0,M48/M47,0)</f>
        <v>0.357539686142749</v>
      </c>
      <c r="N51" s="20">
        <f>IF(N47&lt;&gt;0,N48/N47,0)</f>
        <v>0</v>
      </c>
      <c r="O51" s="20">
        <f>IF(O47&lt;&gt;0,O48/O47,0)</f>
        <v>0</v>
      </c>
      <c r="P51" s="20">
        <f>IF(P47&lt;&gt;0,P48/P47,0)</f>
        <v>0</v>
      </c>
      <c r="Q51" s="20"/>
      <c r="R51" s="20">
        <f>IF(R47&lt;&gt;0,R48/R47,0)</f>
        <v>-6.9302162081151475E-2</v>
      </c>
      <c r="S51" s="20"/>
      <c r="T51" s="20">
        <f>IF(T47&lt;&gt;0,T48/T47,0)</f>
        <v>0</v>
      </c>
      <c r="U51" s="20">
        <f>IF(U47&lt;&gt;0,U48/U47,0)</f>
        <v>0</v>
      </c>
      <c r="V51" s="20">
        <f>IF(V47&lt;&gt;0,V48/V47,0)</f>
        <v>0</v>
      </c>
      <c r="W51" s="20"/>
      <c r="X51" s="20">
        <f>IF(($AB47-(+ $I$7*$AB$7+ $I$8*$AB$8+ $I$9*$AB$9))&lt;&gt;0,X48/($AB47-(+ $I$7*$AB$7+ $I$8*$AB$8+ $I$9*$AB$9)),0)</f>
        <v>0</v>
      </c>
      <c r="Y51" s="20"/>
      <c r="Z51" s="20">
        <f>IF(Z47&lt;&gt;0,Z48/Z47,0)</f>
        <v>-6.9302162081151475E-2</v>
      </c>
      <c r="AA51" s="20"/>
      <c r="AB51" s="20"/>
    </row>
    <row r="52" spans="11:28" ht="11.25" customHeight="1" x14ac:dyDescent="0.25">
      <c r="K52" s="25" t="s">
        <v>590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61">
    <mergeCell ref="E38:E40"/>
    <mergeCell ref="F38:F40"/>
    <mergeCell ref="A43:A44"/>
    <mergeCell ref="B43:B44"/>
    <mergeCell ref="C43:C44"/>
    <mergeCell ref="D38:D40"/>
    <mergeCell ref="B35:B37"/>
    <mergeCell ref="C35:C37"/>
    <mergeCell ref="A38:A42"/>
    <mergeCell ref="B38:B40"/>
    <mergeCell ref="C38:C40"/>
    <mergeCell ref="A23:A37"/>
    <mergeCell ref="B23:B25"/>
    <mergeCell ref="C23:C25"/>
    <mergeCell ref="B31:B33"/>
    <mergeCell ref="C31:C33"/>
    <mergeCell ref="B27:B29"/>
    <mergeCell ref="C27:C29"/>
    <mergeCell ref="D31:D33"/>
    <mergeCell ref="E31:E33"/>
    <mergeCell ref="F31:F33"/>
    <mergeCell ref="D23:D25"/>
    <mergeCell ref="E23:E25"/>
    <mergeCell ref="F23:F25"/>
    <mergeCell ref="D27:D29"/>
    <mergeCell ref="E27:E29"/>
    <mergeCell ref="F27:F29"/>
    <mergeCell ref="A10:A22"/>
    <mergeCell ref="B10:B12"/>
    <mergeCell ref="C10:C12"/>
    <mergeCell ref="D10:D12"/>
    <mergeCell ref="E10:E12"/>
    <mergeCell ref="F10:F12"/>
    <mergeCell ref="B13:B17"/>
    <mergeCell ref="C13:C17"/>
    <mergeCell ref="B18:B22"/>
    <mergeCell ref="C18:C22"/>
    <mergeCell ref="Z3:AA3"/>
    <mergeCell ref="AB3:AB4"/>
    <mergeCell ref="A5:A9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6">
    <cfRule type="cellIs" dxfId="860" priority="33" operator="notEqual">
      <formula>$L$47</formula>
    </cfRule>
    <cfRule type="cellIs" dxfId="859" priority="34" operator="equal">
      <formula>$L$47</formula>
    </cfRule>
  </conditionalFormatting>
  <conditionalFormatting sqref="M46">
    <cfRule type="cellIs" dxfId="858" priority="31" operator="notEqual">
      <formula>$M$47</formula>
    </cfRule>
    <cfRule type="cellIs" dxfId="857" priority="32" operator="equal">
      <formula>$M$47</formula>
    </cfRule>
  </conditionalFormatting>
  <conditionalFormatting sqref="N46">
    <cfRule type="cellIs" dxfId="856" priority="29" operator="notEqual">
      <formula>$N$47</formula>
    </cfRule>
    <cfRule type="cellIs" dxfId="855" priority="30" operator="equal">
      <formula>$N$47</formula>
    </cfRule>
  </conditionalFormatting>
  <conditionalFormatting sqref="O46">
    <cfRule type="cellIs" dxfId="854" priority="27" operator="notEqual">
      <formula>$O$47</formula>
    </cfRule>
    <cfRule type="cellIs" dxfId="853" priority="28" operator="equal">
      <formula>$O$47</formula>
    </cfRule>
  </conditionalFormatting>
  <conditionalFormatting sqref="P46">
    <cfRule type="cellIs" dxfId="852" priority="25" operator="notEqual">
      <formula>$P$47</formula>
    </cfRule>
    <cfRule type="cellIs" dxfId="851" priority="26" operator="equal">
      <formula>$P$47</formula>
    </cfRule>
  </conditionalFormatting>
  <conditionalFormatting sqref="Q46">
    <cfRule type="cellIs" dxfId="850" priority="23" operator="notEqual">
      <formula>$Q$47</formula>
    </cfRule>
    <cfRule type="cellIs" dxfId="849" priority="24" operator="equal">
      <formula>$Q$47</formula>
    </cfRule>
  </conditionalFormatting>
  <conditionalFormatting sqref="R46">
    <cfRule type="cellIs" dxfId="848" priority="21" operator="notEqual">
      <formula>$R$47</formula>
    </cfRule>
    <cfRule type="cellIs" dxfId="847" priority="22" operator="equal">
      <formula>$R$47</formula>
    </cfRule>
  </conditionalFormatting>
  <conditionalFormatting sqref="S46">
    <cfRule type="cellIs" dxfId="846" priority="19" operator="notEqual">
      <formula>$S$47</formula>
    </cfRule>
    <cfRule type="cellIs" dxfId="845" priority="20" operator="equal">
      <formula>$S$47</formula>
    </cfRule>
  </conditionalFormatting>
  <conditionalFormatting sqref="T46">
    <cfRule type="cellIs" dxfId="844" priority="17" operator="notEqual">
      <formula>$T$47</formula>
    </cfRule>
    <cfRule type="cellIs" dxfId="843" priority="18" operator="equal">
      <formula>$T$47</formula>
    </cfRule>
  </conditionalFormatting>
  <conditionalFormatting sqref="U46">
    <cfRule type="cellIs" dxfId="842" priority="15" operator="notEqual">
      <formula>$U$47</formula>
    </cfRule>
    <cfRule type="cellIs" dxfId="841" priority="16" operator="equal">
      <formula>$U$47</formula>
    </cfRule>
  </conditionalFormatting>
  <conditionalFormatting sqref="V46">
    <cfRule type="cellIs" dxfId="840" priority="13" operator="notEqual">
      <formula>$V$47</formula>
    </cfRule>
    <cfRule type="cellIs" dxfId="839" priority="14" operator="equal">
      <formula>$V$47</formula>
    </cfRule>
  </conditionalFormatting>
  <conditionalFormatting sqref="W46">
    <cfRule type="cellIs" dxfId="838" priority="11" operator="notEqual">
      <formula>$W$47</formula>
    </cfRule>
    <cfRule type="cellIs" dxfId="837" priority="12" operator="equal">
      <formula>$W$47</formula>
    </cfRule>
  </conditionalFormatting>
  <conditionalFormatting sqref="X46">
    <cfRule type="cellIs" dxfId="836" priority="9" operator="notEqual">
      <formula>$X$47</formula>
    </cfRule>
    <cfRule type="cellIs" dxfId="835" priority="10" operator="equal">
      <formula>$X$47</formula>
    </cfRule>
  </conditionalFormatting>
  <conditionalFormatting sqref="Y46">
    <cfRule type="cellIs" dxfId="834" priority="7" operator="notEqual">
      <formula>$Y$47</formula>
    </cfRule>
    <cfRule type="cellIs" dxfId="833" priority="8" operator="equal">
      <formula>$Y$47</formula>
    </cfRule>
  </conditionalFormatting>
  <conditionalFormatting sqref="Z46">
    <cfRule type="cellIs" dxfId="832" priority="5" operator="notEqual">
      <formula>$Z$47</formula>
    </cfRule>
    <cfRule type="cellIs" dxfId="831" priority="6" operator="equal">
      <formula>$Z$47</formula>
    </cfRule>
  </conditionalFormatting>
  <conditionalFormatting sqref="AA46">
    <cfRule type="cellIs" dxfId="830" priority="3" operator="notEqual">
      <formula>$AA$47</formula>
    </cfRule>
    <cfRule type="cellIs" dxfId="829" priority="4" operator="equal">
      <formula>$AA$47</formula>
    </cfRule>
  </conditionalFormatting>
  <conditionalFormatting sqref="AB46">
    <cfRule type="cellIs" dxfId="828" priority="1" operator="notEqual">
      <formula>$AB$47</formula>
    </cfRule>
    <cfRule type="cellIs" dxfId="827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5CB9-B84A-444B-8AFB-4ACA551CC6FF}">
  <sheetPr codeName="Planilha14"/>
  <dimension ref="A1:AB52"/>
  <sheetViews>
    <sheetView showGridLines="0" topLeftCell="K1" workbookViewId="0">
      <selection activeCell="AB46" sqref="AB46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8" t="s">
        <v>72</v>
      </c>
      <c r="B1" s="108" t="s">
        <v>73</v>
      </c>
      <c r="C1" s="108" t="s">
        <v>74</v>
      </c>
      <c r="D1" s="108" t="s">
        <v>75</v>
      </c>
      <c r="E1" s="108" t="s">
        <v>76</v>
      </c>
      <c r="F1" s="108" t="s">
        <v>15</v>
      </c>
      <c r="G1" s="108" t="s">
        <v>78</v>
      </c>
      <c r="H1" s="108" t="s">
        <v>79</v>
      </c>
      <c r="I1" s="108" t="s">
        <v>565</v>
      </c>
      <c r="J1" s="91"/>
      <c r="L1" s="106" t="s">
        <v>592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</row>
    <row r="2" spans="1:28" ht="11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91"/>
      <c r="L2" s="106" t="s">
        <v>492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8" ht="11.2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91"/>
      <c r="L3" s="106" t="s">
        <v>465</v>
      </c>
      <c r="M3" s="106"/>
      <c r="N3" s="106"/>
      <c r="O3" s="106"/>
      <c r="P3" s="106"/>
      <c r="Q3" s="106"/>
      <c r="R3" s="106" t="s">
        <v>496</v>
      </c>
      <c r="S3" s="106"/>
      <c r="T3" s="106" t="s">
        <v>474</v>
      </c>
      <c r="U3" s="106"/>
      <c r="V3" s="106"/>
      <c r="W3" s="106"/>
      <c r="X3" s="106" t="s">
        <v>484</v>
      </c>
      <c r="Y3" s="106"/>
      <c r="Z3" s="106" t="s">
        <v>487</v>
      </c>
      <c r="AA3" s="106"/>
      <c r="AB3" s="106" t="s">
        <v>473</v>
      </c>
    </row>
    <row r="4" spans="1:28" ht="11.2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  <c r="J4" s="91"/>
      <c r="L4" s="24" t="s">
        <v>467</v>
      </c>
      <c r="M4" s="24" t="s">
        <v>493</v>
      </c>
      <c r="N4" s="24" t="s">
        <v>494</v>
      </c>
      <c r="O4" s="24" t="s">
        <v>553</v>
      </c>
      <c r="P4" s="24" t="s">
        <v>495</v>
      </c>
      <c r="Q4" s="24" t="s">
        <v>473</v>
      </c>
      <c r="R4" s="24" t="s">
        <v>497</v>
      </c>
      <c r="S4" s="24" t="s">
        <v>473</v>
      </c>
      <c r="T4" s="24" t="s">
        <v>498</v>
      </c>
      <c r="U4" s="24" t="s">
        <v>499</v>
      </c>
      <c r="V4" s="24" t="s">
        <v>500</v>
      </c>
      <c r="W4" s="24" t="s">
        <v>473</v>
      </c>
      <c r="X4" s="24" t="s">
        <v>485</v>
      </c>
      <c r="Y4" s="24" t="s">
        <v>473</v>
      </c>
      <c r="Z4" s="24" t="s">
        <v>501</v>
      </c>
      <c r="AA4" s="24" t="s">
        <v>473</v>
      </c>
      <c r="AB4" s="107"/>
    </row>
    <row r="5" spans="1:28" ht="11.25" customHeight="1" x14ac:dyDescent="0.25">
      <c r="A5" s="109" t="s">
        <v>35</v>
      </c>
      <c r="B5" s="109" t="s">
        <v>81</v>
      </c>
      <c r="C5" s="109" t="s">
        <v>25</v>
      </c>
      <c r="D5" s="109" t="s">
        <v>25</v>
      </c>
      <c r="E5" s="109" t="s">
        <v>25</v>
      </c>
      <c r="F5" s="109" t="s">
        <v>25</v>
      </c>
      <c r="G5" s="23" t="s">
        <v>83</v>
      </c>
      <c r="H5" s="23" t="s">
        <v>82</v>
      </c>
      <c r="I5" s="23">
        <f>'MERCADO TE'!$U$2</f>
        <v>3293.4549999999999</v>
      </c>
      <c r="J5" s="15"/>
      <c r="L5" s="20">
        <f>'TE BE'!$L$5*'TE BE'!$L$51</f>
        <v>0</v>
      </c>
      <c r="M5" s="20">
        <f>'TE BE'!$M$5*'TE BE'!$M$51</f>
        <v>9.8324903272739359</v>
      </c>
      <c r="N5" s="20">
        <f>'TE BE'!$N$5*'TE BE'!$N$51</f>
        <v>0</v>
      </c>
      <c r="O5" s="20">
        <f>'TE BE'!$O$5*'TE BE'!$O$51</f>
        <v>0</v>
      </c>
      <c r="P5" s="20">
        <f>'TE BE'!$P$5*'TE BE'!$P$51</f>
        <v>0</v>
      </c>
      <c r="Q5" s="20">
        <f>SUM($L$5:$P$5)</f>
        <v>9.8324903272739359</v>
      </c>
      <c r="R5" s="20">
        <f>'TE BE'!$R$5*'TE BE'!$R$51</f>
        <v>-13.227107432267207</v>
      </c>
      <c r="S5" s="20">
        <f>SUM($R$5:$R$5)</f>
        <v>-13.227107432267207</v>
      </c>
      <c r="T5" s="20">
        <f>'TE BE'!$T$5*'TE BE'!$T$51</f>
        <v>0</v>
      </c>
      <c r="U5" s="20">
        <f>'TE BE'!$U$5*'TE BE'!$U$51</f>
        <v>0</v>
      </c>
      <c r="V5" s="20">
        <f>'TE BE'!$V$5*'TE BE'!$V$51</f>
        <v>0</v>
      </c>
      <c r="W5" s="20">
        <f>SUM($T$5:$V$5)</f>
        <v>0</v>
      </c>
      <c r="X5" s="20">
        <f>'TE BE'!$AB$5*'TE BE'!$X$51</f>
        <v>0</v>
      </c>
      <c r="Y5" s="20">
        <f>SUM($X$5:$X$5)</f>
        <v>0</v>
      </c>
      <c r="Z5" s="20">
        <f>'TE BE'!$Z$5*'TE BE'!$Z$51</f>
        <v>-0.36305949717677732</v>
      </c>
      <c r="AA5" s="20">
        <f>SUM($Z$5:$Z$5)</f>
        <v>-0.36305949717677732</v>
      </c>
      <c r="AB5" s="20">
        <f>SUMIF($L$4:$AA$4,"SUBTOTAL",$L$5:$AA$5)</f>
        <v>-3.7576766021700485</v>
      </c>
    </row>
    <row r="6" spans="1:28" ht="11.25" customHeight="1" x14ac:dyDescent="0.25">
      <c r="A6" s="109"/>
      <c r="B6" s="109"/>
      <c r="C6" s="109"/>
      <c r="D6" s="109"/>
      <c r="E6" s="109"/>
      <c r="F6" s="109"/>
      <c r="G6" s="23" t="s">
        <v>84</v>
      </c>
      <c r="H6" s="23" t="s">
        <v>82</v>
      </c>
      <c r="I6" s="23">
        <f>'MERCADO TE'!$U$3</f>
        <v>43158.441999999995</v>
      </c>
      <c r="J6" s="15"/>
      <c r="L6" s="20">
        <f>'TE BE'!$L$6*'TE BE'!$L$51</f>
        <v>0</v>
      </c>
      <c r="M6" s="20">
        <f>'TE BE'!$M$6*'TE BE'!$M$51</f>
        <v>9.8324903272739359</v>
      </c>
      <c r="N6" s="20">
        <f>'TE BE'!$N$6*'TE BE'!$N$51</f>
        <v>0</v>
      </c>
      <c r="O6" s="20">
        <f>'TE BE'!$O$6*'TE BE'!$O$51</f>
        <v>0</v>
      </c>
      <c r="P6" s="20">
        <f>'TE BE'!$P$6*'TE BE'!$P$51</f>
        <v>0</v>
      </c>
      <c r="Q6" s="20">
        <f>SUM($L$6:$P$6)</f>
        <v>9.8324903272739359</v>
      </c>
      <c r="R6" s="20">
        <f>'TE BE'!$R$6*'TE BE'!$R$51</f>
        <v>-13.227107432267207</v>
      </c>
      <c r="S6" s="20">
        <f>SUM($R$6:$R$6)</f>
        <v>-13.227107432267207</v>
      </c>
      <c r="T6" s="20">
        <f>'TE BE'!$T$6*'TE BE'!$T$51</f>
        <v>0</v>
      </c>
      <c r="U6" s="20">
        <f>'TE BE'!$U$6*'TE BE'!$U$51</f>
        <v>0</v>
      </c>
      <c r="V6" s="20">
        <f>'TE BE'!$V$6*'TE BE'!$V$51</f>
        <v>0</v>
      </c>
      <c r="W6" s="20">
        <f>SUM($T$6:$V$6)</f>
        <v>0</v>
      </c>
      <c r="X6" s="20">
        <f>'TE BE'!$AB$6*'TE BE'!$X$51</f>
        <v>0</v>
      </c>
      <c r="Y6" s="20">
        <f>SUM($X$6:$X$6)</f>
        <v>0</v>
      </c>
      <c r="Z6" s="20">
        <f>'TE BE'!$Z$6*'TE BE'!$Z$51</f>
        <v>-0.36305949717677732</v>
      </c>
      <c r="AA6" s="20">
        <f>SUM($Z$6:$Z$6)</f>
        <v>-0.36305949717677732</v>
      </c>
      <c r="AB6" s="20">
        <f>SUMIF($L$4:$AA$4,"SUBTOTAL",$L$6:$AA$6)</f>
        <v>-3.7576766021700485</v>
      </c>
    </row>
    <row r="7" spans="1:28" ht="11.25" customHeight="1" x14ac:dyDescent="0.25">
      <c r="A7" s="109"/>
      <c r="B7" s="22" t="s">
        <v>85</v>
      </c>
      <c r="C7" s="22" t="s">
        <v>25</v>
      </c>
      <c r="D7" s="22" t="s">
        <v>25</v>
      </c>
      <c r="E7" s="22" t="s">
        <v>86</v>
      </c>
      <c r="F7" s="22" t="s">
        <v>25</v>
      </c>
      <c r="G7" s="23" t="s">
        <v>87</v>
      </c>
      <c r="H7" s="23" t="s">
        <v>82</v>
      </c>
      <c r="I7" s="23">
        <f>'MERCADO TE'!$U$4</f>
        <v>0</v>
      </c>
      <c r="J7" s="15"/>
      <c r="L7" s="20">
        <f>'TE BE'!$L$7*'TE BE'!$L$51</f>
        <v>0</v>
      </c>
      <c r="M7" s="20">
        <f>'TE BE'!$M$7*'TE BE'!$M$51</f>
        <v>9.8324903272739359</v>
      </c>
      <c r="N7" s="20">
        <f>'TE BE'!$N$7*'TE BE'!$N$51</f>
        <v>0</v>
      </c>
      <c r="O7" s="20">
        <f>'TE BE'!$O$7*'TE BE'!$O$51</f>
        <v>0</v>
      </c>
      <c r="P7" s="20">
        <f>'TE BE'!$P$7*'TE BE'!$P$51</f>
        <v>0</v>
      </c>
      <c r="Q7" s="20">
        <f>SUM($L$7:$P$7)</f>
        <v>9.8324903272739359</v>
      </c>
      <c r="R7" s="20">
        <f>'TE BE'!$R$7*'TE BE'!$R$51</f>
        <v>-13.234055075335251</v>
      </c>
      <c r="S7" s="20">
        <f>SUM($R$7:$R$7)</f>
        <v>-13.234055075335251</v>
      </c>
      <c r="T7" s="20">
        <f>'TE BE'!$T$7*'TE BE'!$T$51</f>
        <v>0</v>
      </c>
      <c r="U7" s="20">
        <f>'TE BE'!$U$7*'TE BE'!$U$51</f>
        <v>0</v>
      </c>
      <c r="V7" s="20">
        <f>'TE BE'!$V$7*'TE BE'!$V$51</f>
        <v>0</v>
      </c>
      <c r="W7" s="20">
        <f>SUM($T$7:$V$7)</f>
        <v>0</v>
      </c>
      <c r="X7" s="20">
        <v>0</v>
      </c>
      <c r="Y7" s="20">
        <f>SUM($X$7:$X$7)</f>
        <v>0</v>
      </c>
      <c r="Z7" s="20">
        <f>'TE BE'!$Z$7*'TE BE'!$Z$51</f>
        <v>-0.36305949717677732</v>
      </c>
      <c r="AA7" s="20">
        <f>SUM($Z$7:$Z$7)</f>
        <v>-0.36305949717677732</v>
      </c>
      <c r="AB7" s="20">
        <f>SUMIF($L$4:$AA$4,"SUBTOTAL",$L$7:$AA$7)</f>
        <v>-3.764624245238092</v>
      </c>
    </row>
    <row r="8" spans="1:28" ht="11.25" customHeight="1" x14ac:dyDescent="0.25">
      <c r="A8" s="109"/>
      <c r="B8" s="22" t="s">
        <v>91</v>
      </c>
      <c r="C8" s="22" t="s">
        <v>25</v>
      </c>
      <c r="D8" s="22" t="s">
        <v>25</v>
      </c>
      <c r="E8" s="22" t="s">
        <v>86</v>
      </c>
      <c r="F8" s="22" t="s">
        <v>25</v>
      </c>
      <c r="G8" s="23" t="s">
        <v>87</v>
      </c>
      <c r="H8" s="23" t="s">
        <v>82</v>
      </c>
      <c r="I8" s="23">
        <f>'MERCADO TE'!$U$5</f>
        <v>13846.997000000001</v>
      </c>
      <c r="J8" s="15"/>
      <c r="L8" s="20">
        <f>'TE BE'!$L$8*'TE BE'!$L$51</f>
        <v>0</v>
      </c>
      <c r="M8" s="20">
        <f>'TE BE'!$M$8*'TE BE'!$M$51</f>
        <v>9.8324903272739359</v>
      </c>
      <c r="N8" s="20">
        <f>'TE BE'!$N$8*'TE BE'!$N$51</f>
        <v>0</v>
      </c>
      <c r="O8" s="20">
        <f>'TE BE'!$O$8*'TE BE'!$O$51</f>
        <v>0</v>
      </c>
      <c r="P8" s="20">
        <f>'TE BE'!$P$8*'TE BE'!$P$51</f>
        <v>0</v>
      </c>
      <c r="Q8" s="20">
        <f>SUM($L$8:$P$8)</f>
        <v>9.8324903272739359</v>
      </c>
      <c r="R8" s="20">
        <f>'TE BE'!$R$8*'TE BE'!$R$51</f>
        <v>-13.234055075335251</v>
      </c>
      <c r="S8" s="20">
        <f>SUM($R$8:$R$8)</f>
        <v>-13.234055075335251</v>
      </c>
      <c r="T8" s="20">
        <f>'TE BE'!$T$8*'TE BE'!$T$51</f>
        <v>0</v>
      </c>
      <c r="U8" s="20">
        <f>'TE BE'!$U$8*'TE BE'!$U$51</f>
        <v>0</v>
      </c>
      <c r="V8" s="20">
        <f>'TE BE'!$V$8*'TE BE'!$V$51</f>
        <v>0</v>
      </c>
      <c r="W8" s="20">
        <f>SUM($T$8:$V$8)</f>
        <v>0</v>
      </c>
      <c r="X8" s="20">
        <v>0</v>
      </c>
      <c r="Y8" s="20">
        <f>SUM($X$8:$X$8)</f>
        <v>0</v>
      </c>
      <c r="Z8" s="20">
        <f>'TE BE'!$Z$8*'TE BE'!$Z$51</f>
        <v>-0.36305949717677732</v>
      </c>
      <c r="AA8" s="20">
        <f>SUM($Z$8:$Z$8)</f>
        <v>-0.36305949717677732</v>
      </c>
      <c r="AB8" s="20">
        <f>SUMIF($L$4:$AA$4,"SUBTOTAL",$L$8:$AA$8)</f>
        <v>-3.764624245238092</v>
      </c>
    </row>
    <row r="9" spans="1:28" ht="11.25" customHeight="1" x14ac:dyDescent="0.25">
      <c r="A9" s="109"/>
      <c r="B9" s="22" t="s">
        <v>85</v>
      </c>
      <c r="C9" s="22" t="s">
        <v>25</v>
      </c>
      <c r="D9" s="22" t="s">
        <v>25</v>
      </c>
      <c r="E9" s="22" t="s">
        <v>25</v>
      </c>
      <c r="F9" s="22" t="s">
        <v>25</v>
      </c>
      <c r="G9" s="23" t="s">
        <v>87</v>
      </c>
      <c r="H9" s="23" t="s">
        <v>82</v>
      </c>
      <c r="I9" s="23">
        <f>'MERCADO TE'!$U$6</f>
        <v>0</v>
      </c>
      <c r="J9" s="15"/>
      <c r="L9" s="20">
        <f>'TE BE'!$L$9*'TE BE'!$L$51</f>
        <v>0</v>
      </c>
      <c r="M9" s="20">
        <f>'TE BE'!$M$9*'TE BE'!$M$51</f>
        <v>0</v>
      </c>
      <c r="N9" s="20">
        <f>'TE BE'!$N$9*'TE BE'!$N$51</f>
        <v>0</v>
      </c>
      <c r="O9" s="20">
        <f>'TE BE'!$O$9*'TE BE'!$O$51</f>
        <v>0</v>
      </c>
      <c r="P9" s="20">
        <f>'TE BE'!$P$9*'TE BE'!$P$51</f>
        <v>0</v>
      </c>
      <c r="Q9" s="20">
        <f>SUM($L$9:$P$9)</f>
        <v>0</v>
      </c>
      <c r="R9" s="20">
        <f>'TE BE'!$R$9*'TE BE'!$R$51</f>
        <v>-13.234055075335251</v>
      </c>
      <c r="S9" s="20">
        <f>SUM($R$9:$R$9)</f>
        <v>-13.234055075335251</v>
      </c>
      <c r="T9" s="20">
        <f>'TE BE'!$T$9*'TE BE'!$T$51</f>
        <v>0</v>
      </c>
      <c r="U9" s="20">
        <f>'TE BE'!$U$9*'TE BE'!$U$51</f>
        <v>0</v>
      </c>
      <c r="V9" s="20">
        <f>'TE BE'!$V$9*'TE BE'!$V$51</f>
        <v>0</v>
      </c>
      <c r="W9" s="20">
        <f>SUM($T$9:$V$9)</f>
        <v>0</v>
      </c>
      <c r="X9" s="20">
        <v>0</v>
      </c>
      <c r="Y9" s="20">
        <f>SUM($X$9:$X$9)</f>
        <v>0</v>
      </c>
      <c r="Z9" s="20">
        <f>'TE BE'!$Z$9*'TE BE'!$Z$51</f>
        <v>0</v>
      </c>
      <c r="AA9" s="20">
        <f>SUM($Z$9:$Z$9)</f>
        <v>0</v>
      </c>
      <c r="AB9" s="20">
        <f>SUMIF($L$4:$AA$4,"SUBTOTAL",$L$9:$AA$9)</f>
        <v>-13.234055075335251</v>
      </c>
    </row>
    <row r="10" spans="1:28" ht="11.25" customHeight="1" x14ac:dyDescent="0.25">
      <c r="A10" s="109" t="s">
        <v>22</v>
      </c>
      <c r="B10" s="109" t="s">
        <v>81</v>
      </c>
      <c r="C10" s="109" t="s">
        <v>24</v>
      </c>
      <c r="D10" s="109" t="s">
        <v>24</v>
      </c>
      <c r="E10" s="109" t="s">
        <v>25</v>
      </c>
      <c r="F10" s="109" t="s">
        <v>25</v>
      </c>
      <c r="G10" s="23" t="s">
        <v>83</v>
      </c>
      <c r="H10" s="23" t="s">
        <v>82</v>
      </c>
      <c r="I10" s="23">
        <f>'MERCADO TE'!$U$7</f>
        <v>0</v>
      </c>
      <c r="J10" s="15"/>
      <c r="L10" s="20">
        <f>'TE BE'!$L$10*'TE BE'!$L$51</f>
        <v>0</v>
      </c>
      <c r="M10" s="20">
        <f>'TE BE'!$M$10*'TE BE'!$M$51</f>
        <v>9.8324903272739359</v>
      </c>
      <c r="N10" s="20">
        <f>'TE BE'!$N$10*'TE BE'!$N$51</f>
        <v>0</v>
      </c>
      <c r="O10" s="20">
        <f>'TE BE'!$O$10*'TE BE'!$O$51</f>
        <v>0</v>
      </c>
      <c r="P10" s="20">
        <f>'TE BE'!$P$10*'TE BE'!$P$51</f>
        <v>0</v>
      </c>
      <c r="Q10" s="20">
        <f>SUM($L$10:$P$10)</f>
        <v>9.8324903272739359</v>
      </c>
      <c r="R10" s="20">
        <f>'TE BE'!$R$10*'TE BE'!$R$51</f>
        <v>-13.227107432267207</v>
      </c>
      <c r="S10" s="20">
        <f>SUM($R$10:$R$10)</f>
        <v>-13.227107432267207</v>
      </c>
      <c r="T10" s="20">
        <f>'TE BE'!$T$10*'TE BE'!$T$51</f>
        <v>0</v>
      </c>
      <c r="U10" s="20">
        <f>'TE BE'!$U$10*'TE BE'!$U$51</f>
        <v>0</v>
      </c>
      <c r="V10" s="20">
        <f>'TE BE'!$V$10*'TE BE'!$V$51</f>
        <v>0</v>
      </c>
      <c r="W10" s="20">
        <f>SUM($T$10:$V$10)</f>
        <v>0</v>
      </c>
      <c r="X10" s="20">
        <f>'TE BE'!$AB$10*'TE BE'!$X$51</f>
        <v>0</v>
      </c>
      <c r="Y10" s="20">
        <f>SUM($X$10:$X$10)</f>
        <v>0</v>
      </c>
      <c r="Z10" s="20">
        <f>'TE BE'!$Z$10*'TE BE'!$Z$51</f>
        <v>-0.36305949717677732</v>
      </c>
      <c r="AA10" s="20">
        <f>SUM($Z$10:$Z$10)</f>
        <v>-0.36305949717677732</v>
      </c>
      <c r="AB10" s="20">
        <f>SUMIF($L$4:$AA$4,"SUBTOTAL",$L$10:$AA$10)</f>
        <v>-3.7576766021700485</v>
      </c>
    </row>
    <row r="11" spans="1:28" ht="11.25" customHeight="1" x14ac:dyDescent="0.25">
      <c r="A11" s="109"/>
      <c r="B11" s="109"/>
      <c r="C11" s="109"/>
      <c r="D11" s="109"/>
      <c r="E11" s="109"/>
      <c r="F11" s="109"/>
      <c r="G11" s="23" t="s">
        <v>95</v>
      </c>
      <c r="H11" s="23" t="s">
        <v>82</v>
      </c>
      <c r="I11" s="23">
        <f>'MERCADO TE'!$U$8</f>
        <v>0</v>
      </c>
      <c r="J11" s="15"/>
      <c r="L11" s="20">
        <f>'TE BE'!$L$11*'TE BE'!$L$51</f>
        <v>0</v>
      </c>
      <c r="M11" s="20">
        <f>'TE BE'!$M$11*'TE BE'!$M$51</f>
        <v>9.8324903272739359</v>
      </c>
      <c r="N11" s="20">
        <f>'TE BE'!$N$11*'TE BE'!$N$51</f>
        <v>0</v>
      </c>
      <c r="O11" s="20">
        <f>'TE BE'!$O$11*'TE BE'!$O$51</f>
        <v>0</v>
      </c>
      <c r="P11" s="20">
        <f>'TE BE'!$P$11*'TE BE'!$P$51</f>
        <v>0</v>
      </c>
      <c r="Q11" s="20">
        <f>SUM($L$11:$P$11)</f>
        <v>9.8324903272739359</v>
      </c>
      <c r="R11" s="20">
        <f>'TE BE'!$R$11*'TE BE'!$R$51</f>
        <v>-13.227107432267207</v>
      </c>
      <c r="S11" s="20">
        <f>SUM($R$11:$R$11)</f>
        <v>-13.227107432267207</v>
      </c>
      <c r="T11" s="20">
        <f>'TE BE'!$T$11*'TE BE'!$T$51</f>
        <v>0</v>
      </c>
      <c r="U11" s="20">
        <f>'TE BE'!$U$11*'TE BE'!$U$51</f>
        <v>0</v>
      </c>
      <c r="V11" s="20">
        <f>'TE BE'!$V$11*'TE BE'!$V$51</f>
        <v>0</v>
      </c>
      <c r="W11" s="20">
        <f>SUM($T$11:$V$11)</f>
        <v>0</v>
      </c>
      <c r="X11" s="20">
        <f>'TE BE'!$AB$11*'TE BE'!$X$51</f>
        <v>0</v>
      </c>
      <c r="Y11" s="20">
        <f>SUM($X$11:$X$11)</f>
        <v>0</v>
      </c>
      <c r="Z11" s="20">
        <f>'TE BE'!$Z$11*'TE BE'!$Z$51</f>
        <v>-0.36305949717677732</v>
      </c>
      <c r="AA11" s="20">
        <f>SUM($Z$11:$Z$11)</f>
        <v>-0.36305949717677732</v>
      </c>
      <c r="AB11" s="20">
        <f>SUMIF($L$4:$AA$4,"SUBTOTAL",$L$11:$AA$11)</f>
        <v>-3.7576766021700485</v>
      </c>
    </row>
    <row r="12" spans="1:28" ht="11.25" customHeight="1" x14ac:dyDescent="0.25">
      <c r="A12" s="109"/>
      <c r="B12" s="109"/>
      <c r="C12" s="109"/>
      <c r="D12" s="109"/>
      <c r="E12" s="109"/>
      <c r="F12" s="109"/>
      <c r="G12" s="23" t="s">
        <v>84</v>
      </c>
      <c r="H12" s="23" t="s">
        <v>82</v>
      </c>
      <c r="I12" s="23">
        <f>'MERCADO TE'!$U$9</f>
        <v>0</v>
      </c>
      <c r="J12" s="15"/>
      <c r="L12" s="20">
        <f>'TE BE'!$L$12*'TE BE'!$L$51</f>
        <v>0</v>
      </c>
      <c r="M12" s="20">
        <f>'TE BE'!$M$12*'TE BE'!$M$51</f>
        <v>9.8324903272739359</v>
      </c>
      <c r="N12" s="20">
        <f>'TE BE'!$N$12*'TE BE'!$N$51</f>
        <v>0</v>
      </c>
      <c r="O12" s="20">
        <f>'TE BE'!$O$12*'TE BE'!$O$51</f>
        <v>0</v>
      </c>
      <c r="P12" s="20">
        <f>'TE BE'!$P$12*'TE BE'!$P$51</f>
        <v>0</v>
      </c>
      <c r="Q12" s="20">
        <f>SUM($L$12:$P$12)</f>
        <v>9.8324903272739359</v>
      </c>
      <c r="R12" s="20">
        <f>'TE BE'!$R$12*'TE BE'!$R$51</f>
        <v>-13.227107432267207</v>
      </c>
      <c r="S12" s="20">
        <f>SUM($R$12:$R$12)</f>
        <v>-13.227107432267207</v>
      </c>
      <c r="T12" s="20">
        <f>'TE BE'!$T$12*'TE BE'!$T$51</f>
        <v>0</v>
      </c>
      <c r="U12" s="20">
        <f>'TE BE'!$U$12*'TE BE'!$U$51</f>
        <v>0</v>
      </c>
      <c r="V12" s="20">
        <f>'TE BE'!$V$12*'TE BE'!$V$51</f>
        <v>0</v>
      </c>
      <c r="W12" s="20">
        <f>SUM($T$12:$V$12)</f>
        <v>0</v>
      </c>
      <c r="X12" s="20">
        <f>'TE BE'!$AB$12*'TE BE'!$X$51</f>
        <v>0</v>
      </c>
      <c r="Y12" s="20">
        <f>SUM($X$12:$X$12)</f>
        <v>0</v>
      </c>
      <c r="Z12" s="20">
        <f>'TE BE'!$Z$12*'TE BE'!$Z$51</f>
        <v>-0.36305949717677732</v>
      </c>
      <c r="AA12" s="20">
        <f>SUM($Z$12:$Z$12)</f>
        <v>-0.36305949717677732</v>
      </c>
      <c r="AB12" s="20">
        <f>SUMIF($L$4:$AA$4,"SUBTOTAL",$L$12:$AA$12)</f>
        <v>-3.7576766021700485</v>
      </c>
    </row>
    <row r="13" spans="1:28" ht="11.25" customHeight="1" x14ac:dyDescent="0.25">
      <c r="A13" s="109"/>
      <c r="B13" s="109" t="s">
        <v>96</v>
      </c>
      <c r="C13" s="109" t="s">
        <v>24</v>
      </c>
      <c r="D13" s="22" t="s">
        <v>24</v>
      </c>
      <c r="E13" s="22" t="s">
        <v>25</v>
      </c>
      <c r="F13" s="22" t="s">
        <v>25</v>
      </c>
      <c r="G13" s="23" t="s">
        <v>87</v>
      </c>
      <c r="H13" s="23" t="s">
        <v>82</v>
      </c>
      <c r="I13" s="23">
        <f>'MERCADO TE'!$U$10</f>
        <v>33611.357000000004</v>
      </c>
      <c r="J13" s="15"/>
      <c r="L13" s="20">
        <f>'TE BE'!$L$13*'TE BE'!$L$51</f>
        <v>0</v>
      </c>
      <c r="M13" s="20">
        <f>'TE BE'!$M$13*'TE BE'!$M$51</f>
        <v>9.8324903272739359</v>
      </c>
      <c r="N13" s="20">
        <f>'TE BE'!$N$13*'TE BE'!$N$51</f>
        <v>0</v>
      </c>
      <c r="O13" s="20">
        <f>'TE BE'!$O$13*'TE BE'!$O$51</f>
        <v>0</v>
      </c>
      <c r="P13" s="20">
        <f>'TE BE'!$P$13*'TE BE'!$P$51</f>
        <v>0</v>
      </c>
      <c r="Q13" s="20">
        <f>SUM($L$13:$P$13)</f>
        <v>9.8324903272739359</v>
      </c>
      <c r="R13" s="20">
        <f>'TE BE'!$R$13*'TE BE'!$R$51</f>
        <v>-13.227107432267207</v>
      </c>
      <c r="S13" s="20">
        <f>SUM($R$13:$R$13)</f>
        <v>-13.227107432267207</v>
      </c>
      <c r="T13" s="20">
        <f>'TE BE'!$T$13*'TE BE'!$T$51</f>
        <v>0</v>
      </c>
      <c r="U13" s="20">
        <f>'TE BE'!$U$13*'TE BE'!$U$51</f>
        <v>0</v>
      </c>
      <c r="V13" s="20">
        <f>'TE BE'!$V$13*'TE BE'!$V$51</f>
        <v>0</v>
      </c>
      <c r="W13" s="20">
        <f>SUM($T$13:$V$13)</f>
        <v>0</v>
      </c>
      <c r="X13" s="20">
        <f>'TE BE'!$AB$13*'TE BE'!$X$51</f>
        <v>0</v>
      </c>
      <c r="Y13" s="20">
        <f>SUM($X$13:$X$13)</f>
        <v>0</v>
      </c>
      <c r="Z13" s="20">
        <f>'TE BE'!$Z$13*'TE BE'!$Z$51</f>
        <v>-0.36305949717677732</v>
      </c>
      <c r="AA13" s="20">
        <f>SUM($Z$13:$Z$13)</f>
        <v>-0.36305949717677732</v>
      </c>
      <c r="AB13" s="20">
        <f>SUMIF($L$4:$AA$4,"SUBTOTAL",$L$13:$AA$13)</f>
        <v>-3.7576766021700485</v>
      </c>
    </row>
    <row r="14" spans="1:28" ht="11.25" customHeight="1" x14ac:dyDescent="0.25">
      <c r="A14" s="109"/>
      <c r="B14" s="109"/>
      <c r="C14" s="109"/>
      <c r="D14" s="22" t="s">
        <v>29</v>
      </c>
      <c r="E14" s="22" t="s">
        <v>25</v>
      </c>
      <c r="F14" s="22" t="s">
        <v>25</v>
      </c>
      <c r="G14" s="23" t="s">
        <v>87</v>
      </c>
      <c r="H14" s="23" t="s">
        <v>82</v>
      </c>
      <c r="I14" s="23">
        <f>'MERCADO TE'!$U$11</f>
        <v>174.63</v>
      </c>
      <c r="J14" s="15"/>
      <c r="L14" s="20">
        <f>'TE BE'!$L$14*'TE BE'!$L$51</f>
        <v>0</v>
      </c>
      <c r="M14" s="20">
        <f>'TE BE'!$M$14*'TE BE'!$M$51</f>
        <v>9.8324903272739359</v>
      </c>
      <c r="N14" s="20">
        <f>'TE BE'!$N$14*'TE BE'!$N$51</f>
        <v>0</v>
      </c>
      <c r="O14" s="20">
        <f>'TE BE'!$O$14*'TE BE'!$O$51</f>
        <v>0</v>
      </c>
      <c r="P14" s="20">
        <f>'TE BE'!$P$14*'TE BE'!$P$51</f>
        <v>0</v>
      </c>
      <c r="Q14" s="20">
        <f>SUM($L$14:$P$14)</f>
        <v>9.8324903272739359</v>
      </c>
      <c r="R14" s="20">
        <f>'TE BE'!$R$14*'TE BE'!$R$51</f>
        <v>-13.227107432267207</v>
      </c>
      <c r="S14" s="20">
        <f>SUM($R$14:$R$14)</f>
        <v>-13.227107432267207</v>
      </c>
      <c r="T14" s="20">
        <f>'TE BE'!$T$14*'TE BE'!$T$51</f>
        <v>0</v>
      </c>
      <c r="U14" s="20">
        <f>'TE BE'!$U$14*'TE BE'!$U$51</f>
        <v>0</v>
      </c>
      <c r="V14" s="20">
        <f>'TE BE'!$V$14*'TE BE'!$V$51</f>
        <v>0</v>
      </c>
      <c r="W14" s="20">
        <f>SUM($T$14:$V$14)</f>
        <v>0</v>
      </c>
      <c r="X14" s="20">
        <f>'TE BE'!$AB$14*'TE BE'!$X$51</f>
        <v>0</v>
      </c>
      <c r="Y14" s="20">
        <f>SUM($X$14:$X$14)</f>
        <v>0</v>
      </c>
      <c r="Z14" s="20">
        <f>'TE BE'!$Z$14*'TE BE'!$Z$51</f>
        <v>-0.36305949717677732</v>
      </c>
      <c r="AA14" s="20">
        <f>SUM($Z$14:$Z$14)</f>
        <v>-0.36305949717677732</v>
      </c>
      <c r="AB14" s="20">
        <f>SUMIF($L$4:$AA$4,"SUBTOTAL",$L$14:$AA$14)</f>
        <v>-3.7576766021700485</v>
      </c>
    </row>
    <row r="15" spans="1:28" ht="11.25" customHeight="1" x14ac:dyDescent="0.25">
      <c r="A15" s="109"/>
      <c r="B15" s="109"/>
      <c r="C15" s="109"/>
      <c r="D15" s="22" t="s">
        <v>30</v>
      </c>
      <c r="E15" s="22" t="s">
        <v>25</v>
      </c>
      <c r="F15" s="22" t="s">
        <v>25</v>
      </c>
      <c r="G15" s="23" t="s">
        <v>87</v>
      </c>
      <c r="H15" s="23" t="s">
        <v>82</v>
      </c>
      <c r="I15" s="23">
        <f>'MERCADO TE'!$U$12</f>
        <v>381.96100000000001</v>
      </c>
      <c r="J15" s="15"/>
      <c r="L15" s="20">
        <f>'TE BE'!$L$15*'TE BE'!$L$51</f>
        <v>0</v>
      </c>
      <c r="M15" s="20">
        <f>'TE BE'!$M$15*'TE BE'!$M$51</f>
        <v>9.8324903272739359</v>
      </c>
      <c r="N15" s="20">
        <f>'TE BE'!$N$15*'TE BE'!$N$51</f>
        <v>0</v>
      </c>
      <c r="O15" s="20">
        <f>'TE BE'!$O$15*'TE BE'!$O$51</f>
        <v>0</v>
      </c>
      <c r="P15" s="20">
        <f>'TE BE'!$P$15*'TE BE'!$P$51</f>
        <v>0</v>
      </c>
      <c r="Q15" s="20">
        <f>SUM($L$15:$P$15)</f>
        <v>9.8324903272739359</v>
      </c>
      <c r="R15" s="20">
        <f>'TE BE'!$R$15*'TE BE'!$R$51</f>
        <v>-13.227107432267207</v>
      </c>
      <c r="S15" s="20">
        <f>SUM($R$15:$R$15)</f>
        <v>-13.227107432267207</v>
      </c>
      <c r="T15" s="20">
        <f>'TE BE'!$T$15*'TE BE'!$T$51</f>
        <v>0</v>
      </c>
      <c r="U15" s="20">
        <f>'TE BE'!$U$15*'TE BE'!$U$51</f>
        <v>0</v>
      </c>
      <c r="V15" s="20">
        <f>'TE BE'!$V$15*'TE BE'!$V$51</f>
        <v>0</v>
      </c>
      <c r="W15" s="20">
        <f>SUM($T$15:$V$15)</f>
        <v>0</v>
      </c>
      <c r="X15" s="20">
        <f>'TE BE'!$AB$15*'TE BE'!$X$51</f>
        <v>0</v>
      </c>
      <c r="Y15" s="20">
        <f>SUM($X$15:$X$15)</f>
        <v>0</v>
      </c>
      <c r="Z15" s="20">
        <f>'TE BE'!$Z$15*'TE BE'!$Z$51</f>
        <v>-0.36305949717677732</v>
      </c>
      <c r="AA15" s="20">
        <f>SUM($Z$15:$Z$15)</f>
        <v>-0.36305949717677732</v>
      </c>
      <c r="AB15" s="20">
        <f>SUMIF($L$4:$AA$4,"SUBTOTAL",$L$15:$AA$15)</f>
        <v>-3.7576766021700485</v>
      </c>
    </row>
    <row r="16" spans="1:28" ht="11.25" customHeight="1" x14ac:dyDescent="0.25">
      <c r="A16" s="109"/>
      <c r="B16" s="109"/>
      <c r="C16" s="109"/>
      <c r="D16" s="22" t="s">
        <v>31</v>
      </c>
      <c r="E16" s="22" t="s">
        <v>25</v>
      </c>
      <c r="F16" s="22" t="s">
        <v>25</v>
      </c>
      <c r="G16" s="23" t="s">
        <v>87</v>
      </c>
      <c r="H16" s="23" t="s">
        <v>82</v>
      </c>
      <c r="I16" s="23">
        <f>'MERCADO TE'!$U$13</f>
        <v>465.60300000000001</v>
      </c>
      <c r="J16" s="15"/>
      <c r="L16" s="20">
        <f>'TE BE'!$L$16*'TE BE'!$L$51</f>
        <v>0</v>
      </c>
      <c r="M16" s="20">
        <f>'TE BE'!$M$16*'TE BE'!$M$51</f>
        <v>9.8324903272739359</v>
      </c>
      <c r="N16" s="20">
        <f>'TE BE'!$N$16*'TE BE'!$N$51</f>
        <v>0</v>
      </c>
      <c r="O16" s="20">
        <f>'TE BE'!$O$16*'TE BE'!$O$51</f>
        <v>0</v>
      </c>
      <c r="P16" s="20">
        <f>'TE BE'!$P$16*'TE BE'!$P$51</f>
        <v>0</v>
      </c>
      <c r="Q16" s="20">
        <f>SUM($L$16:$P$16)</f>
        <v>9.8324903272739359</v>
      </c>
      <c r="R16" s="20">
        <f>'TE BE'!$R$16*'TE BE'!$R$51</f>
        <v>-13.227107432267207</v>
      </c>
      <c r="S16" s="20">
        <f>SUM($R$16:$R$16)</f>
        <v>-13.227107432267207</v>
      </c>
      <c r="T16" s="20">
        <f>'TE BE'!$T$16*'TE BE'!$T$51</f>
        <v>0</v>
      </c>
      <c r="U16" s="20">
        <f>'TE BE'!$U$16*'TE BE'!$U$51</f>
        <v>0</v>
      </c>
      <c r="V16" s="20">
        <f>'TE BE'!$V$16*'TE BE'!$V$51</f>
        <v>0</v>
      </c>
      <c r="W16" s="20">
        <f>SUM($T$16:$V$16)</f>
        <v>0</v>
      </c>
      <c r="X16" s="20">
        <f>'TE BE'!$AB$16*'TE BE'!$X$51</f>
        <v>0</v>
      </c>
      <c r="Y16" s="20">
        <f>SUM($X$16:$X$16)</f>
        <v>0</v>
      </c>
      <c r="Z16" s="20">
        <f>'TE BE'!$Z$16*'TE BE'!$Z$51</f>
        <v>-0.36305949717677732</v>
      </c>
      <c r="AA16" s="20">
        <f>SUM($Z$16:$Z$16)</f>
        <v>-0.36305949717677732</v>
      </c>
      <c r="AB16" s="20">
        <f>SUMIF($L$4:$AA$4,"SUBTOTAL",$L$16:$AA$16)</f>
        <v>-3.7576766021700485</v>
      </c>
    </row>
    <row r="17" spans="1:28" ht="11.25" customHeight="1" x14ac:dyDescent="0.25">
      <c r="A17" s="109"/>
      <c r="B17" s="109"/>
      <c r="C17" s="109"/>
      <c r="D17" s="22" t="s">
        <v>32</v>
      </c>
      <c r="E17" s="22" t="s">
        <v>25</v>
      </c>
      <c r="F17" s="22" t="s">
        <v>25</v>
      </c>
      <c r="G17" s="23" t="s">
        <v>87</v>
      </c>
      <c r="H17" s="23" t="s">
        <v>82</v>
      </c>
      <c r="I17" s="23">
        <f>'MERCADO TE'!$U$14</f>
        <v>317.14700000000005</v>
      </c>
      <c r="J17" s="15"/>
      <c r="L17" s="20">
        <f>'TE BE'!$L$17*'TE BE'!$L$51</f>
        <v>0</v>
      </c>
      <c r="M17" s="20">
        <f>'TE BE'!$M$17*'TE BE'!$M$51</f>
        <v>9.8324903272739359</v>
      </c>
      <c r="N17" s="20">
        <f>'TE BE'!$N$17*'TE BE'!$N$51</f>
        <v>0</v>
      </c>
      <c r="O17" s="20">
        <f>'TE BE'!$O$17*'TE BE'!$O$51</f>
        <v>0</v>
      </c>
      <c r="P17" s="20">
        <f>'TE BE'!$P$17*'TE BE'!$P$51</f>
        <v>0</v>
      </c>
      <c r="Q17" s="20">
        <f>SUM($L$17:$P$17)</f>
        <v>9.8324903272739359</v>
      </c>
      <c r="R17" s="20">
        <f>'TE BE'!$R$17*'TE BE'!$R$51</f>
        <v>-13.227107432267207</v>
      </c>
      <c r="S17" s="20">
        <f>SUM($R$17:$R$17)</f>
        <v>-13.227107432267207</v>
      </c>
      <c r="T17" s="20">
        <f>'TE BE'!$T$17*'TE BE'!$T$51</f>
        <v>0</v>
      </c>
      <c r="U17" s="20">
        <f>'TE BE'!$U$17*'TE BE'!$U$51</f>
        <v>0</v>
      </c>
      <c r="V17" s="20">
        <f>'TE BE'!$V$17*'TE BE'!$V$51</f>
        <v>0</v>
      </c>
      <c r="W17" s="20">
        <f>SUM($T$17:$V$17)</f>
        <v>0</v>
      </c>
      <c r="X17" s="20">
        <f>'TE BE'!$AB$17*'TE BE'!$X$51</f>
        <v>0</v>
      </c>
      <c r="Y17" s="20">
        <f>SUM($X$17:$X$17)</f>
        <v>0</v>
      </c>
      <c r="Z17" s="20">
        <f>'TE BE'!$Z$17*'TE BE'!$Z$51</f>
        <v>-0.36305949717677732</v>
      </c>
      <c r="AA17" s="20">
        <f>SUM($Z$17:$Z$17)</f>
        <v>-0.36305949717677732</v>
      </c>
      <c r="AB17" s="20">
        <f>SUMIF($L$4:$AA$4,"SUBTOTAL",$L$17:$AA$17)</f>
        <v>-3.7576766021700485</v>
      </c>
    </row>
    <row r="18" spans="1:28" ht="11.25" customHeight="1" x14ac:dyDescent="0.25">
      <c r="A18" s="109"/>
      <c r="B18" s="109" t="s">
        <v>98</v>
      </c>
      <c r="C18" s="109" t="s">
        <v>24</v>
      </c>
      <c r="D18" s="22" t="s">
        <v>24</v>
      </c>
      <c r="E18" s="22" t="s">
        <v>25</v>
      </c>
      <c r="F18" s="22" t="s">
        <v>25</v>
      </c>
      <c r="G18" s="23" t="s">
        <v>87</v>
      </c>
      <c r="H18" s="23" t="s">
        <v>82</v>
      </c>
      <c r="I18" s="23">
        <f>'MERCADO TE'!$U$15</f>
        <v>0</v>
      </c>
      <c r="J18" s="15"/>
      <c r="L18" s="20">
        <f>'TE BE'!$L$18*'TE BE'!$L$51</f>
        <v>0</v>
      </c>
      <c r="M18" s="20">
        <f>'TE BE'!$M$18*'TE BE'!$M$51</f>
        <v>9.8324903272739359</v>
      </c>
      <c r="N18" s="20">
        <f>'TE BE'!$N$18*'TE BE'!$N$51</f>
        <v>0</v>
      </c>
      <c r="O18" s="20">
        <f>'TE BE'!$O$18*'TE BE'!$O$51</f>
        <v>0</v>
      </c>
      <c r="P18" s="20">
        <f>'TE BE'!$P$18*'TE BE'!$P$51</f>
        <v>0</v>
      </c>
      <c r="Q18" s="20">
        <f>SUM($L$18:$P$18)</f>
        <v>9.8324903272739359</v>
      </c>
      <c r="R18" s="20">
        <f>'TE BE'!$R$18*'TE BE'!$R$51</f>
        <v>-13.227107432267207</v>
      </c>
      <c r="S18" s="20">
        <f>SUM($R$18:$R$18)</f>
        <v>-13.227107432267207</v>
      </c>
      <c r="T18" s="20">
        <f>'TE BE'!$T$18*'TE BE'!$T$51</f>
        <v>0</v>
      </c>
      <c r="U18" s="20">
        <f>'TE BE'!$U$18*'TE BE'!$U$51</f>
        <v>0</v>
      </c>
      <c r="V18" s="20">
        <f>'TE BE'!$V$18*'TE BE'!$V$51</f>
        <v>0</v>
      </c>
      <c r="W18" s="20">
        <f>SUM($T$18:$V$18)</f>
        <v>0</v>
      </c>
      <c r="X18" s="20">
        <f>'TE BE'!$AB$18*'TE BE'!$X$51</f>
        <v>0</v>
      </c>
      <c r="Y18" s="20">
        <f>SUM($X$18:$X$18)</f>
        <v>0</v>
      </c>
      <c r="Z18" s="20">
        <f>'TE BE'!$Z$18*'TE BE'!$Z$51</f>
        <v>-0.36305949717677732</v>
      </c>
      <c r="AA18" s="20">
        <f>SUM($Z$18:$Z$18)</f>
        <v>-0.36305949717677732</v>
      </c>
      <c r="AB18" s="20">
        <f>SUMIF($L$4:$AA$4,"SUBTOTAL",$L$18:$AA$18)</f>
        <v>-3.7576766021700485</v>
      </c>
    </row>
    <row r="19" spans="1:28" ht="11.25" customHeight="1" x14ac:dyDescent="0.25">
      <c r="A19" s="109"/>
      <c r="B19" s="109"/>
      <c r="C19" s="109"/>
      <c r="D19" s="22" t="s">
        <v>29</v>
      </c>
      <c r="E19" s="22" t="s">
        <v>25</v>
      </c>
      <c r="F19" s="22" t="s">
        <v>25</v>
      </c>
      <c r="G19" s="23" t="s">
        <v>87</v>
      </c>
      <c r="H19" s="23" t="s">
        <v>82</v>
      </c>
      <c r="I19" s="23">
        <f>'MERCADO TE'!$U$16</f>
        <v>0</v>
      </c>
      <c r="J19" s="15"/>
      <c r="L19" s="20">
        <f>'TE BE'!$L$19*'TE BE'!$L$51</f>
        <v>0</v>
      </c>
      <c r="M19" s="20">
        <f>'TE BE'!$M$19*'TE BE'!$M$51</f>
        <v>9.8324903272739359</v>
      </c>
      <c r="N19" s="20">
        <f>'TE BE'!$N$19*'TE BE'!$N$51</f>
        <v>0</v>
      </c>
      <c r="O19" s="20">
        <f>'TE BE'!$O$19*'TE BE'!$O$51</f>
        <v>0</v>
      </c>
      <c r="P19" s="20">
        <f>'TE BE'!$P$19*'TE BE'!$P$51</f>
        <v>0</v>
      </c>
      <c r="Q19" s="20">
        <f>SUM($L$19:$P$19)</f>
        <v>9.8324903272739359</v>
      </c>
      <c r="R19" s="20">
        <f>'TE BE'!$R$19*'TE BE'!$R$51</f>
        <v>-13.227107432267207</v>
      </c>
      <c r="S19" s="20">
        <f>SUM($R$19:$R$19)</f>
        <v>-13.227107432267207</v>
      </c>
      <c r="T19" s="20">
        <f>'TE BE'!$T$19*'TE BE'!$T$51</f>
        <v>0</v>
      </c>
      <c r="U19" s="20">
        <f>'TE BE'!$U$19*'TE BE'!$U$51</f>
        <v>0</v>
      </c>
      <c r="V19" s="20">
        <f>'TE BE'!$V$19*'TE BE'!$V$51</f>
        <v>0</v>
      </c>
      <c r="W19" s="20">
        <f>SUM($T$19:$V$19)</f>
        <v>0</v>
      </c>
      <c r="X19" s="20">
        <f>'TE BE'!$AB$19*'TE BE'!$X$51</f>
        <v>0</v>
      </c>
      <c r="Y19" s="20">
        <f>SUM($X$19:$X$19)</f>
        <v>0</v>
      </c>
      <c r="Z19" s="20">
        <f>'TE BE'!$Z$19*'TE BE'!$Z$51</f>
        <v>-0.36305949717677732</v>
      </c>
      <c r="AA19" s="20">
        <f>SUM($Z$19:$Z$19)</f>
        <v>-0.36305949717677732</v>
      </c>
      <c r="AB19" s="20">
        <f>SUMIF($L$4:$AA$4,"SUBTOTAL",$L$19:$AA$19)</f>
        <v>-3.7576766021700485</v>
      </c>
    </row>
    <row r="20" spans="1:28" ht="11.25" customHeight="1" x14ac:dyDescent="0.25">
      <c r="A20" s="109"/>
      <c r="B20" s="109"/>
      <c r="C20" s="109"/>
      <c r="D20" s="22" t="s">
        <v>30</v>
      </c>
      <c r="E20" s="22" t="s">
        <v>25</v>
      </c>
      <c r="F20" s="22" t="s">
        <v>25</v>
      </c>
      <c r="G20" s="23" t="s">
        <v>87</v>
      </c>
      <c r="H20" s="23" t="s">
        <v>82</v>
      </c>
      <c r="I20" s="23">
        <f>'MERCADO TE'!$U$17</f>
        <v>0</v>
      </c>
      <c r="J20" s="15"/>
      <c r="L20" s="20">
        <f>'TE BE'!$L$20*'TE BE'!$L$51</f>
        <v>0</v>
      </c>
      <c r="M20" s="20">
        <f>'TE BE'!$M$20*'TE BE'!$M$51</f>
        <v>9.8324903272739359</v>
      </c>
      <c r="N20" s="20">
        <f>'TE BE'!$N$20*'TE BE'!$N$51</f>
        <v>0</v>
      </c>
      <c r="O20" s="20">
        <f>'TE BE'!$O$20*'TE BE'!$O$51</f>
        <v>0</v>
      </c>
      <c r="P20" s="20">
        <f>'TE BE'!$P$20*'TE BE'!$P$51</f>
        <v>0</v>
      </c>
      <c r="Q20" s="20">
        <f>SUM($L$20:$P$20)</f>
        <v>9.8324903272739359</v>
      </c>
      <c r="R20" s="20">
        <f>'TE BE'!$R$20*'TE BE'!$R$51</f>
        <v>-13.227107432267207</v>
      </c>
      <c r="S20" s="20">
        <f>SUM($R$20:$R$20)</f>
        <v>-13.227107432267207</v>
      </c>
      <c r="T20" s="20">
        <f>'TE BE'!$T$20*'TE BE'!$T$51</f>
        <v>0</v>
      </c>
      <c r="U20" s="20">
        <f>'TE BE'!$U$20*'TE BE'!$U$51</f>
        <v>0</v>
      </c>
      <c r="V20" s="20">
        <f>'TE BE'!$V$20*'TE BE'!$V$51</f>
        <v>0</v>
      </c>
      <c r="W20" s="20">
        <f>SUM($T$20:$V$20)</f>
        <v>0</v>
      </c>
      <c r="X20" s="20">
        <f>'TE BE'!$AB$20*'TE BE'!$X$51</f>
        <v>0</v>
      </c>
      <c r="Y20" s="20">
        <f>SUM($X$20:$X$20)</f>
        <v>0</v>
      </c>
      <c r="Z20" s="20">
        <f>'TE BE'!$Z$20*'TE BE'!$Z$51</f>
        <v>-0.36305949717677732</v>
      </c>
      <c r="AA20" s="20">
        <f>SUM($Z$20:$Z$20)</f>
        <v>-0.36305949717677732</v>
      </c>
      <c r="AB20" s="20">
        <f>SUMIF($L$4:$AA$4,"SUBTOTAL",$L$20:$AA$20)</f>
        <v>-3.7576766021700485</v>
      </c>
    </row>
    <row r="21" spans="1:28" ht="11.25" customHeight="1" x14ac:dyDescent="0.25">
      <c r="A21" s="109"/>
      <c r="B21" s="109"/>
      <c r="C21" s="109"/>
      <c r="D21" s="22" t="s">
        <v>31</v>
      </c>
      <c r="E21" s="22" t="s">
        <v>25</v>
      </c>
      <c r="F21" s="22" t="s">
        <v>25</v>
      </c>
      <c r="G21" s="23" t="s">
        <v>87</v>
      </c>
      <c r="H21" s="23" t="s">
        <v>82</v>
      </c>
      <c r="I21" s="23">
        <f>'MERCADO TE'!$U$18</f>
        <v>0</v>
      </c>
      <c r="J21" s="15"/>
      <c r="L21" s="20">
        <f>'TE BE'!$L$21*'TE BE'!$L$51</f>
        <v>0</v>
      </c>
      <c r="M21" s="20">
        <f>'TE BE'!$M$21*'TE BE'!$M$51</f>
        <v>9.8324903272739359</v>
      </c>
      <c r="N21" s="20">
        <f>'TE BE'!$N$21*'TE BE'!$N$51</f>
        <v>0</v>
      </c>
      <c r="O21" s="20">
        <f>'TE BE'!$O$21*'TE BE'!$O$51</f>
        <v>0</v>
      </c>
      <c r="P21" s="20">
        <f>'TE BE'!$P$21*'TE BE'!$P$51</f>
        <v>0</v>
      </c>
      <c r="Q21" s="20">
        <f>SUM($L$21:$P$21)</f>
        <v>9.8324903272739359</v>
      </c>
      <c r="R21" s="20">
        <f>'TE BE'!$R$21*'TE BE'!$R$51</f>
        <v>-13.227107432267207</v>
      </c>
      <c r="S21" s="20">
        <f>SUM($R$21:$R$21)</f>
        <v>-13.227107432267207</v>
      </c>
      <c r="T21" s="20">
        <f>'TE BE'!$T$21*'TE BE'!$T$51</f>
        <v>0</v>
      </c>
      <c r="U21" s="20">
        <f>'TE BE'!$U$21*'TE BE'!$U$51</f>
        <v>0</v>
      </c>
      <c r="V21" s="20">
        <f>'TE BE'!$V$21*'TE BE'!$V$51</f>
        <v>0</v>
      </c>
      <c r="W21" s="20">
        <f>SUM($T$21:$V$21)</f>
        <v>0</v>
      </c>
      <c r="X21" s="20">
        <f>'TE BE'!$AB$21*'TE BE'!$X$51</f>
        <v>0</v>
      </c>
      <c r="Y21" s="20">
        <f>SUM($X$21:$X$21)</f>
        <v>0</v>
      </c>
      <c r="Z21" s="20">
        <f>'TE BE'!$Z$21*'TE BE'!$Z$51</f>
        <v>-0.36305949717677732</v>
      </c>
      <c r="AA21" s="20">
        <f>SUM($Z$21:$Z$21)</f>
        <v>-0.36305949717677732</v>
      </c>
      <c r="AB21" s="20">
        <f>SUMIF($L$4:$AA$4,"SUBTOTAL",$L$21:$AA$21)</f>
        <v>-3.7576766021700485</v>
      </c>
    </row>
    <row r="22" spans="1:28" ht="11.25" customHeight="1" x14ac:dyDescent="0.25">
      <c r="A22" s="109"/>
      <c r="B22" s="109"/>
      <c r="C22" s="109"/>
      <c r="D22" s="22" t="s">
        <v>32</v>
      </c>
      <c r="E22" s="22" t="s">
        <v>25</v>
      </c>
      <c r="F22" s="22" t="s">
        <v>25</v>
      </c>
      <c r="G22" s="23" t="s">
        <v>87</v>
      </c>
      <c r="H22" s="23" t="s">
        <v>82</v>
      </c>
      <c r="I22" s="23">
        <f>'MERCADO TE'!$U$19</f>
        <v>0</v>
      </c>
      <c r="J22" s="15"/>
      <c r="L22" s="20">
        <f>'TE BE'!$L$22*'TE BE'!$L$51</f>
        <v>0</v>
      </c>
      <c r="M22" s="20">
        <f>'TE BE'!$M$22*'TE BE'!$M$51</f>
        <v>9.8324903272739359</v>
      </c>
      <c r="N22" s="20">
        <f>'TE BE'!$N$22*'TE BE'!$N$51</f>
        <v>0</v>
      </c>
      <c r="O22" s="20">
        <f>'TE BE'!$O$22*'TE BE'!$O$51</f>
        <v>0</v>
      </c>
      <c r="P22" s="20">
        <f>'TE BE'!$P$22*'TE BE'!$P$51</f>
        <v>0</v>
      </c>
      <c r="Q22" s="20">
        <f>SUM($L$22:$P$22)</f>
        <v>9.8324903272739359</v>
      </c>
      <c r="R22" s="20">
        <f>'TE BE'!$R$22*'TE BE'!$R$51</f>
        <v>-13.227107432267207</v>
      </c>
      <c r="S22" s="20">
        <f>SUM($R$22:$R$22)</f>
        <v>-13.227107432267207</v>
      </c>
      <c r="T22" s="20">
        <f>'TE BE'!$T$22*'TE BE'!$T$51</f>
        <v>0</v>
      </c>
      <c r="U22" s="20">
        <f>'TE BE'!$U$22*'TE BE'!$U$51</f>
        <v>0</v>
      </c>
      <c r="V22" s="20">
        <f>'TE BE'!$V$22*'TE BE'!$V$51</f>
        <v>0</v>
      </c>
      <c r="W22" s="20">
        <f>SUM($T$22:$V$22)</f>
        <v>0</v>
      </c>
      <c r="X22" s="20">
        <f>'TE BE'!$AB$22*'TE BE'!$X$51</f>
        <v>0</v>
      </c>
      <c r="Y22" s="20">
        <f>SUM($X$22:$X$22)</f>
        <v>0</v>
      </c>
      <c r="Z22" s="20">
        <f>'TE BE'!$Z$22*'TE BE'!$Z$51</f>
        <v>-0.36305949717677732</v>
      </c>
      <c r="AA22" s="20">
        <f>SUM($Z$22:$Z$22)</f>
        <v>-0.36305949717677732</v>
      </c>
      <c r="AB22" s="20">
        <f>SUMIF($L$4:$AA$4,"SUBTOTAL",$L$22:$AA$22)</f>
        <v>-3.7576766021700485</v>
      </c>
    </row>
    <row r="23" spans="1:28" ht="11.25" customHeight="1" x14ac:dyDescent="0.25">
      <c r="A23" s="109" t="s">
        <v>40</v>
      </c>
      <c r="B23" s="109" t="s">
        <v>81</v>
      </c>
      <c r="C23" s="109" t="s">
        <v>41</v>
      </c>
      <c r="D23" s="109" t="s">
        <v>25</v>
      </c>
      <c r="E23" s="109" t="s">
        <v>25</v>
      </c>
      <c r="F23" s="109" t="s">
        <v>25</v>
      </c>
      <c r="G23" s="23" t="s">
        <v>83</v>
      </c>
      <c r="H23" s="23" t="s">
        <v>82</v>
      </c>
      <c r="I23" s="23">
        <f>'MERCADO TE'!$U$20</f>
        <v>0</v>
      </c>
      <c r="J23" s="15"/>
      <c r="L23" s="20">
        <f>'TE BE'!$L$23*'TE BE'!$L$51</f>
        <v>0</v>
      </c>
      <c r="M23" s="20">
        <f>'TE BE'!$M$23*'TE BE'!$M$51</f>
        <v>9.8324903272739359</v>
      </c>
      <c r="N23" s="20">
        <f>'TE BE'!$N$23*'TE BE'!$N$51</f>
        <v>0</v>
      </c>
      <c r="O23" s="20">
        <f>'TE BE'!$O$23*'TE BE'!$O$51</f>
        <v>0</v>
      </c>
      <c r="P23" s="20">
        <f>'TE BE'!$P$23*'TE BE'!$P$51</f>
        <v>0</v>
      </c>
      <c r="Q23" s="20">
        <f>SUM($L$23:$P$23)</f>
        <v>9.8324903272739359</v>
      </c>
      <c r="R23" s="20">
        <f>'TE BE'!$R$23*'TE BE'!$R$51</f>
        <v>-13.227107432267207</v>
      </c>
      <c r="S23" s="20">
        <f>SUM($R$23:$R$23)</f>
        <v>-13.227107432267207</v>
      </c>
      <c r="T23" s="20">
        <f>'TE BE'!$T$23*'TE BE'!$T$51</f>
        <v>0</v>
      </c>
      <c r="U23" s="20">
        <f>'TE BE'!$U$23*'TE BE'!$U$51</f>
        <v>0</v>
      </c>
      <c r="V23" s="20">
        <f>'TE BE'!$V$23*'TE BE'!$V$51</f>
        <v>0</v>
      </c>
      <c r="W23" s="20">
        <f>SUM($T$23:$V$23)</f>
        <v>0</v>
      </c>
      <c r="X23" s="20">
        <f>'TE BE'!$AB$23*'TE BE'!$X$51</f>
        <v>0</v>
      </c>
      <c r="Y23" s="20">
        <f>SUM($X$23:$X$23)</f>
        <v>0</v>
      </c>
      <c r="Z23" s="20">
        <f>'TE BE'!$Z$23*'TE BE'!$Z$51</f>
        <v>-0.36305949717677732</v>
      </c>
      <c r="AA23" s="20">
        <f>SUM($Z$23:$Z$23)</f>
        <v>-0.36305949717677732</v>
      </c>
      <c r="AB23" s="20">
        <f>SUMIF($L$4:$AA$4,"SUBTOTAL",$L$23:$AA$23)</f>
        <v>-3.7576766021700485</v>
      </c>
    </row>
    <row r="24" spans="1:28" ht="11.25" customHeight="1" x14ac:dyDescent="0.25">
      <c r="A24" s="109"/>
      <c r="B24" s="109"/>
      <c r="C24" s="109"/>
      <c r="D24" s="109"/>
      <c r="E24" s="109"/>
      <c r="F24" s="109"/>
      <c r="G24" s="23" t="s">
        <v>95</v>
      </c>
      <c r="H24" s="23" t="s">
        <v>82</v>
      </c>
      <c r="I24" s="23">
        <f>'MERCADO TE'!$U$21</f>
        <v>0</v>
      </c>
      <c r="J24" s="15"/>
      <c r="L24" s="20">
        <f>'TE BE'!$L$24*'TE BE'!$L$51</f>
        <v>0</v>
      </c>
      <c r="M24" s="20">
        <f>'TE BE'!$M$24*'TE BE'!$M$51</f>
        <v>9.8324903272739359</v>
      </c>
      <c r="N24" s="20">
        <f>'TE BE'!$N$24*'TE BE'!$N$51</f>
        <v>0</v>
      </c>
      <c r="O24" s="20">
        <f>'TE BE'!$O$24*'TE BE'!$O$51</f>
        <v>0</v>
      </c>
      <c r="P24" s="20">
        <f>'TE BE'!$P$24*'TE BE'!$P$51</f>
        <v>0</v>
      </c>
      <c r="Q24" s="20">
        <f>SUM($L$24:$P$24)</f>
        <v>9.8324903272739359</v>
      </c>
      <c r="R24" s="20">
        <f>'TE BE'!$R$24*'TE BE'!$R$51</f>
        <v>-13.227107432267207</v>
      </c>
      <c r="S24" s="20">
        <f>SUM($R$24:$R$24)</f>
        <v>-13.227107432267207</v>
      </c>
      <c r="T24" s="20">
        <f>'TE BE'!$T$24*'TE BE'!$T$51</f>
        <v>0</v>
      </c>
      <c r="U24" s="20">
        <f>'TE BE'!$U$24*'TE BE'!$U$51</f>
        <v>0</v>
      </c>
      <c r="V24" s="20">
        <f>'TE BE'!$V$24*'TE BE'!$V$51</f>
        <v>0</v>
      </c>
      <c r="W24" s="20">
        <f>SUM($T$24:$V$24)</f>
        <v>0</v>
      </c>
      <c r="X24" s="20">
        <f>'TE BE'!$AB$24*'TE BE'!$X$51</f>
        <v>0</v>
      </c>
      <c r="Y24" s="20">
        <f>SUM($X$24:$X$24)</f>
        <v>0</v>
      </c>
      <c r="Z24" s="20">
        <f>'TE BE'!$Z$24*'TE BE'!$Z$51</f>
        <v>-0.36305949717677732</v>
      </c>
      <c r="AA24" s="20">
        <f>SUM($Z$24:$Z$24)</f>
        <v>-0.36305949717677732</v>
      </c>
      <c r="AB24" s="20">
        <f>SUMIF($L$4:$AA$4,"SUBTOTAL",$L$24:$AA$24)</f>
        <v>-3.7576766021700485</v>
      </c>
    </row>
    <row r="25" spans="1:28" ht="11.25" customHeight="1" x14ac:dyDescent="0.25">
      <c r="A25" s="109"/>
      <c r="B25" s="109"/>
      <c r="C25" s="109"/>
      <c r="D25" s="109"/>
      <c r="E25" s="109"/>
      <c r="F25" s="109"/>
      <c r="G25" s="23" t="s">
        <v>84</v>
      </c>
      <c r="H25" s="23" t="s">
        <v>82</v>
      </c>
      <c r="I25" s="23">
        <f>'MERCADO TE'!$U$22</f>
        <v>0</v>
      </c>
      <c r="J25" s="15"/>
      <c r="L25" s="20">
        <f>'TE BE'!$L$25*'TE BE'!$L$51</f>
        <v>0</v>
      </c>
      <c r="M25" s="20">
        <f>'TE BE'!$M$25*'TE BE'!$M$51</f>
        <v>9.8324903272739359</v>
      </c>
      <c r="N25" s="20">
        <f>'TE BE'!$N$25*'TE BE'!$N$51</f>
        <v>0</v>
      </c>
      <c r="O25" s="20">
        <f>'TE BE'!$O$25*'TE BE'!$O$51</f>
        <v>0</v>
      </c>
      <c r="P25" s="20">
        <f>'TE BE'!$P$25*'TE BE'!$P$51</f>
        <v>0</v>
      </c>
      <c r="Q25" s="20">
        <f>SUM($L$25:$P$25)</f>
        <v>9.8324903272739359</v>
      </c>
      <c r="R25" s="20">
        <f>'TE BE'!$R$25*'TE BE'!$R$51</f>
        <v>-13.227107432267207</v>
      </c>
      <c r="S25" s="20">
        <f>SUM($R$25:$R$25)</f>
        <v>-13.227107432267207</v>
      </c>
      <c r="T25" s="20">
        <f>'TE BE'!$T$25*'TE BE'!$T$51</f>
        <v>0</v>
      </c>
      <c r="U25" s="20">
        <f>'TE BE'!$U$25*'TE BE'!$U$51</f>
        <v>0</v>
      </c>
      <c r="V25" s="20">
        <f>'TE BE'!$V$25*'TE BE'!$V$51</f>
        <v>0</v>
      </c>
      <c r="W25" s="20">
        <f>SUM($T$25:$V$25)</f>
        <v>0</v>
      </c>
      <c r="X25" s="20">
        <f>'TE BE'!$AB$25*'TE BE'!$X$51</f>
        <v>0</v>
      </c>
      <c r="Y25" s="20">
        <f>SUM($X$25:$X$25)</f>
        <v>0</v>
      </c>
      <c r="Z25" s="20">
        <f>'TE BE'!$Z$25*'TE BE'!$Z$51</f>
        <v>-0.36305949717677732</v>
      </c>
      <c r="AA25" s="20">
        <f>SUM($Z$25:$Z$25)</f>
        <v>-0.36305949717677732</v>
      </c>
      <c r="AB25" s="20">
        <f>SUMIF($L$4:$AA$4,"SUBTOTAL",$L$25:$AA$25)</f>
        <v>-3.7576766021700485</v>
      </c>
    </row>
    <row r="26" spans="1:28" ht="11.25" customHeight="1" x14ac:dyDescent="0.25">
      <c r="A26" s="109"/>
      <c r="B26" s="22" t="s">
        <v>96</v>
      </c>
      <c r="C26" s="22" t="s">
        <v>41</v>
      </c>
      <c r="D26" s="22" t="s">
        <v>25</v>
      </c>
      <c r="E26" s="22" t="s">
        <v>25</v>
      </c>
      <c r="F26" s="22" t="s">
        <v>25</v>
      </c>
      <c r="G26" s="23" t="s">
        <v>87</v>
      </c>
      <c r="H26" s="23" t="s">
        <v>82</v>
      </c>
      <c r="I26" s="23">
        <f>'MERCADO TE'!$U$23</f>
        <v>28155.339999999997</v>
      </c>
      <c r="J26" s="15"/>
      <c r="L26" s="20">
        <f>'TE BE'!$L$26*'TE BE'!$L$51</f>
        <v>0</v>
      </c>
      <c r="M26" s="20">
        <f>'TE BE'!$M$26*'TE BE'!$M$51</f>
        <v>9.8324903272739359</v>
      </c>
      <c r="N26" s="20">
        <f>'TE BE'!$N$26*'TE BE'!$N$51</f>
        <v>0</v>
      </c>
      <c r="O26" s="20">
        <f>'TE BE'!$O$26*'TE BE'!$O$51</f>
        <v>0</v>
      </c>
      <c r="P26" s="20">
        <f>'TE BE'!$P$26*'TE BE'!$P$51</f>
        <v>0</v>
      </c>
      <c r="Q26" s="20">
        <f>SUM($L$26:$P$26)</f>
        <v>9.8324903272739359</v>
      </c>
      <c r="R26" s="20">
        <f>'TE BE'!$R$26*'TE BE'!$R$51</f>
        <v>-13.227107432267207</v>
      </c>
      <c r="S26" s="20">
        <f>SUM($R$26:$R$26)</f>
        <v>-13.227107432267207</v>
      </c>
      <c r="T26" s="20">
        <f>'TE BE'!$T$26*'TE BE'!$T$51</f>
        <v>0</v>
      </c>
      <c r="U26" s="20">
        <f>'TE BE'!$U$26*'TE BE'!$U$51</f>
        <v>0</v>
      </c>
      <c r="V26" s="20">
        <f>'TE BE'!$V$26*'TE BE'!$V$51</f>
        <v>0</v>
      </c>
      <c r="W26" s="20">
        <f>SUM($T$26:$V$26)</f>
        <v>0</v>
      </c>
      <c r="X26" s="20">
        <f>'TE BE'!$AB$26*'TE BE'!$X$51</f>
        <v>0</v>
      </c>
      <c r="Y26" s="20">
        <f>SUM($X$26:$X$26)</f>
        <v>0</v>
      </c>
      <c r="Z26" s="20">
        <f>'TE BE'!$Z$26*'TE BE'!$Z$51</f>
        <v>-0.36305949717677732</v>
      </c>
      <c r="AA26" s="20">
        <f>SUM($Z$26:$Z$26)</f>
        <v>-0.36305949717677732</v>
      </c>
      <c r="AB26" s="20">
        <f>SUMIF($L$4:$AA$4,"SUBTOTAL",$L$26:$AA$26)</f>
        <v>-3.7576766021700485</v>
      </c>
    </row>
    <row r="27" spans="1:28" ht="11.25" customHeight="1" x14ac:dyDescent="0.25">
      <c r="A27" s="109"/>
      <c r="B27" s="109" t="s">
        <v>81</v>
      </c>
      <c r="C27" s="109" t="s">
        <v>41</v>
      </c>
      <c r="D27" s="109" t="s">
        <v>100</v>
      </c>
      <c r="E27" s="109" t="s">
        <v>25</v>
      </c>
      <c r="F27" s="109" t="s">
        <v>25</v>
      </c>
      <c r="G27" s="23" t="s">
        <v>83</v>
      </c>
      <c r="H27" s="23" t="s">
        <v>82</v>
      </c>
      <c r="I27" s="23">
        <f>'MERCADO TE'!$U$24</f>
        <v>0</v>
      </c>
      <c r="J27" s="15"/>
      <c r="L27" s="20">
        <f>'TE BE'!$L$27*'TE BE'!$L$51</f>
        <v>0</v>
      </c>
      <c r="M27" s="20">
        <f>'TE BE'!$M$27*'TE BE'!$M$51</f>
        <v>9.8324903272739359</v>
      </c>
      <c r="N27" s="20">
        <f>'TE BE'!$N$27*'TE BE'!$N$51</f>
        <v>0</v>
      </c>
      <c r="O27" s="20">
        <f>'TE BE'!$O$27*'TE BE'!$O$51</f>
        <v>0</v>
      </c>
      <c r="P27" s="20">
        <f>'TE BE'!$P$27*'TE BE'!$P$51</f>
        <v>0</v>
      </c>
      <c r="Q27" s="20">
        <f>SUM($L$27:$P$27)</f>
        <v>9.8324903272739359</v>
      </c>
      <c r="R27" s="20">
        <f>'TE BE'!$R$27*'TE BE'!$R$51</f>
        <v>-13.227107432267207</v>
      </c>
      <c r="S27" s="20">
        <f>SUM($R$27:$R$27)</f>
        <v>-13.227107432267207</v>
      </c>
      <c r="T27" s="20">
        <f>'TE BE'!$T$27*'TE BE'!$T$51</f>
        <v>0</v>
      </c>
      <c r="U27" s="20">
        <f>'TE BE'!$U$27*'TE BE'!$U$51</f>
        <v>0</v>
      </c>
      <c r="V27" s="20">
        <f>'TE BE'!$V$27*'TE BE'!$V$51</f>
        <v>0</v>
      </c>
      <c r="W27" s="20">
        <f>SUM($T$27:$V$27)</f>
        <v>0</v>
      </c>
      <c r="X27" s="20">
        <f>'TE BE'!$AB$27*'TE BE'!$X$51</f>
        <v>0</v>
      </c>
      <c r="Y27" s="20">
        <f>SUM($X$27:$X$27)</f>
        <v>0</v>
      </c>
      <c r="Z27" s="20">
        <f>'TE BE'!$Z$27*'TE BE'!$Z$51</f>
        <v>-0.36305949717677732</v>
      </c>
      <c r="AA27" s="20">
        <f>SUM($Z$27:$Z$27)</f>
        <v>-0.36305949717677732</v>
      </c>
      <c r="AB27" s="20">
        <f>SUMIF($L$4:$AA$4,"SUBTOTAL",$L$27:$AA$27)</f>
        <v>-3.7576766021700485</v>
      </c>
    </row>
    <row r="28" spans="1:28" ht="11.25" customHeight="1" x14ac:dyDescent="0.25">
      <c r="A28" s="109"/>
      <c r="B28" s="109"/>
      <c r="C28" s="109"/>
      <c r="D28" s="109"/>
      <c r="E28" s="109"/>
      <c r="F28" s="109"/>
      <c r="G28" s="23" t="s">
        <v>95</v>
      </c>
      <c r="H28" s="23" t="s">
        <v>82</v>
      </c>
      <c r="I28" s="23">
        <f>'MERCADO TE'!$U$25</f>
        <v>0</v>
      </c>
      <c r="J28" s="15"/>
      <c r="L28" s="20">
        <f>'TE BE'!$L$28*'TE BE'!$L$51</f>
        <v>0</v>
      </c>
      <c r="M28" s="20">
        <f>'TE BE'!$M$28*'TE BE'!$M$51</f>
        <v>9.8324903272739359</v>
      </c>
      <c r="N28" s="20">
        <f>'TE BE'!$N$28*'TE BE'!$N$51</f>
        <v>0</v>
      </c>
      <c r="O28" s="20">
        <f>'TE BE'!$O$28*'TE BE'!$O$51</f>
        <v>0</v>
      </c>
      <c r="P28" s="20">
        <f>'TE BE'!$P$28*'TE BE'!$P$51</f>
        <v>0</v>
      </c>
      <c r="Q28" s="20">
        <f>SUM($L$28:$P$28)</f>
        <v>9.8324903272739359</v>
      </c>
      <c r="R28" s="20">
        <f>'TE BE'!$R$28*'TE BE'!$R$51</f>
        <v>-13.227107432267207</v>
      </c>
      <c r="S28" s="20">
        <f>SUM($R$28:$R$28)</f>
        <v>-13.227107432267207</v>
      </c>
      <c r="T28" s="20">
        <f>'TE BE'!$T$28*'TE BE'!$T$51</f>
        <v>0</v>
      </c>
      <c r="U28" s="20">
        <f>'TE BE'!$U$28*'TE BE'!$U$51</f>
        <v>0</v>
      </c>
      <c r="V28" s="20">
        <f>'TE BE'!$V$28*'TE BE'!$V$51</f>
        <v>0</v>
      </c>
      <c r="W28" s="20">
        <f>SUM($T$28:$V$28)</f>
        <v>0</v>
      </c>
      <c r="X28" s="20">
        <f>'TE BE'!$AB$28*'TE BE'!$X$51</f>
        <v>0</v>
      </c>
      <c r="Y28" s="20">
        <f>SUM($X$28:$X$28)</f>
        <v>0</v>
      </c>
      <c r="Z28" s="20">
        <f>'TE BE'!$Z$28*'TE BE'!$Z$51</f>
        <v>-0.36305949717677732</v>
      </c>
      <c r="AA28" s="20">
        <f>SUM($Z$28:$Z$28)</f>
        <v>-0.36305949717677732</v>
      </c>
      <c r="AB28" s="20">
        <f>SUMIF($L$4:$AA$4,"SUBTOTAL",$L$28:$AA$28)</f>
        <v>-3.7576766021700485</v>
      </c>
    </row>
    <row r="29" spans="1:28" ht="11.25" customHeight="1" x14ac:dyDescent="0.25">
      <c r="A29" s="109"/>
      <c r="B29" s="109"/>
      <c r="C29" s="109"/>
      <c r="D29" s="109"/>
      <c r="E29" s="109"/>
      <c r="F29" s="109"/>
      <c r="G29" s="23" t="s">
        <v>84</v>
      </c>
      <c r="H29" s="23" t="s">
        <v>82</v>
      </c>
      <c r="I29" s="23">
        <f>'MERCADO TE'!$U$26</f>
        <v>0</v>
      </c>
      <c r="J29" s="15"/>
      <c r="L29" s="20">
        <f>'TE BE'!$L$29*'TE BE'!$L$51</f>
        <v>0</v>
      </c>
      <c r="M29" s="20">
        <f>'TE BE'!$M$29*'TE BE'!$M$51</f>
        <v>9.8324903272739359</v>
      </c>
      <c r="N29" s="20">
        <f>'TE BE'!$N$29*'TE BE'!$N$51</f>
        <v>0</v>
      </c>
      <c r="O29" s="20">
        <f>'TE BE'!$O$29*'TE BE'!$O$51</f>
        <v>0</v>
      </c>
      <c r="P29" s="20">
        <f>'TE BE'!$P$29*'TE BE'!$P$51</f>
        <v>0</v>
      </c>
      <c r="Q29" s="20">
        <f>SUM($L$29:$P$29)</f>
        <v>9.8324903272739359</v>
      </c>
      <c r="R29" s="20">
        <f>'TE BE'!$R$29*'TE BE'!$R$51</f>
        <v>-13.227107432267207</v>
      </c>
      <c r="S29" s="20">
        <f>SUM($R$29:$R$29)</f>
        <v>-13.227107432267207</v>
      </c>
      <c r="T29" s="20">
        <f>'TE BE'!$T$29*'TE BE'!$T$51</f>
        <v>0</v>
      </c>
      <c r="U29" s="20">
        <f>'TE BE'!$U$29*'TE BE'!$U$51</f>
        <v>0</v>
      </c>
      <c r="V29" s="20">
        <f>'TE BE'!$V$29*'TE BE'!$V$51</f>
        <v>0</v>
      </c>
      <c r="W29" s="20">
        <f>SUM($T$29:$V$29)</f>
        <v>0</v>
      </c>
      <c r="X29" s="20">
        <f>'TE BE'!$AB$29*'TE BE'!$X$51</f>
        <v>0</v>
      </c>
      <c r="Y29" s="20">
        <f>SUM($X$29:$X$29)</f>
        <v>0</v>
      </c>
      <c r="Z29" s="20">
        <f>'TE BE'!$Z$29*'TE BE'!$Z$51</f>
        <v>-0.36305949717677732</v>
      </c>
      <c r="AA29" s="20">
        <f>SUM($Z$29:$Z$29)</f>
        <v>-0.36305949717677732</v>
      </c>
      <c r="AB29" s="20">
        <f>SUMIF($L$4:$AA$4,"SUBTOTAL",$L$29:$AA$29)</f>
        <v>-3.7576766021700485</v>
      </c>
    </row>
    <row r="30" spans="1:28" ht="11.25" customHeight="1" x14ac:dyDescent="0.25">
      <c r="A30" s="109"/>
      <c r="B30" s="22" t="s">
        <v>96</v>
      </c>
      <c r="C30" s="22" t="s">
        <v>41</v>
      </c>
      <c r="D30" s="22" t="s">
        <v>100</v>
      </c>
      <c r="E30" s="22" t="s">
        <v>25</v>
      </c>
      <c r="F30" s="22" t="s">
        <v>25</v>
      </c>
      <c r="G30" s="23" t="s">
        <v>87</v>
      </c>
      <c r="H30" s="23" t="s">
        <v>82</v>
      </c>
      <c r="I30" s="23">
        <f>'MERCADO TE'!$U$27</f>
        <v>0</v>
      </c>
      <c r="J30" s="15"/>
      <c r="L30" s="20">
        <f>'TE BE'!$L$30*'TE BE'!$L$51</f>
        <v>0</v>
      </c>
      <c r="M30" s="20">
        <f>'TE BE'!$M$30*'TE BE'!$M$51</f>
        <v>9.8324903272739359</v>
      </c>
      <c r="N30" s="20">
        <f>'TE BE'!$N$30*'TE BE'!$N$51</f>
        <v>0</v>
      </c>
      <c r="O30" s="20">
        <f>'TE BE'!$O$30*'TE BE'!$O$51</f>
        <v>0</v>
      </c>
      <c r="P30" s="20">
        <f>'TE BE'!$P$30*'TE BE'!$P$51</f>
        <v>0</v>
      </c>
      <c r="Q30" s="20">
        <f>SUM($L$30:$P$30)</f>
        <v>9.8324903272739359</v>
      </c>
      <c r="R30" s="20">
        <f>'TE BE'!$R$30*'TE BE'!$R$51</f>
        <v>-13.227107432267207</v>
      </c>
      <c r="S30" s="20">
        <f>SUM($R$30:$R$30)</f>
        <v>-13.227107432267207</v>
      </c>
      <c r="T30" s="20">
        <f>'TE BE'!$T$30*'TE BE'!$T$51</f>
        <v>0</v>
      </c>
      <c r="U30" s="20">
        <f>'TE BE'!$U$30*'TE BE'!$U$51</f>
        <v>0</v>
      </c>
      <c r="V30" s="20">
        <f>'TE BE'!$V$30*'TE BE'!$V$51</f>
        <v>0</v>
      </c>
      <c r="W30" s="20">
        <f>SUM($T$30:$V$30)</f>
        <v>0</v>
      </c>
      <c r="X30" s="20">
        <f>'TE BE'!$AB$30*'TE BE'!$X$51</f>
        <v>0</v>
      </c>
      <c r="Y30" s="20">
        <f>SUM($X$30:$X$30)</f>
        <v>0</v>
      </c>
      <c r="Z30" s="20">
        <f>'TE BE'!$Z$30*'TE BE'!$Z$51</f>
        <v>-0.36305949717677732</v>
      </c>
      <c r="AA30" s="20">
        <f>SUM($Z$30:$Z$30)</f>
        <v>-0.36305949717677732</v>
      </c>
      <c r="AB30" s="20">
        <f>SUMIF($L$4:$AA$4,"SUBTOTAL",$L$30:$AA$30)</f>
        <v>-3.7576766021700485</v>
      </c>
    </row>
    <row r="31" spans="1:28" ht="11.25" customHeight="1" x14ac:dyDescent="0.25">
      <c r="A31" s="109"/>
      <c r="B31" s="109" t="s">
        <v>81</v>
      </c>
      <c r="C31" s="109" t="s">
        <v>41</v>
      </c>
      <c r="D31" s="109" t="s">
        <v>101</v>
      </c>
      <c r="E31" s="109" t="s">
        <v>25</v>
      </c>
      <c r="F31" s="109" t="s">
        <v>25</v>
      </c>
      <c r="G31" s="23" t="s">
        <v>83</v>
      </c>
      <c r="H31" s="23" t="s">
        <v>82</v>
      </c>
      <c r="I31" s="23">
        <f>'MERCADO TE'!$U$28</f>
        <v>0</v>
      </c>
      <c r="J31" s="15"/>
      <c r="L31" s="20">
        <f>'TE BE'!$L$31*'TE BE'!$L$51</f>
        <v>0</v>
      </c>
      <c r="M31" s="20">
        <f>'TE BE'!$M$31*'TE BE'!$M$51</f>
        <v>9.8324903272739359</v>
      </c>
      <c r="N31" s="20">
        <f>'TE BE'!$N$31*'TE BE'!$N$51</f>
        <v>0</v>
      </c>
      <c r="O31" s="20">
        <f>'TE BE'!$O$31*'TE BE'!$O$51</f>
        <v>0</v>
      </c>
      <c r="P31" s="20">
        <f>'TE BE'!$P$31*'TE BE'!$P$51</f>
        <v>0</v>
      </c>
      <c r="Q31" s="20">
        <f>SUM($L$31:$P$31)</f>
        <v>9.8324903272739359</v>
      </c>
      <c r="R31" s="20">
        <f>'TE BE'!$R$31*'TE BE'!$R$51</f>
        <v>-13.227107432267207</v>
      </c>
      <c r="S31" s="20">
        <f>SUM($R$31:$R$31)</f>
        <v>-13.227107432267207</v>
      </c>
      <c r="T31" s="20">
        <f>'TE BE'!$T$31*'TE BE'!$T$51</f>
        <v>0</v>
      </c>
      <c r="U31" s="20">
        <f>'TE BE'!$U$31*'TE BE'!$U$51</f>
        <v>0</v>
      </c>
      <c r="V31" s="20">
        <f>'TE BE'!$V$31*'TE BE'!$V$51</f>
        <v>0</v>
      </c>
      <c r="W31" s="20">
        <f>SUM($T$31:$V$31)</f>
        <v>0</v>
      </c>
      <c r="X31" s="20">
        <f>'TE BE'!$AB$31*'TE BE'!$X$51</f>
        <v>0</v>
      </c>
      <c r="Y31" s="20">
        <f>SUM($X$31:$X$31)</f>
        <v>0</v>
      </c>
      <c r="Z31" s="20">
        <f>'TE BE'!$Z$31*'TE BE'!$Z$51</f>
        <v>-0.36305949717677732</v>
      </c>
      <c r="AA31" s="20">
        <f>SUM($Z$31:$Z$31)</f>
        <v>-0.36305949717677732</v>
      </c>
      <c r="AB31" s="20">
        <f>SUMIF($L$4:$AA$4,"SUBTOTAL",$L$31:$AA$31)</f>
        <v>-3.7576766021700485</v>
      </c>
    </row>
    <row r="32" spans="1:28" ht="11.25" customHeight="1" x14ac:dyDescent="0.25">
      <c r="A32" s="109"/>
      <c r="B32" s="109"/>
      <c r="C32" s="109"/>
      <c r="D32" s="109"/>
      <c r="E32" s="109"/>
      <c r="F32" s="109"/>
      <c r="G32" s="23" t="s">
        <v>95</v>
      </c>
      <c r="H32" s="23" t="s">
        <v>82</v>
      </c>
      <c r="I32" s="23">
        <f>'MERCADO TE'!$U$29</f>
        <v>0</v>
      </c>
      <c r="J32" s="15"/>
      <c r="L32" s="20">
        <f>'TE BE'!$L$32*'TE BE'!$L$51</f>
        <v>0</v>
      </c>
      <c r="M32" s="20">
        <f>'TE BE'!$M$32*'TE BE'!$M$51</f>
        <v>9.8324903272739359</v>
      </c>
      <c r="N32" s="20">
        <f>'TE BE'!$N$32*'TE BE'!$N$51</f>
        <v>0</v>
      </c>
      <c r="O32" s="20">
        <f>'TE BE'!$O$32*'TE BE'!$O$51</f>
        <v>0</v>
      </c>
      <c r="P32" s="20">
        <f>'TE BE'!$P$32*'TE BE'!$P$51</f>
        <v>0</v>
      </c>
      <c r="Q32" s="20">
        <f>SUM($L$32:$P$32)</f>
        <v>9.8324903272739359</v>
      </c>
      <c r="R32" s="20">
        <f>'TE BE'!$R$32*'TE BE'!$R$51</f>
        <v>-13.227107432267207</v>
      </c>
      <c r="S32" s="20">
        <f>SUM($R$32:$R$32)</f>
        <v>-13.227107432267207</v>
      </c>
      <c r="T32" s="20">
        <f>'TE BE'!$T$32*'TE BE'!$T$51</f>
        <v>0</v>
      </c>
      <c r="U32" s="20">
        <f>'TE BE'!$U$32*'TE BE'!$U$51</f>
        <v>0</v>
      </c>
      <c r="V32" s="20">
        <f>'TE BE'!$V$32*'TE BE'!$V$51</f>
        <v>0</v>
      </c>
      <c r="W32" s="20">
        <f>SUM($T$32:$V$32)</f>
        <v>0</v>
      </c>
      <c r="X32" s="20">
        <f>'TE BE'!$AB$32*'TE BE'!$X$51</f>
        <v>0</v>
      </c>
      <c r="Y32" s="20">
        <f>SUM($X$32:$X$32)</f>
        <v>0</v>
      </c>
      <c r="Z32" s="20">
        <f>'TE BE'!$Z$32*'TE BE'!$Z$51</f>
        <v>-0.36305949717677732</v>
      </c>
      <c r="AA32" s="20">
        <f>SUM($Z$32:$Z$32)</f>
        <v>-0.36305949717677732</v>
      </c>
      <c r="AB32" s="20">
        <f>SUMIF($L$4:$AA$4,"SUBTOTAL",$L$32:$AA$32)</f>
        <v>-3.7576766021700485</v>
      </c>
    </row>
    <row r="33" spans="1:28" ht="11.25" customHeight="1" x14ac:dyDescent="0.25">
      <c r="A33" s="109"/>
      <c r="B33" s="109"/>
      <c r="C33" s="109"/>
      <c r="D33" s="109"/>
      <c r="E33" s="109"/>
      <c r="F33" s="109"/>
      <c r="G33" s="23" t="s">
        <v>84</v>
      </c>
      <c r="H33" s="23" t="s">
        <v>82</v>
      </c>
      <c r="I33" s="23">
        <f>'MERCADO TE'!$U$30</f>
        <v>0</v>
      </c>
      <c r="J33" s="15"/>
      <c r="L33" s="20">
        <f>'TE BE'!$L$33*'TE BE'!$L$51</f>
        <v>0</v>
      </c>
      <c r="M33" s="20">
        <f>'TE BE'!$M$33*'TE BE'!$M$51</f>
        <v>9.8324903272739359</v>
      </c>
      <c r="N33" s="20">
        <f>'TE BE'!$N$33*'TE BE'!$N$51</f>
        <v>0</v>
      </c>
      <c r="O33" s="20">
        <f>'TE BE'!$O$33*'TE BE'!$O$51</f>
        <v>0</v>
      </c>
      <c r="P33" s="20">
        <f>'TE BE'!$P$33*'TE BE'!$P$51</f>
        <v>0</v>
      </c>
      <c r="Q33" s="20">
        <f>SUM($L$33:$P$33)</f>
        <v>9.8324903272739359</v>
      </c>
      <c r="R33" s="20">
        <f>'TE BE'!$R$33*'TE BE'!$R$51</f>
        <v>-13.227107432267207</v>
      </c>
      <c r="S33" s="20">
        <f>SUM($R$33:$R$33)</f>
        <v>-13.227107432267207</v>
      </c>
      <c r="T33" s="20">
        <f>'TE BE'!$T$33*'TE BE'!$T$51</f>
        <v>0</v>
      </c>
      <c r="U33" s="20">
        <f>'TE BE'!$U$33*'TE BE'!$U$51</f>
        <v>0</v>
      </c>
      <c r="V33" s="20">
        <f>'TE BE'!$V$33*'TE BE'!$V$51</f>
        <v>0</v>
      </c>
      <c r="W33" s="20">
        <f>SUM($T$33:$V$33)</f>
        <v>0</v>
      </c>
      <c r="X33" s="20">
        <f>'TE BE'!$AB$33*'TE BE'!$X$51</f>
        <v>0</v>
      </c>
      <c r="Y33" s="20">
        <f>SUM($X$33:$X$33)</f>
        <v>0</v>
      </c>
      <c r="Z33" s="20">
        <f>'TE BE'!$Z$33*'TE BE'!$Z$51</f>
        <v>-0.36305949717677732</v>
      </c>
      <c r="AA33" s="20">
        <f>SUM($Z$33:$Z$33)</f>
        <v>-0.36305949717677732</v>
      </c>
      <c r="AB33" s="20">
        <f>SUMIF($L$4:$AA$4,"SUBTOTAL",$L$33:$AA$33)</f>
        <v>-3.7576766021700485</v>
      </c>
    </row>
    <row r="34" spans="1:28" ht="11.25" customHeight="1" x14ac:dyDescent="0.25">
      <c r="A34" s="109"/>
      <c r="B34" s="22" t="s">
        <v>96</v>
      </c>
      <c r="C34" s="22" t="s">
        <v>41</v>
      </c>
      <c r="D34" s="22" t="s">
        <v>101</v>
      </c>
      <c r="E34" s="22" t="s">
        <v>25</v>
      </c>
      <c r="F34" s="22" t="s">
        <v>25</v>
      </c>
      <c r="G34" s="23" t="s">
        <v>87</v>
      </c>
      <c r="H34" s="23" t="s">
        <v>82</v>
      </c>
      <c r="I34" s="23">
        <f>'MERCADO TE'!$U$31</f>
        <v>0</v>
      </c>
      <c r="J34" s="15"/>
      <c r="L34" s="20">
        <f>'TE BE'!$L$34*'TE BE'!$L$51</f>
        <v>0</v>
      </c>
      <c r="M34" s="20">
        <f>'TE BE'!$M$34*'TE BE'!$M$51</f>
        <v>9.8324903272739359</v>
      </c>
      <c r="N34" s="20">
        <f>'TE BE'!$N$34*'TE BE'!$N$51</f>
        <v>0</v>
      </c>
      <c r="O34" s="20">
        <f>'TE BE'!$O$34*'TE BE'!$O$51</f>
        <v>0</v>
      </c>
      <c r="P34" s="20">
        <f>'TE BE'!$P$34*'TE BE'!$P$51</f>
        <v>0</v>
      </c>
      <c r="Q34" s="20">
        <f>SUM($L$34:$P$34)</f>
        <v>9.8324903272739359</v>
      </c>
      <c r="R34" s="20">
        <f>'TE BE'!$R$34*'TE BE'!$R$51</f>
        <v>-13.227107432267207</v>
      </c>
      <c r="S34" s="20">
        <f>SUM($R$34:$R$34)</f>
        <v>-13.227107432267207</v>
      </c>
      <c r="T34" s="20">
        <f>'TE BE'!$T$34*'TE BE'!$T$51</f>
        <v>0</v>
      </c>
      <c r="U34" s="20">
        <f>'TE BE'!$U$34*'TE BE'!$U$51</f>
        <v>0</v>
      </c>
      <c r="V34" s="20">
        <f>'TE BE'!$V$34*'TE BE'!$V$51</f>
        <v>0</v>
      </c>
      <c r="W34" s="20">
        <f>SUM($T$34:$V$34)</f>
        <v>0</v>
      </c>
      <c r="X34" s="20">
        <f>'TE BE'!$AB$34*'TE BE'!$X$51</f>
        <v>0</v>
      </c>
      <c r="Y34" s="20">
        <f>SUM($X$34:$X$34)</f>
        <v>0</v>
      </c>
      <c r="Z34" s="20">
        <f>'TE BE'!$Z$34*'TE BE'!$Z$51</f>
        <v>-0.36305949717677732</v>
      </c>
      <c r="AA34" s="20">
        <f>SUM($Z$34:$Z$34)</f>
        <v>-0.36305949717677732</v>
      </c>
      <c r="AB34" s="20">
        <f>SUMIF($L$4:$AA$4,"SUBTOTAL",$L$34:$AA$34)</f>
        <v>-3.7576766021700485</v>
      </c>
    </row>
    <row r="35" spans="1:28" ht="11.25" customHeight="1" x14ac:dyDescent="0.25">
      <c r="A35" s="109"/>
      <c r="B35" s="109" t="s">
        <v>98</v>
      </c>
      <c r="C35" s="109" t="s">
        <v>41</v>
      </c>
      <c r="D35" s="22" t="s">
        <v>25</v>
      </c>
      <c r="E35" s="22" t="s">
        <v>25</v>
      </c>
      <c r="F35" s="22" t="s">
        <v>25</v>
      </c>
      <c r="G35" s="23" t="s">
        <v>87</v>
      </c>
      <c r="H35" s="23" t="s">
        <v>82</v>
      </c>
      <c r="I35" s="23">
        <f>'MERCADO TE'!$U$32</f>
        <v>0</v>
      </c>
      <c r="J35" s="15"/>
      <c r="L35" s="20">
        <f>'TE BE'!$L$35*'TE BE'!$L$51</f>
        <v>0</v>
      </c>
      <c r="M35" s="20">
        <f>'TE BE'!$M$35*'TE BE'!$M$51</f>
        <v>9.8324903272739359</v>
      </c>
      <c r="N35" s="20">
        <f>'TE BE'!$N$35*'TE BE'!$N$51</f>
        <v>0</v>
      </c>
      <c r="O35" s="20">
        <f>'TE BE'!$O$35*'TE BE'!$O$51</f>
        <v>0</v>
      </c>
      <c r="P35" s="20">
        <f>'TE BE'!$P$35*'TE BE'!$P$51</f>
        <v>0</v>
      </c>
      <c r="Q35" s="20">
        <f>SUM($L$35:$P$35)</f>
        <v>9.8324903272739359</v>
      </c>
      <c r="R35" s="20">
        <f>'TE BE'!$R$35*'TE BE'!$R$51</f>
        <v>-13.227107432267207</v>
      </c>
      <c r="S35" s="20">
        <f>SUM($R$35:$R$35)</f>
        <v>-13.227107432267207</v>
      </c>
      <c r="T35" s="20">
        <f>'TE BE'!$T$35*'TE BE'!$T$51</f>
        <v>0</v>
      </c>
      <c r="U35" s="20">
        <f>'TE BE'!$U$35*'TE BE'!$U$51</f>
        <v>0</v>
      </c>
      <c r="V35" s="20">
        <f>'TE BE'!$V$35*'TE BE'!$V$51</f>
        <v>0</v>
      </c>
      <c r="W35" s="20">
        <f>SUM($T$35:$V$35)</f>
        <v>0</v>
      </c>
      <c r="X35" s="20">
        <f>'TE BE'!$AB$35*'TE BE'!$X$51</f>
        <v>0</v>
      </c>
      <c r="Y35" s="20">
        <f>SUM($X$35:$X$35)</f>
        <v>0</v>
      </c>
      <c r="Z35" s="20">
        <f>'TE BE'!$Z$35*'TE BE'!$Z$51</f>
        <v>-0.36305949717677732</v>
      </c>
      <c r="AA35" s="20">
        <f>SUM($Z$35:$Z$35)</f>
        <v>-0.36305949717677732</v>
      </c>
      <c r="AB35" s="20">
        <f>SUMIF($L$4:$AA$4,"SUBTOTAL",$L$35:$AA$35)</f>
        <v>-3.7576766021700485</v>
      </c>
    </row>
    <row r="36" spans="1:28" ht="11.25" customHeight="1" x14ac:dyDescent="0.25">
      <c r="A36" s="109"/>
      <c r="B36" s="109"/>
      <c r="C36" s="109"/>
      <c r="D36" s="22" t="s">
        <v>100</v>
      </c>
      <c r="E36" s="22" t="s">
        <v>25</v>
      </c>
      <c r="F36" s="22" t="s">
        <v>25</v>
      </c>
      <c r="G36" s="23" t="s">
        <v>87</v>
      </c>
      <c r="H36" s="23" t="s">
        <v>82</v>
      </c>
      <c r="I36" s="23">
        <f>'MERCADO TE'!$U$33</f>
        <v>0</v>
      </c>
      <c r="J36" s="15"/>
      <c r="L36" s="20">
        <f>'TE BE'!$L$36*'TE BE'!$L$51</f>
        <v>0</v>
      </c>
      <c r="M36" s="20">
        <f>'TE BE'!$M$36*'TE BE'!$M$51</f>
        <v>9.8324903272739359</v>
      </c>
      <c r="N36" s="20">
        <f>'TE BE'!$N$36*'TE BE'!$N$51</f>
        <v>0</v>
      </c>
      <c r="O36" s="20">
        <f>'TE BE'!$O$36*'TE BE'!$O$51</f>
        <v>0</v>
      </c>
      <c r="P36" s="20">
        <f>'TE BE'!$P$36*'TE BE'!$P$51</f>
        <v>0</v>
      </c>
      <c r="Q36" s="20">
        <f>SUM($L$36:$P$36)</f>
        <v>9.8324903272739359</v>
      </c>
      <c r="R36" s="20">
        <f>'TE BE'!$R$36*'TE BE'!$R$51</f>
        <v>-13.227107432267207</v>
      </c>
      <c r="S36" s="20">
        <f>SUM($R$36:$R$36)</f>
        <v>-13.227107432267207</v>
      </c>
      <c r="T36" s="20">
        <f>'TE BE'!$T$36*'TE BE'!$T$51</f>
        <v>0</v>
      </c>
      <c r="U36" s="20">
        <f>'TE BE'!$U$36*'TE BE'!$U$51</f>
        <v>0</v>
      </c>
      <c r="V36" s="20">
        <f>'TE BE'!$V$36*'TE BE'!$V$51</f>
        <v>0</v>
      </c>
      <c r="W36" s="20">
        <f>SUM($T$36:$V$36)</f>
        <v>0</v>
      </c>
      <c r="X36" s="20">
        <f>'TE BE'!$AB$36*'TE BE'!$X$51</f>
        <v>0</v>
      </c>
      <c r="Y36" s="20">
        <f>SUM($X$36:$X$36)</f>
        <v>0</v>
      </c>
      <c r="Z36" s="20">
        <f>'TE BE'!$Z$36*'TE BE'!$Z$51</f>
        <v>-0.36305949717677732</v>
      </c>
      <c r="AA36" s="20">
        <f>SUM($Z$36:$Z$36)</f>
        <v>-0.36305949717677732</v>
      </c>
      <c r="AB36" s="20">
        <f>SUMIF($L$4:$AA$4,"SUBTOTAL",$L$36:$AA$36)</f>
        <v>-3.7576766021700485</v>
      </c>
    </row>
    <row r="37" spans="1:28" ht="11.25" customHeight="1" x14ac:dyDescent="0.25">
      <c r="A37" s="109"/>
      <c r="B37" s="109"/>
      <c r="C37" s="109"/>
      <c r="D37" s="22" t="s">
        <v>101</v>
      </c>
      <c r="E37" s="22" t="s">
        <v>25</v>
      </c>
      <c r="F37" s="22" t="s">
        <v>25</v>
      </c>
      <c r="G37" s="23" t="s">
        <v>87</v>
      </c>
      <c r="H37" s="23" t="s">
        <v>82</v>
      </c>
      <c r="I37" s="23">
        <f>'MERCADO TE'!$U$34</f>
        <v>0</v>
      </c>
      <c r="J37" s="15"/>
      <c r="L37" s="20">
        <f>'TE BE'!$L$37*'TE BE'!$L$51</f>
        <v>0</v>
      </c>
      <c r="M37" s="20">
        <f>'TE BE'!$M$37*'TE BE'!$M$51</f>
        <v>9.8324903272739359</v>
      </c>
      <c r="N37" s="20">
        <f>'TE BE'!$N$37*'TE BE'!$N$51</f>
        <v>0</v>
      </c>
      <c r="O37" s="20">
        <f>'TE BE'!$O$37*'TE BE'!$O$51</f>
        <v>0</v>
      </c>
      <c r="P37" s="20">
        <f>'TE BE'!$P$37*'TE BE'!$P$51</f>
        <v>0</v>
      </c>
      <c r="Q37" s="20">
        <f>SUM($L$37:$P$37)</f>
        <v>9.8324903272739359</v>
      </c>
      <c r="R37" s="20">
        <f>'TE BE'!$R$37*'TE BE'!$R$51</f>
        <v>-13.227107432267207</v>
      </c>
      <c r="S37" s="20">
        <f>SUM($R$37:$R$37)</f>
        <v>-13.227107432267207</v>
      </c>
      <c r="T37" s="20">
        <f>'TE BE'!$T$37*'TE BE'!$T$51</f>
        <v>0</v>
      </c>
      <c r="U37" s="20">
        <f>'TE BE'!$U$37*'TE BE'!$U$51</f>
        <v>0</v>
      </c>
      <c r="V37" s="20">
        <f>'TE BE'!$V$37*'TE BE'!$V$51</f>
        <v>0</v>
      </c>
      <c r="W37" s="20">
        <f>SUM($T$37:$V$37)</f>
        <v>0</v>
      </c>
      <c r="X37" s="20">
        <f>'TE BE'!$AB$37*'TE BE'!$X$51</f>
        <v>0</v>
      </c>
      <c r="Y37" s="20">
        <f>SUM($X$37:$X$37)</f>
        <v>0</v>
      </c>
      <c r="Z37" s="20">
        <f>'TE BE'!$Z$37*'TE BE'!$Z$51</f>
        <v>-0.36305949717677732</v>
      </c>
      <c r="AA37" s="20">
        <f>SUM($Z$37:$Z$37)</f>
        <v>-0.36305949717677732</v>
      </c>
      <c r="AB37" s="20">
        <f>SUMIF($L$4:$AA$4,"SUBTOTAL",$L$37:$AA$37)</f>
        <v>-3.7576766021700485</v>
      </c>
    </row>
    <row r="38" spans="1:28" ht="11.25" customHeight="1" x14ac:dyDescent="0.25">
      <c r="A38" s="109" t="s">
        <v>33</v>
      </c>
      <c r="B38" s="109" t="s">
        <v>81</v>
      </c>
      <c r="C38" s="109" t="s">
        <v>25</v>
      </c>
      <c r="D38" s="109" t="s">
        <v>25</v>
      </c>
      <c r="E38" s="109" t="s">
        <v>25</v>
      </c>
      <c r="F38" s="109" t="s">
        <v>25</v>
      </c>
      <c r="G38" s="23" t="s">
        <v>83</v>
      </c>
      <c r="H38" s="23" t="s">
        <v>82</v>
      </c>
      <c r="I38" s="23">
        <f>'MERCADO TE'!$U$35</f>
        <v>0</v>
      </c>
      <c r="J38" s="15"/>
      <c r="L38" s="20">
        <f>'TE BE'!$L$38*'TE BE'!$L$51</f>
        <v>0</v>
      </c>
      <c r="M38" s="20">
        <f>'TE BE'!$M$38*'TE BE'!$M$51</f>
        <v>9.8324903272739359</v>
      </c>
      <c r="N38" s="20">
        <f>'TE BE'!$N$38*'TE BE'!$N$51</f>
        <v>0</v>
      </c>
      <c r="O38" s="20">
        <f>'TE BE'!$O$38*'TE BE'!$O$51</f>
        <v>0</v>
      </c>
      <c r="P38" s="20">
        <f>'TE BE'!$P$38*'TE BE'!$P$51</f>
        <v>0</v>
      </c>
      <c r="Q38" s="20">
        <f>SUM($L$38:$P$38)</f>
        <v>9.8324903272739359</v>
      </c>
      <c r="R38" s="20">
        <f>'TE BE'!$R$38*'TE BE'!$R$51</f>
        <v>-13.227107432267207</v>
      </c>
      <c r="S38" s="20">
        <f>SUM($R$38:$R$38)</f>
        <v>-13.227107432267207</v>
      </c>
      <c r="T38" s="20">
        <f>'TE BE'!$T$38*'TE BE'!$T$51</f>
        <v>0</v>
      </c>
      <c r="U38" s="20">
        <f>'TE BE'!$U$38*'TE BE'!$U$51</f>
        <v>0</v>
      </c>
      <c r="V38" s="20">
        <f>'TE BE'!$V$38*'TE BE'!$V$51</f>
        <v>0</v>
      </c>
      <c r="W38" s="20">
        <f>SUM($T$38:$V$38)</f>
        <v>0</v>
      </c>
      <c r="X38" s="20">
        <f>'TE BE'!$AB$38*'TE BE'!$X$51</f>
        <v>0</v>
      </c>
      <c r="Y38" s="20">
        <f>SUM($X$38:$X$38)</f>
        <v>0</v>
      </c>
      <c r="Z38" s="20">
        <f>'TE BE'!$Z$38*'TE BE'!$Z$51</f>
        <v>-0.36305949717677732</v>
      </c>
      <c r="AA38" s="20">
        <f>SUM($Z$38:$Z$38)</f>
        <v>-0.36305949717677732</v>
      </c>
      <c r="AB38" s="20">
        <f>SUMIF($L$4:$AA$4,"SUBTOTAL",$L$38:$AA$38)</f>
        <v>-3.7576766021700485</v>
      </c>
    </row>
    <row r="39" spans="1:28" ht="11.25" customHeight="1" x14ac:dyDescent="0.25">
      <c r="A39" s="109"/>
      <c r="B39" s="109"/>
      <c r="C39" s="109"/>
      <c r="D39" s="109"/>
      <c r="E39" s="109"/>
      <c r="F39" s="109"/>
      <c r="G39" s="23" t="s">
        <v>95</v>
      </c>
      <c r="H39" s="23" t="s">
        <v>82</v>
      </c>
      <c r="I39" s="23">
        <f>'MERCADO TE'!$U$36</f>
        <v>0</v>
      </c>
      <c r="J39" s="15"/>
      <c r="L39" s="20">
        <f>'TE BE'!$L$39*'TE BE'!$L$51</f>
        <v>0</v>
      </c>
      <c r="M39" s="20">
        <f>'TE BE'!$M$39*'TE BE'!$M$51</f>
        <v>9.8324903272739359</v>
      </c>
      <c r="N39" s="20">
        <f>'TE BE'!$N$39*'TE BE'!$N$51</f>
        <v>0</v>
      </c>
      <c r="O39" s="20">
        <f>'TE BE'!$O$39*'TE BE'!$O$51</f>
        <v>0</v>
      </c>
      <c r="P39" s="20">
        <f>'TE BE'!$P$39*'TE BE'!$P$51</f>
        <v>0</v>
      </c>
      <c r="Q39" s="20">
        <f>SUM($L$39:$P$39)</f>
        <v>9.8324903272739359</v>
      </c>
      <c r="R39" s="20">
        <f>'TE BE'!$R$39*'TE BE'!$R$51</f>
        <v>-13.227107432267207</v>
      </c>
      <c r="S39" s="20">
        <f>SUM($R$39:$R$39)</f>
        <v>-13.227107432267207</v>
      </c>
      <c r="T39" s="20">
        <f>'TE BE'!$T$39*'TE BE'!$T$51</f>
        <v>0</v>
      </c>
      <c r="U39" s="20">
        <f>'TE BE'!$U$39*'TE BE'!$U$51</f>
        <v>0</v>
      </c>
      <c r="V39" s="20">
        <f>'TE BE'!$V$39*'TE BE'!$V$51</f>
        <v>0</v>
      </c>
      <c r="W39" s="20">
        <f>SUM($T$39:$V$39)</f>
        <v>0</v>
      </c>
      <c r="X39" s="20">
        <f>'TE BE'!$AB$39*'TE BE'!$X$51</f>
        <v>0</v>
      </c>
      <c r="Y39" s="20">
        <f>SUM($X$39:$X$39)</f>
        <v>0</v>
      </c>
      <c r="Z39" s="20">
        <f>'TE BE'!$Z$39*'TE BE'!$Z$51</f>
        <v>-0.36305949717677732</v>
      </c>
      <c r="AA39" s="20">
        <f>SUM($Z$39:$Z$39)</f>
        <v>-0.36305949717677732</v>
      </c>
      <c r="AB39" s="20">
        <f>SUMIF($L$4:$AA$4,"SUBTOTAL",$L$39:$AA$39)</f>
        <v>-3.7576766021700485</v>
      </c>
    </row>
    <row r="40" spans="1:28" ht="11.25" customHeight="1" x14ac:dyDescent="0.25">
      <c r="A40" s="109"/>
      <c r="B40" s="109"/>
      <c r="C40" s="109"/>
      <c r="D40" s="109"/>
      <c r="E40" s="109"/>
      <c r="F40" s="109"/>
      <c r="G40" s="23" t="s">
        <v>84</v>
      </c>
      <c r="H40" s="23" t="s">
        <v>82</v>
      </c>
      <c r="I40" s="23">
        <f>'MERCADO TE'!$U$37</f>
        <v>0</v>
      </c>
      <c r="J40" s="15"/>
      <c r="L40" s="20">
        <f>'TE BE'!$L$40*'TE BE'!$L$51</f>
        <v>0</v>
      </c>
      <c r="M40" s="20">
        <f>'TE BE'!$M$40*'TE BE'!$M$51</f>
        <v>9.8324903272739359</v>
      </c>
      <c r="N40" s="20">
        <f>'TE BE'!$N$40*'TE BE'!$N$51</f>
        <v>0</v>
      </c>
      <c r="O40" s="20">
        <f>'TE BE'!$O$40*'TE BE'!$O$51</f>
        <v>0</v>
      </c>
      <c r="P40" s="20">
        <f>'TE BE'!$P$40*'TE BE'!$P$51</f>
        <v>0</v>
      </c>
      <c r="Q40" s="20">
        <f>SUM($L$40:$P$40)</f>
        <v>9.8324903272739359</v>
      </c>
      <c r="R40" s="20">
        <f>'TE BE'!$R$40*'TE BE'!$R$51</f>
        <v>-13.227107432267207</v>
      </c>
      <c r="S40" s="20">
        <f>SUM($R$40:$R$40)</f>
        <v>-13.227107432267207</v>
      </c>
      <c r="T40" s="20">
        <f>'TE BE'!$T$40*'TE BE'!$T$51</f>
        <v>0</v>
      </c>
      <c r="U40" s="20">
        <f>'TE BE'!$U$40*'TE BE'!$U$51</f>
        <v>0</v>
      </c>
      <c r="V40" s="20">
        <f>'TE BE'!$V$40*'TE BE'!$V$51</f>
        <v>0</v>
      </c>
      <c r="W40" s="20">
        <f>SUM($T$40:$V$40)</f>
        <v>0</v>
      </c>
      <c r="X40" s="20">
        <f>'TE BE'!$AB$40*'TE BE'!$X$51</f>
        <v>0</v>
      </c>
      <c r="Y40" s="20">
        <f>SUM($X$40:$X$40)</f>
        <v>0</v>
      </c>
      <c r="Z40" s="20">
        <f>'TE BE'!$Z$40*'TE BE'!$Z$51</f>
        <v>-0.36305949717677732</v>
      </c>
      <c r="AA40" s="20">
        <f>SUM($Z$40:$Z$40)</f>
        <v>-0.36305949717677732</v>
      </c>
      <c r="AB40" s="20">
        <f>SUMIF($L$4:$AA$4,"SUBTOTAL",$L$40:$AA$40)</f>
        <v>-3.7576766021700485</v>
      </c>
    </row>
    <row r="41" spans="1:28" ht="11.25" customHeight="1" x14ac:dyDescent="0.25">
      <c r="A41" s="109"/>
      <c r="B41" s="22" t="s">
        <v>96</v>
      </c>
      <c r="C41" s="22" t="s">
        <v>25</v>
      </c>
      <c r="D41" s="22" t="s">
        <v>25</v>
      </c>
      <c r="E41" s="22" t="s">
        <v>25</v>
      </c>
      <c r="F41" s="22" t="s">
        <v>25</v>
      </c>
      <c r="G41" s="23" t="s">
        <v>87</v>
      </c>
      <c r="H41" s="23" t="s">
        <v>82</v>
      </c>
      <c r="I41" s="23">
        <f>'MERCADO TE'!$U$38</f>
        <v>19569.288999999997</v>
      </c>
      <c r="J41" s="15"/>
      <c r="L41" s="20">
        <f>'TE BE'!$L$41*'TE BE'!$L$51</f>
        <v>0</v>
      </c>
      <c r="M41" s="20">
        <f>'TE BE'!$M$41*'TE BE'!$M$51</f>
        <v>9.8324903272739359</v>
      </c>
      <c r="N41" s="20">
        <f>'TE BE'!$N$41*'TE BE'!$N$51</f>
        <v>0</v>
      </c>
      <c r="O41" s="20">
        <f>'TE BE'!$O$41*'TE BE'!$O$51</f>
        <v>0</v>
      </c>
      <c r="P41" s="20">
        <f>'TE BE'!$P$41*'TE BE'!$P$51</f>
        <v>0</v>
      </c>
      <c r="Q41" s="20">
        <f>SUM($L$41:$P$41)</f>
        <v>9.8324903272739359</v>
      </c>
      <c r="R41" s="20">
        <f>'TE BE'!$R$41*'TE BE'!$R$51</f>
        <v>-13.227107432267207</v>
      </c>
      <c r="S41" s="20">
        <f>SUM($R$41:$R$41)</f>
        <v>-13.227107432267207</v>
      </c>
      <c r="T41" s="20">
        <f>'TE BE'!$T$41*'TE BE'!$T$51</f>
        <v>0</v>
      </c>
      <c r="U41" s="20">
        <f>'TE BE'!$U$41*'TE BE'!$U$51</f>
        <v>0</v>
      </c>
      <c r="V41" s="20">
        <f>'TE BE'!$V$41*'TE BE'!$V$51</f>
        <v>0</v>
      </c>
      <c r="W41" s="20">
        <f>SUM($T$41:$V$41)</f>
        <v>0</v>
      </c>
      <c r="X41" s="20">
        <f>'TE BE'!$AB$41*'TE BE'!$X$51</f>
        <v>0</v>
      </c>
      <c r="Y41" s="20">
        <f>SUM($X$41:$X$41)</f>
        <v>0</v>
      </c>
      <c r="Z41" s="20">
        <f>'TE BE'!$Z$41*'TE BE'!$Z$51</f>
        <v>-0.36305949717677732</v>
      </c>
      <c r="AA41" s="20">
        <f>SUM($Z$41:$Z$41)</f>
        <v>-0.36305949717677732</v>
      </c>
      <c r="AB41" s="20">
        <f>SUMIF($L$4:$AA$4,"SUBTOTAL",$L$41:$AA$41)</f>
        <v>-3.7576766021700485</v>
      </c>
    </row>
    <row r="42" spans="1:28" ht="11.25" customHeight="1" x14ac:dyDescent="0.25">
      <c r="A42" s="109"/>
      <c r="B42" s="22" t="s">
        <v>98</v>
      </c>
      <c r="C42" s="22" t="s">
        <v>25</v>
      </c>
      <c r="D42" s="22" t="s">
        <v>25</v>
      </c>
      <c r="E42" s="22" t="s">
        <v>25</v>
      </c>
      <c r="F42" s="22" t="s">
        <v>25</v>
      </c>
      <c r="G42" s="23" t="s">
        <v>87</v>
      </c>
      <c r="H42" s="23" t="s">
        <v>82</v>
      </c>
      <c r="I42" s="23">
        <f>'MERCADO TE'!$U$39</f>
        <v>0</v>
      </c>
      <c r="J42" s="15"/>
      <c r="L42" s="20">
        <f>'TE BE'!$L$42*'TE BE'!$L$51</f>
        <v>0</v>
      </c>
      <c r="M42" s="20">
        <f>'TE BE'!$M$42*'TE BE'!$M$51</f>
        <v>9.8324903272739359</v>
      </c>
      <c r="N42" s="20">
        <f>'TE BE'!$N$42*'TE BE'!$N$51</f>
        <v>0</v>
      </c>
      <c r="O42" s="20">
        <f>'TE BE'!$O$42*'TE BE'!$O$51</f>
        <v>0</v>
      </c>
      <c r="P42" s="20">
        <f>'TE BE'!$P$42*'TE BE'!$P$51</f>
        <v>0</v>
      </c>
      <c r="Q42" s="20">
        <f>SUM($L$42:$P$42)</f>
        <v>9.8324903272739359</v>
      </c>
      <c r="R42" s="20">
        <f>'TE BE'!$R$42*'TE BE'!$R$51</f>
        <v>-13.227107432267207</v>
      </c>
      <c r="S42" s="20">
        <f>SUM($R$42:$R$42)</f>
        <v>-13.227107432267207</v>
      </c>
      <c r="T42" s="20">
        <f>'TE BE'!$T$42*'TE BE'!$T$51</f>
        <v>0</v>
      </c>
      <c r="U42" s="20">
        <f>'TE BE'!$U$42*'TE BE'!$U$51</f>
        <v>0</v>
      </c>
      <c r="V42" s="20">
        <f>'TE BE'!$V$42*'TE BE'!$V$51</f>
        <v>0</v>
      </c>
      <c r="W42" s="20">
        <f>SUM($T$42:$V$42)</f>
        <v>0</v>
      </c>
      <c r="X42" s="20">
        <f>'TE BE'!$AB$42*'TE BE'!$X$51</f>
        <v>0</v>
      </c>
      <c r="Y42" s="20">
        <f>SUM($X$42:$X$42)</f>
        <v>0</v>
      </c>
      <c r="Z42" s="20">
        <f>'TE BE'!$Z$42*'TE BE'!$Z$51</f>
        <v>-0.36305949717677732</v>
      </c>
      <c r="AA42" s="20">
        <f>SUM($Z$42:$Z$42)</f>
        <v>-0.36305949717677732</v>
      </c>
      <c r="AB42" s="20">
        <f>SUMIF($L$4:$AA$4,"SUBTOTAL",$L$42:$AA$42)</f>
        <v>-3.7576766021700485</v>
      </c>
    </row>
    <row r="43" spans="1:28" ht="11.25" customHeight="1" x14ac:dyDescent="0.25">
      <c r="A43" s="109" t="s">
        <v>43</v>
      </c>
      <c r="B43" s="109" t="s">
        <v>96</v>
      </c>
      <c r="C43" s="109" t="s">
        <v>44</v>
      </c>
      <c r="D43" s="22" t="s">
        <v>45</v>
      </c>
      <c r="E43" s="22" t="s">
        <v>25</v>
      </c>
      <c r="F43" s="22" t="s">
        <v>25</v>
      </c>
      <c r="G43" s="23" t="s">
        <v>87</v>
      </c>
      <c r="H43" s="23" t="s">
        <v>82</v>
      </c>
      <c r="I43" s="23">
        <f>'MERCADO TE'!$U$40</f>
        <v>4547.4760000000006</v>
      </c>
      <c r="J43" s="15"/>
      <c r="L43" s="20">
        <f>'TE BE'!$L$43*'TE BE'!$L$51</f>
        <v>0</v>
      </c>
      <c r="M43" s="20">
        <f>'TE BE'!$M$43*'TE BE'!$M$51</f>
        <v>5.4078696800006654</v>
      </c>
      <c r="N43" s="20">
        <f>'TE BE'!$N$43*'TE BE'!$N$51</f>
        <v>0</v>
      </c>
      <c r="O43" s="20">
        <f>'TE BE'!$O$43*'TE BE'!$O$51</f>
        <v>0</v>
      </c>
      <c r="P43" s="20">
        <f>'TE BE'!$P$43*'TE BE'!$P$51</f>
        <v>0</v>
      </c>
      <c r="Q43" s="20">
        <f>SUM($L$43:$P$43)</f>
        <v>5.4078696800006654</v>
      </c>
      <c r="R43" s="20">
        <f>'TE BE'!$R$43*'TE BE'!$R$51</f>
        <v>-7.2749090877469644</v>
      </c>
      <c r="S43" s="20">
        <f>SUM($R$43:$R$43)</f>
        <v>-7.2749090877469644</v>
      </c>
      <c r="T43" s="20">
        <f>'TE BE'!$T$43*'TE BE'!$T$51</f>
        <v>0</v>
      </c>
      <c r="U43" s="20">
        <f>'TE BE'!$U$43*'TE BE'!$U$51</f>
        <v>0</v>
      </c>
      <c r="V43" s="20">
        <f>'TE BE'!$V$43*'TE BE'!$V$51</f>
        <v>0</v>
      </c>
      <c r="W43" s="20">
        <f>SUM($T$43:$V$43)</f>
        <v>0</v>
      </c>
      <c r="X43" s="20">
        <f>'TE BE'!$AB$43*'TE BE'!$X$51</f>
        <v>0</v>
      </c>
      <c r="Y43" s="20">
        <f>SUM($X$43:$X$43)</f>
        <v>0</v>
      </c>
      <c r="Z43" s="20">
        <f>'TE BE'!$Z$43*'TE BE'!$Z$51</f>
        <v>-0.19968272344722754</v>
      </c>
      <c r="AA43" s="20">
        <f>SUM($Z$43:$Z$43)</f>
        <v>-0.19968272344722754</v>
      </c>
      <c r="AB43" s="20">
        <f>SUMIF($L$4:$AA$4,"SUBTOTAL",$L$43:$AA$43)</f>
        <v>-2.0667221311935267</v>
      </c>
    </row>
    <row r="44" spans="1:28" ht="11.25" customHeight="1" x14ac:dyDescent="0.25">
      <c r="A44" s="109"/>
      <c r="B44" s="109"/>
      <c r="C44" s="109"/>
      <c r="D44" s="23" t="s">
        <v>102</v>
      </c>
      <c r="E44" s="23" t="s">
        <v>25</v>
      </c>
      <c r="F44" s="23" t="s">
        <v>25</v>
      </c>
      <c r="G44" s="23" t="s">
        <v>87</v>
      </c>
      <c r="H44" s="23" t="s">
        <v>82</v>
      </c>
      <c r="I44" s="23">
        <f>'MERCADO TE'!$U$41</f>
        <v>0</v>
      </c>
      <c r="J44" s="15"/>
      <c r="L44" s="20">
        <f>'TE BE'!$L$44*'TE BE'!$L$51</f>
        <v>0</v>
      </c>
      <c r="M44" s="20">
        <f>'TE BE'!$M$44*'TE BE'!$M$51</f>
        <v>5.8994941963643601</v>
      </c>
      <c r="N44" s="20">
        <f>'TE BE'!$N$44*'TE BE'!$N$51</f>
        <v>0</v>
      </c>
      <c r="O44" s="20">
        <f>'TE BE'!$O$44*'TE BE'!$O$51</f>
        <v>0</v>
      </c>
      <c r="P44" s="20">
        <f>'TE BE'!$P$44*'TE BE'!$P$51</f>
        <v>0</v>
      </c>
      <c r="Q44" s="20">
        <f>SUM($L$44:$P$44)</f>
        <v>5.8994941963643601</v>
      </c>
      <c r="R44" s="20">
        <f>'TE BE'!$R$44*'TE BE'!$R$51</f>
        <v>-7.9362644593603244</v>
      </c>
      <c r="S44" s="20">
        <f>SUM($R$44:$R$44)</f>
        <v>-7.9362644593603244</v>
      </c>
      <c r="T44" s="20">
        <f>'TE BE'!$T$44*'TE BE'!$T$51</f>
        <v>0</v>
      </c>
      <c r="U44" s="20">
        <f>'TE BE'!$U$44*'TE BE'!$U$51</f>
        <v>0</v>
      </c>
      <c r="V44" s="20">
        <f>'TE BE'!$V$44*'TE BE'!$V$51</f>
        <v>0</v>
      </c>
      <c r="W44" s="20">
        <f>SUM($T$44:$V$44)</f>
        <v>0</v>
      </c>
      <c r="X44" s="20">
        <f>'TE BE'!$AB$44*'TE BE'!$X$51</f>
        <v>0</v>
      </c>
      <c r="Y44" s="20">
        <f>SUM($X$44:$X$44)</f>
        <v>0</v>
      </c>
      <c r="Z44" s="20">
        <f>'TE BE'!$Z$44*'TE BE'!$Z$51</f>
        <v>-0.21783569830606639</v>
      </c>
      <c r="AA44" s="20">
        <f>SUM($Z$44:$Z$44)</f>
        <v>-0.21783569830606639</v>
      </c>
      <c r="AB44" s="20">
        <f>SUMIF($L$4:$AA$4,"SUBTOTAL",$L$44:$AA$44)</f>
        <v>-2.2546059613020306</v>
      </c>
    </row>
    <row r="46" spans="1:28" ht="11.25" customHeight="1" x14ac:dyDescent="0.25">
      <c r="K46" s="25" t="s">
        <v>587</v>
      </c>
      <c r="L46" s="20">
        <f t="shared" ref="L46:AB46" si="0">SUMPRODUCT($I$5:$I$44,L$5:L$44)</f>
        <v>0</v>
      </c>
      <c r="M46" s="20">
        <f t="shared" si="0"/>
        <v>1430384.8026129566</v>
      </c>
      <c r="N46" s="20">
        <f t="shared" si="0"/>
        <v>0</v>
      </c>
      <c r="O46" s="20">
        <f t="shared" si="0"/>
        <v>0</v>
      </c>
      <c r="P46" s="20">
        <f t="shared" si="0"/>
        <v>0</v>
      </c>
      <c r="Q46" s="20">
        <f t="shared" si="0"/>
        <v>1430384.8026129566</v>
      </c>
      <c r="R46" s="20">
        <f t="shared" si="0"/>
        <v>-1924314.0596831455</v>
      </c>
      <c r="S46" s="20">
        <f t="shared" si="0"/>
        <v>-1924314.0596831455</v>
      </c>
      <c r="T46" s="20">
        <f t="shared" si="0"/>
        <v>0</v>
      </c>
      <c r="U46" s="20">
        <f t="shared" si="0"/>
        <v>0</v>
      </c>
      <c r="V46" s="20">
        <f t="shared" si="0"/>
        <v>0</v>
      </c>
      <c r="W46" s="20">
        <f t="shared" si="0"/>
        <v>0</v>
      </c>
      <c r="X46" s="20">
        <f t="shared" si="0"/>
        <v>0</v>
      </c>
      <c r="Y46" s="20">
        <f t="shared" si="0"/>
        <v>0</v>
      </c>
      <c r="Z46" s="20">
        <f t="shared" si="0"/>
        <v>-52816.201177992341</v>
      </c>
      <c r="AA46" s="20">
        <f t="shared" si="0"/>
        <v>-52816.201177992341</v>
      </c>
      <c r="AB46" s="20">
        <f t="shared" si="0"/>
        <v>-546745.45824818127</v>
      </c>
    </row>
    <row r="47" spans="1:28" ht="11.25" customHeight="1" x14ac:dyDescent="0.25">
      <c r="K47" s="25" t="s">
        <v>506</v>
      </c>
      <c r="L47" s="20">
        <f>CUSTOS!$D$30</f>
        <v>0</v>
      </c>
      <c r="M47" s="20">
        <f>CUSTOS!$D$31</f>
        <v>4000632.2600000002</v>
      </c>
      <c r="N47" s="20">
        <f>CUSTOS!$D$32</f>
        <v>0</v>
      </c>
      <c r="O47" s="20">
        <f>CUSTOS!$D$33</f>
        <v>0</v>
      </c>
      <c r="P47" s="20">
        <f>CUSTOS!$D$34</f>
        <v>-2394550.81</v>
      </c>
      <c r="Q47" s="20">
        <f>CUSTOS!$D$35</f>
        <v>1606081.4500000002</v>
      </c>
      <c r="R47" s="20">
        <f>CUSTOS!$D$36</f>
        <v>27767013.349883825</v>
      </c>
      <c r="S47" s="20">
        <f>CUSTOS!$D$37</f>
        <v>27767013.349883825</v>
      </c>
      <c r="T47" s="20">
        <f>CUSTOS!$D$38</f>
        <v>0</v>
      </c>
      <c r="U47" s="20">
        <f>CUSTOS!$D$39</f>
        <v>0</v>
      </c>
      <c r="V47" s="20">
        <f>CUSTOS!$D$40</f>
        <v>0</v>
      </c>
      <c r="W47" s="20">
        <f>CUSTOS!$D$41</f>
        <v>0</v>
      </c>
      <c r="X47" s="20">
        <f>CUSTOS!$D$42</f>
        <v>0</v>
      </c>
      <c r="Y47" s="20">
        <f>CUSTOS!$D$43</f>
        <v>0</v>
      </c>
      <c r="Z47" s="20">
        <f>CUSTOS!$D$44</f>
        <v>762114.76802333537</v>
      </c>
      <c r="AA47" s="20">
        <f>CUSTOS!$D$45</f>
        <v>762114.76802333537</v>
      </c>
      <c r="AB47" s="20">
        <f>CUSTOS!$D$46</f>
        <v>30135209.567907158</v>
      </c>
    </row>
    <row r="48" spans="1:28" ht="11.25" customHeight="1" x14ac:dyDescent="0.25">
      <c r="K48" s="25" t="s">
        <v>507</v>
      </c>
      <c r="L48" s="20">
        <f>CUSTOS!$E$30</f>
        <v>0</v>
      </c>
      <c r="M48" s="20">
        <f>CUSTOS!$E$31</f>
        <v>1430384.8026129566</v>
      </c>
      <c r="N48" s="20">
        <f>CUSTOS!$E$32</f>
        <v>0</v>
      </c>
      <c r="O48" s="20">
        <f>CUSTOS!$E$33</f>
        <v>0</v>
      </c>
      <c r="P48" s="20">
        <f>CUSTOS!$E$34</f>
        <v>0</v>
      </c>
      <c r="Q48" s="20">
        <f>CUSTOS!$E$35</f>
        <v>1430384.8026129566</v>
      </c>
      <c r="R48" s="20">
        <f>CUSTOS!$E$36</f>
        <v>-1924314.0596831457</v>
      </c>
      <c r="S48" s="20">
        <f>CUSTOS!$E$37</f>
        <v>-1924314.0596831457</v>
      </c>
      <c r="T48" s="20">
        <f>CUSTOS!$E$38</f>
        <v>0</v>
      </c>
      <c r="U48" s="20">
        <f>CUSTOS!$E$39</f>
        <v>0</v>
      </c>
      <c r="V48" s="20">
        <f>CUSTOS!$E$40</f>
        <v>0</v>
      </c>
      <c r="W48" s="20">
        <f>CUSTOS!$E$41</f>
        <v>0</v>
      </c>
      <c r="X48" s="20">
        <f>CUSTOS!$E$42</f>
        <v>0</v>
      </c>
      <c r="Y48" s="20">
        <f>CUSTOS!$E$43</f>
        <v>0</v>
      </c>
      <c r="Z48" s="20">
        <f>CUSTOS!$E$44</f>
        <v>-52816.201177992349</v>
      </c>
      <c r="AA48" s="20">
        <f>CUSTOS!$E$45</f>
        <v>-52816.201177992349</v>
      </c>
      <c r="AB48" s="20">
        <f>CUSTOS!$E$46</f>
        <v>-546745.4582481815</v>
      </c>
    </row>
    <row r="49" spans="11:28" ht="11.25" customHeight="1" x14ac:dyDescent="0.25">
      <c r="K49" s="25" t="s">
        <v>508</v>
      </c>
      <c r="L49" s="20">
        <f>CUSTOS!$F$30</f>
        <v>0</v>
      </c>
      <c r="M49" s="20">
        <f>CUSTOS!$F$31</f>
        <v>0</v>
      </c>
      <c r="N49" s="20">
        <f>CUSTOS!$F$32</f>
        <v>0</v>
      </c>
      <c r="O49" s="20">
        <f>CUSTOS!$F$33</f>
        <v>0</v>
      </c>
      <c r="P49" s="20">
        <f>CUSTOS!$F$34</f>
        <v>0</v>
      </c>
      <c r="Q49" s="20">
        <f>CUSTOS!$F$35</f>
        <v>0</v>
      </c>
      <c r="R49" s="20">
        <f>CUSTOS!$F$36</f>
        <v>0</v>
      </c>
      <c r="S49" s="20">
        <f>CUSTOS!$F$37</f>
        <v>0</v>
      </c>
      <c r="T49" s="20">
        <f>CUSTOS!$F$38</f>
        <v>0</v>
      </c>
      <c r="U49" s="20">
        <f>CUSTOS!$F$39</f>
        <v>0</v>
      </c>
      <c r="V49" s="20">
        <f>CUSTOS!$F$40</f>
        <v>0</v>
      </c>
      <c r="W49" s="20">
        <f>CUSTOS!$F$41</f>
        <v>0</v>
      </c>
      <c r="X49" s="20">
        <f>CUSTOS!$F$42</f>
        <v>0</v>
      </c>
      <c r="Y49" s="20">
        <f>CUSTOS!$F$43</f>
        <v>0</v>
      </c>
      <c r="Z49" s="20">
        <f>CUSTOS!$F$44</f>
        <v>0</v>
      </c>
      <c r="AA49" s="20">
        <f>CUSTOS!$F$45</f>
        <v>0</v>
      </c>
      <c r="AB49" s="20">
        <f>CUSTOS!$F$46</f>
        <v>0</v>
      </c>
    </row>
    <row r="50" spans="11:28" ht="11.25" customHeight="1" x14ac:dyDescent="0.25">
      <c r="K50" s="25" t="s">
        <v>588</v>
      </c>
      <c r="L50" s="20">
        <f>'TR TE'!$L$50*L51</f>
        <v>0</v>
      </c>
      <c r="M50" s="20">
        <f>'TR TE'!$M$50*M51</f>
        <v>0</v>
      </c>
      <c r="N50" s="20">
        <f>'TR TE'!$N$50*N51</f>
        <v>0</v>
      </c>
      <c r="O50" s="20">
        <f>'TR TE'!$O$50*O51</f>
        <v>0</v>
      </c>
      <c r="P50" s="20">
        <f>'TR TE'!$P$50*P51</f>
        <v>0</v>
      </c>
      <c r="Q50" s="20"/>
      <c r="R50" s="20">
        <f>'TR TE'!$R$50*R51</f>
        <v>0</v>
      </c>
      <c r="S50" s="20"/>
      <c r="T50" s="20">
        <f>'TR TE'!$T$50*T51</f>
        <v>0</v>
      </c>
      <c r="U50" s="20">
        <f>'TR TE'!$U$50*U51</f>
        <v>0</v>
      </c>
      <c r="V50" s="20">
        <f>'TR TE'!$V$50*V51</f>
        <v>0</v>
      </c>
      <c r="W50" s="20"/>
      <c r="X50" s="20"/>
      <c r="Y50" s="20"/>
      <c r="Z50" s="20">
        <f>'TR TE'!$Z$50*Z51</f>
        <v>0</v>
      </c>
      <c r="AA50" s="20"/>
      <c r="AB50" s="20"/>
    </row>
    <row r="51" spans="11:28" ht="11.25" customHeight="1" x14ac:dyDescent="0.25">
      <c r="K51" s="25" t="s">
        <v>583</v>
      </c>
      <c r="L51" s="20">
        <f>IF(L47&lt;&gt;0,L49/L47,0)</f>
        <v>0</v>
      </c>
      <c r="M51" s="20">
        <f>IF(M47&lt;&gt;0,M49/M47,0)</f>
        <v>0</v>
      </c>
      <c r="N51" s="20">
        <f>IF(N47&lt;&gt;0,N49/N47,0)</f>
        <v>0</v>
      </c>
      <c r="O51" s="20">
        <f>IF(O47&lt;&gt;0,O49/O47,0)</f>
        <v>0</v>
      </c>
      <c r="P51" s="20">
        <f>IF(P47&lt;&gt;0,P49/P47,0)</f>
        <v>0</v>
      </c>
      <c r="Q51" s="20"/>
      <c r="R51" s="20">
        <f>IF(R47&lt;&gt;0,R49/R47,0)</f>
        <v>0</v>
      </c>
      <c r="S51" s="20"/>
      <c r="T51" s="20">
        <f>IF(T47&lt;&gt;0,T49/T47,0)</f>
        <v>0</v>
      </c>
      <c r="U51" s="20">
        <f>IF(U47&lt;&gt;0,U49/U47,0)</f>
        <v>0</v>
      </c>
      <c r="V51" s="20">
        <f>IF(V47&lt;&gt;0,V49/V47,0)</f>
        <v>0</v>
      </c>
      <c r="W51" s="20"/>
      <c r="X51" s="20">
        <f>IF($AB47&lt;&gt;0,X49/($AB47-SUM('TR TE'!$L50:'TR TE'!$AA50)*0),0)</f>
        <v>0</v>
      </c>
      <c r="Y51" s="20"/>
      <c r="Z51" s="20">
        <f>IF(Z47&lt;&gt;0,Z49/Z47,0)</f>
        <v>0</v>
      </c>
      <c r="AA51" s="20"/>
      <c r="AB51" s="20"/>
    </row>
    <row r="52" spans="11:28" ht="11.25" customHeight="1" x14ac:dyDescent="0.25"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9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10:F12"/>
    <mergeCell ref="B13:B17"/>
    <mergeCell ref="C13:C17"/>
    <mergeCell ref="B18:B22"/>
    <mergeCell ref="C18:C22"/>
    <mergeCell ref="A10:A22"/>
    <mergeCell ref="B10:B12"/>
    <mergeCell ref="C10:C12"/>
    <mergeCell ref="D10:D12"/>
    <mergeCell ref="E10:E12"/>
    <mergeCell ref="D31:D33"/>
    <mergeCell ref="E31:E33"/>
    <mergeCell ref="F31:F33"/>
    <mergeCell ref="D23:D25"/>
    <mergeCell ref="E23:E25"/>
    <mergeCell ref="F23:F25"/>
    <mergeCell ref="D27:D29"/>
    <mergeCell ref="E27:E29"/>
    <mergeCell ref="F27:F29"/>
    <mergeCell ref="B35:B37"/>
    <mergeCell ref="C35:C37"/>
    <mergeCell ref="A38:A42"/>
    <mergeCell ref="B38:B40"/>
    <mergeCell ref="C38:C40"/>
    <mergeCell ref="A23:A37"/>
    <mergeCell ref="B23:B25"/>
    <mergeCell ref="C23:C25"/>
    <mergeCell ref="B31:B33"/>
    <mergeCell ref="C31:C33"/>
    <mergeCell ref="B27:B29"/>
    <mergeCell ref="C27:C29"/>
    <mergeCell ref="E38:E40"/>
    <mergeCell ref="F38:F40"/>
    <mergeCell ref="A43:A44"/>
    <mergeCell ref="B43:B44"/>
    <mergeCell ref="C43:C44"/>
    <mergeCell ref="D38:D40"/>
  </mergeCells>
  <conditionalFormatting sqref="L46">
    <cfRule type="cellIs" dxfId="826" priority="33" operator="notEqual">
      <formula>$L$48</formula>
    </cfRule>
    <cfRule type="cellIs" dxfId="825" priority="34" operator="equal">
      <formula>$L$48</formula>
    </cfRule>
  </conditionalFormatting>
  <conditionalFormatting sqref="M46">
    <cfRule type="cellIs" dxfId="824" priority="31" operator="notEqual">
      <formula>$M$48</formula>
    </cfRule>
    <cfRule type="cellIs" dxfId="823" priority="32" operator="equal">
      <formula>$M$48</formula>
    </cfRule>
  </conditionalFormatting>
  <conditionalFormatting sqref="N46">
    <cfRule type="cellIs" dxfId="822" priority="29" operator="notEqual">
      <formula>$N$48</formula>
    </cfRule>
    <cfRule type="cellIs" dxfId="821" priority="30" operator="equal">
      <formula>$N$48</formula>
    </cfRule>
  </conditionalFormatting>
  <conditionalFormatting sqref="O46">
    <cfRule type="cellIs" dxfId="820" priority="27" operator="notEqual">
      <formula>$O$48</formula>
    </cfRule>
    <cfRule type="cellIs" dxfId="819" priority="28" operator="equal">
      <formula>$O$48</formula>
    </cfRule>
  </conditionalFormatting>
  <conditionalFormatting sqref="P46">
    <cfRule type="cellIs" dxfId="818" priority="25" operator="notEqual">
      <formula>$P$48</formula>
    </cfRule>
    <cfRule type="cellIs" dxfId="817" priority="26" operator="equal">
      <formula>$P$48</formula>
    </cfRule>
  </conditionalFormatting>
  <conditionalFormatting sqref="Q46">
    <cfRule type="cellIs" dxfId="816" priority="23" operator="notEqual">
      <formula>$Q$48</formula>
    </cfRule>
    <cfRule type="cellIs" dxfId="815" priority="24" operator="equal">
      <formula>$Q$48</formula>
    </cfRule>
  </conditionalFormatting>
  <conditionalFormatting sqref="R46">
    <cfRule type="cellIs" dxfId="814" priority="21" operator="notEqual">
      <formula>$R$48</formula>
    </cfRule>
    <cfRule type="cellIs" dxfId="813" priority="22" operator="equal">
      <formula>$R$48</formula>
    </cfRule>
  </conditionalFormatting>
  <conditionalFormatting sqref="S46">
    <cfRule type="cellIs" dxfId="812" priority="19" operator="notEqual">
      <formula>$S$48</formula>
    </cfRule>
    <cfRule type="cellIs" dxfId="811" priority="20" operator="equal">
      <formula>$S$48</formula>
    </cfRule>
  </conditionalFormatting>
  <conditionalFormatting sqref="T46">
    <cfRule type="cellIs" dxfId="810" priority="17" operator="notEqual">
      <formula>$T$48</formula>
    </cfRule>
    <cfRule type="cellIs" dxfId="809" priority="18" operator="equal">
      <formula>$T$48</formula>
    </cfRule>
  </conditionalFormatting>
  <conditionalFormatting sqref="U46">
    <cfRule type="cellIs" dxfId="808" priority="15" operator="notEqual">
      <formula>$U$48</formula>
    </cfRule>
    <cfRule type="cellIs" dxfId="807" priority="16" operator="equal">
      <formula>$U$48</formula>
    </cfRule>
  </conditionalFormatting>
  <conditionalFormatting sqref="V46">
    <cfRule type="cellIs" dxfId="806" priority="13" operator="notEqual">
      <formula>$V$48</formula>
    </cfRule>
    <cfRule type="cellIs" dxfId="805" priority="14" operator="equal">
      <formula>$V$48</formula>
    </cfRule>
  </conditionalFormatting>
  <conditionalFormatting sqref="W46">
    <cfRule type="cellIs" dxfId="804" priority="11" operator="notEqual">
      <formula>$W$48</formula>
    </cfRule>
    <cfRule type="cellIs" dxfId="803" priority="12" operator="equal">
      <formula>$W$48</formula>
    </cfRule>
  </conditionalFormatting>
  <conditionalFormatting sqref="X46">
    <cfRule type="cellIs" dxfId="802" priority="9" operator="notEqual">
      <formula>$X$48</formula>
    </cfRule>
    <cfRule type="cellIs" dxfId="801" priority="10" operator="equal">
      <formula>$X$48</formula>
    </cfRule>
  </conditionalFormatting>
  <conditionalFormatting sqref="Y46">
    <cfRule type="cellIs" dxfId="800" priority="7" operator="notEqual">
      <formula>$Y$48</formula>
    </cfRule>
    <cfRule type="cellIs" dxfId="799" priority="8" operator="equal">
      <formula>$Y$48</formula>
    </cfRule>
  </conditionalFormatting>
  <conditionalFormatting sqref="Z46">
    <cfRule type="cellIs" dxfId="798" priority="5" operator="notEqual">
      <formula>$Z$48</formula>
    </cfRule>
    <cfRule type="cellIs" dxfId="797" priority="6" operator="equal">
      <formula>$Z$48</formula>
    </cfRule>
  </conditionalFormatting>
  <conditionalFormatting sqref="AA46">
    <cfRule type="cellIs" dxfId="796" priority="3" operator="notEqual">
      <formula>$AA$48</formula>
    </cfRule>
    <cfRule type="cellIs" dxfId="795" priority="4" operator="equal">
      <formula>$AA$48</formula>
    </cfRule>
  </conditionalFormatting>
  <conditionalFormatting sqref="AB46">
    <cfRule type="cellIs" dxfId="794" priority="1" operator="notEqual">
      <formula>$AB$48</formula>
    </cfRule>
    <cfRule type="cellIs" dxfId="793" priority="2" operator="equal">
      <formula>$AB$48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116-81AA-4611-BDAE-5CA66F958195}">
  <sheetPr codeName="Planilha15"/>
  <dimension ref="A1:AB52"/>
  <sheetViews>
    <sheetView showGridLines="0" topLeftCell="K1" workbookViewId="0">
      <selection activeCell="AB46" sqref="AB46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8.7109375" style="9" bestFit="1" customWidth="1"/>
    <col min="13" max="13" width="10" style="9" bestFit="1" customWidth="1"/>
    <col min="14" max="14" width="8.7109375" style="9" bestFit="1" customWidth="1"/>
    <col min="15" max="15" width="11.140625" style="9" bestFit="1" customWidth="1"/>
    <col min="16" max="16" width="10.5703125" style="9" bestFit="1" customWidth="1"/>
    <col min="17" max="17" width="10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8" t="s">
        <v>72</v>
      </c>
      <c r="B1" s="108" t="s">
        <v>73</v>
      </c>
      <c r="C1" s="108" t="s">
        <v>74</v>
      </c>
      <c r="D1" s="108" t="s">
        <v>75</v>
      </c>
      <c r="E1" s="108" t="s">
        <v>76</v>
      </c>
      <c r="F1" s="108" t="s">
        <v>15</v>
      </c>
      <c r="G1" s="108" t="s">
        <v>78</v>
      </c>
      <c r="H1" s="108" t="s">
        <v>79</v>
      </c>
      <c r="I1" s="108" t="s">
        <v>565</v>
      </c>
      <c r="J1" s="91"/>
      <c r="L1" s="106" t="s">
        <v>593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</row>
    <row r="2" spans="1:28" ht="11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91"/>
      <c r="L2" s="106" t="s">
        <v>492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8" ht="11.2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91"/>
      <c r="L3" s="106" t="s">
        <v>465</v>
      </c>
      <c r="M3" s="106"/>
      <c r="N3" s="106"/>
      <c r="O3" s="106"/>
      <c r="P3" s="106"/>
      <c r="Q3" s="106"/>
      <c r="R3" s="106" t="s">
        <v>496</v>
      </c>
      <c r="S3" s="106"/>
      <c r="T3" s="106" t="s">
        <v>474</v>
      </c>
      <c r="U3" s="106"/>
      <c r="V3" s="106"/>
      <c r="W3" s="106"/>
      <c r="X3" s="106" t="s">
        <v>484</v>
      </c>
      <c r="Y3" s="106"/>
      <c r="Z3" s="106" t="s">
        <v>487</v>
      </c>
      <c r="AA3" s="106"/>
      <c r="AB3" s="106" t="s">
        <v>473</v>
      </c>
    </row>
    <row r="4" spans="1:28" ht="11.2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  <c r="J4" s="91"/>
      <c r="L4" s="24" t="s">
        <v>467</v>
      </c>
      <c r="M4" s="24" t="s">
        <v>493</v>
      </c>
      <c r="N4" s="24" t="s">
        <v>494</v>
      </c>
      <c r="O4" s="24" t="s">
        <v>553</v>
      </c>
      <c r="P4" s="24" t="s">
        <v>495</v>
      </c>
      <c r="Q4" s="24" t="s">
        <v>473</v>
      </c>
      <c r="R4" s="24" t="s">
        <v>497</v>
      </c>
      <c r="S4" s="24" t="s">
        <v>473</v>
      </c>
      <c r="T4" s="24" t="s">
        <v>498</v>
      </c>
      <c r="U4" s="24" t="s">
        <v>499</v>
      </c>
      <c r="V4" s="24" t="s">
        <v>500</v>
      </c>
      <c r="W4" s="24" t="s">
        <v>473</v>
      </c>
      <c r="X4" s="24" t="s">
        <v>485</v>
      </c>
      <c r="Y4" s="24" t="s">
        <v>473</v>
      </c>
      <c r="Z4" s="24" t="s">
        <v>501</v>
      </c>
      <c r="AA4" s="24" t="s">
        <v>473</v>
      </c>
      <c r="AB4" s="107"/>
    </row>
    <row r="5" spans="1:28" ht="11.25" customHeight="1" x14ac:dyDescent="0.25">
      <c r="A5" s="109" t="s">
        <v>35</v>
      </c>
      <c r="B5" s="109" t="s">
        <v>81</v>
      </c>
      <c r="C5" s="109" t="s">
        <v>25</v>
      </c>
      <c r="D5" s="109" t="s">
        <v>25</v>
      </c>
      <c r="E5" s="109" t="s">
        <v>25</v>
      </c>
      <c r="F5" s="109" t="s">
        <v>25</v>
      </c>
      <c r="G5" s="23" t="s">
        <v>83</v>
      </c>
      <c r="H5" s="23" t="s">
        <v>82</v>
      </c>
      <c r="I5" s="23">
        <f>'MERCADO TE'!$U$2</f>
        <v>3293.4549999999999</v>
      </c>
      <c r="J5" s="15"/>
      <c r="L5" s="20">
        <f>'TE BE'!$L$5*'TE BF'!$L$51</f>
        <v>0</v>
      </c>
      <c r="M5" s="20">
        <f>'TE BE'!$M$5*'TE BF'!$M$51</f>
        <v>0</v>
      </c>
      <c r="N5" s="20">
        <f>'TE BE'!$N$5*'TE BF'!$N$51</f>
        <v>0</v>
      </c>
      <c r="O5" s="20">
        <f>'TE BE'!$O$5*'TE BF'!$O$51</f>
        <v>0</v>
      </c>
      <c r="P5" s="20">
        <f>'TE BE'!$P$5*'TE BF'!$P$51</f>
        <v>0</v>
      </c>
      <c r="Q5" s="20">
        <f>SUM($L$5:$P$5)</f>
        <v>0</v>
      </c>
      <c r="R5" s="20">
        <f>'TE BE'!$R$5*'TE BF'!$R$51</f>
        <v>0</v>
      </c>
      <c r="S5" s="20">
        <f>SUM($R$5:$R$5)</f>
        <v>0</v>
      </c>
      <c r="T5" s="20">
        <f>'TE BE'!$T$5*'TE BF'!$T$51</f>
        <v>0</v>
      </c>
      <c r="U5" s="20">
        <f>'TE BE'!$U$5*'TE BF'!$U$51</f>
        <v>0</v>
      </c>
      <c r="V5" s="20">
        <f>'TE BE'!$V$5*'TE BF'!$V$51</f>
        <v>0</v>
      </c>
      <c r="W5" s="20">
        <f>SUM($T$5:$V$5)</f>
        <v>0</v>
      </c>
      <c r="X5" s="20">
        <f>'TE BE'!$AB$5*'TE BF'!$X$51</f>
        <v>0</v>
      </c>
      <c r="Y5" s="20">
        <f>SUM($X$5:$X$5)</f>
        <v>0</v>
      </c>
      <c r="Z5" s="20">
        <f>'TE BE'!$Z$5*'TE BF'!$Z$51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09"/>
      <c r="B6" s="109"/>
      <c r="C6" s="109"/>
      <c r="D6" s="109"/>
      <c r="E6" s="109"/>
      <c r="F6" s="109"/>
      <c r="G6" s="23" t="s">
        <v>84</v>
      </c>
      <c r="H6" s="23" t="s">
        <v>82</v>
      </c>
      <c r="I6" s="23">
        <f>'MERCADO TE'!$U$3</f>
        <v>43158.441999999995</v>
      </c>
      <c r="J6" s="15"/>
      <c r="L6" s="20">
        <f>'TE BE'!$L$6*'TE BF'!$L$51</f>
        <v>0</v>
      </c>
      <c r="M6" s="20">
        <f>'TE BE'!$M$6*'TE BF'!$M$51</f>
        <v>0</v>
      </c>
      <c r="N6" s="20">
        <f>'TE BE'!$N$6*'TE BF'!$N$51</f>
        <v>0</v>
      </c>
      <c r="O6" s="20">
        <f>'TE BE'!$O$6*'TE BF'!$O$51</f>
        <v>0</v>
      </c>
      <c r="P6" s="20">
        <f>'TE BE'!$P$6*'TE BF'!$P$51</f>
        <v>0</v>
      </c>
      <c r="Q6" s="20">
        <f>SUM($L$6:$P$6)</f>
        <v>0</v>
      </c>
      <c r="R6" s="20">
        <f>'TE BE'!$R$6*'TE BF'!$R$51</f>
        <v>0</v>
      </c>
      <c r="S6" s="20">
        <f>SUM($R$6:$R$6)</f>
        <v>0</v>
      </c>
      <c r="T6" s="20">
        <f>'TE BE'!$T$6*'TE BF'!$T$51</f>
        <v>0</v>
      </c>
      <c r="U6" s="20">
        <f>'TE BE'!$U$6*'TE BF'!$U$51</f>
        <v>0</v>
      </c>
      <c r="V6" s="20">
        <f>'TE BE'!$V$6*'TE BF'!$V$51</f>
        <v>0</v>
      </c>
      <c r="W6" s="20">
        <f>SUM($T$6:$V$6)</f>
        <v>0</v>
      </c>
      <c r="X6" s="20">
        <f>'TE BE'!$AB$6*'TE BF'!$X$51</f>
        <v>0</v>
      </c>
      <c r="Y6" s="20">
        <f>SUM($X$6:$X$6)</f>
        <v>0</v>
      </c>
      <c r="Z6" s="20">
        <f>'TE BE'!$Z$6*'TE BF'!$Z$51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09"/>
      <c r="B7" s="22" t="s">
        <v>85</v>
      </c>
      <c r="C7" s="22" t="s">
        <v>25</v>
      </c>
      <c r="D7" s="22" t="s">
        <v>25</v>
      </c>
      <c r="E7" s="22" t="s">
        <v>86</v>
      </c>
      <c r="F7" s="22" t="s">
        <v>25</v>
      </c>
      <c r="G7" s="23" t="s">
        <v>87</v>
      </c>
      <c r="H7" s="23" t="s">
        <v>82</v>
      </c>
      <c r="I7" s="23">
        <f>'MERCADO TE'!$U$4</f>
        <v>0</v>
      </c>
      <c r="J7" s="15"/>
      <c r="L7" s="20">
        <f>'TE BE'!$L$7*'TE BF'!$L$51</f>
        <v>0</v>
      </c>
      <c r="M7" s="20">
        <f>'TE BE'!$M$7*'TE BF'!$M$51</f>
        <v>0</v>
      </c>
      <c r="N7" s="20">
        <f>'TE BE'!$N$7*'TE BF'!$N$51</f>
        <v>0</v>
      </c>
      <c r="O7" s="20">
        <f>'TE BE'!$O$7*'TE BF'!$O$51</f>
        <v>0</v>
      </c>
      <c r="P7" s="20">
        <f>'TE BE'!$P$7*'TE BF'!$P$51</f>
        <v>0</v>
      </c>
      <c r="Q7" s="20">
        <f>SUM($L$7:$P$7)</f>
        <v>0</v>
      </c>
      <c r="R7" s="20">
        <f>'TE BE'!$R$7*'TE BF'!$R$51</f>
        <v>0</v>
      </c>
      <c r="S7" s="20">
        <f>SUM($R$7:$R$7)</f>
        <v>0</v>
      </c>
      <c r="T7" s="20">
        <f>'TE BE'!$T$7*'TE BF'!$T$51</f>
        <v>0</v>
      </c>
      <c r="U7" s="20">
        <f>'TE BE'!$U$7*'TE BF'!$U$51</f>
        <v>0</v>
      </c>
      <c r="V7" s="20">
        <f>'TE BE'!$V$7*'TE BF'!$V$51</f>
        <v>0</v>
      </c>
      <c r="W7" s="20">
        <f>SUM($T$7:$V$7)</f>
        <v>0</v>
      </c>
      <c r="X7" s="20">
        <v>0</v>
      </c>
      <c r="Y7" s="20">
        <f>SUM($X$7:$X$7)</f>
        <v>0</v>
      </c>
      <c r="Z7" s="20">
        <f>'TE BE'!$Z$7*'TE BF'!$Z$51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09"/>
      <c r="B8" s="22" t="s">
        <v>91</v>
      </c>
      <c r="C8" s="22" t="s">
        <v>25</v>
      </c>
      <c r="D8" s="22" t="s">
        <v>25</v>
      </c>
      <c r="E8" s="22" t="s">
        <v>86</v>
      </c>
      <c r="F8" s="22" t="s">
        <v>25</v>
      </c>
      <c r="G8" s="23" t="s">
        <v>87</v>
      </c>
      <c r="H8" s="23" t="s">
        <v>82</v>
      </c>
      <c r="I8" s="23">
        <f>'MERCADO TE'!$U$5</f>
        <v>13846.997000000001</v>
      </c>
      <c r="J8" s="15"/>
      <c r="L8" s="20">
        <f>'TE BE'!$L$8*'TE BF'!$L$51</f>
        <v>0</v>
      </c>
      <c r="M8" s="20">
        <f>'TE BE'!$M$8*'TE BF'!$M$51</f>
        <v>0</v>
      </c>
      <c r="N8" s="20">
        <f>'TE BE'!$N$8*'TE BF'!$N$51</f>
        <v>0</v>
      </c>
      <c r="O8" s="20">
        <f>'TE BE'!$O$8*'TE BF'!$O$51</f>
        <v>0</v>
      </c>
      <c r="P8" s="20">
        <f>'TE BE'!$P$8*'TE BF'!$P$51</f>
        <v>0</v>
      </c>
      <c r="Q8" s="20">
        <f>SUM($L$8:$P$8)</f>
        <v>0</v>
      </c>
      <c r="R8" s="20">
        <f>'TE BE'!$R$8*'TE BF'!$R$51</f>
        <v>0</v>
      </c>
      <c r="S8" s="20">
        <f>SUM($R$8:$R$8)</f>
        <v>0</v>
      </c>
      <c r="T8" s="20">
        <f>'TE BE'!$T$8*'TE BF'!$T$51</f>
        <v>0</v>
      </c>
      <c r="U8" s="20">
        <f>'TE BE'!$U$8*'TE BF'!$U$51</f>
        <v>0</v>
      </c>
      <c r="V8" s="20">
        <f>'TE BE'!$V$8*'TE BF'!$V$51</f>
        <v>0</v>
      </c>
      <c r="W8" s="20">
        <f>SUM($T$8:$V$8)</f>
        <v>0</v>
      </c>
      <c r="X8" s="20">
        <v>0</v>
      </c>
      <c r="Y8" s="20">
        <f>SUM($X$8:$X$8)</f>
        <v>0</v>
      </c>
      <c r="Z8" s="20">
        <f>'TE BE'!$Z$8*'TE BF'!$Z$51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09"/>
      <c r="B9" s="22" t="s">
        <v>85</v>
      </c>
      <c r="C9" s="22" t="s">
        <v>25</v>
      </c>
      <c r="D9" s="22" t="s">
        <v>25</v>
      </c>
      <c r="E9" s="22" t="s">
        <v>25</v>
      </c>
      <c r="F9" s="22" t="s">
        <v>25</v>
      </c>
      <c r="G9" s="23" t="s">
        <v>87</v>
      </c>
      <c r="H9" s="23" t="s">
        <v>82</v>
      </c>
      <c r="I9" s="23">
        <f>'MERCADO TE'!$U$6</f>
        <v>0</v>
      </c>
      <c r="J9" s="15"/>
      <c r="L9" s="20">
        <f>'TE BE'!$L$9*'TE BF'!$L$51</f>
        <v>0</v>
      </c>
      <c r="M9" s="20">
        <f>'TE BE'!$M$9*'TE BF'!$M$51</f>
        <v>0</v>
      </c>
      <c r="N9" s="20">
        <f>'TE BE'!$N$9*'TE BF'!$N$51</f>
        <v>0</v>
      </c>
      <c r="O9" s="20">
        <f>'TE BE'!$O$9*'TE BF'!$O$51</f>
        <v>0</v>
      </c>
      <c r="P9" s="20">
        <f>'TE BE'!$P$9*'TE BF'!$P$51</f>
        <v>0</v>
      </c>
      <c r="Q9" s="20">
        <f>SUM($L$9:$P$9)</f>
        <v>0</v>
      </c>
      <c r="R9" s="20">
        <f>'TE BE'!$R$9*'TE BF'!$R$51</f>
        <v>0</v>
      </c>
      <c r="S9" s="20">
        <f>SUM($R$9:$R$9)</f>
        <v>0</v>
      </c>
      <c r="T9" s="20">
        <f>'TE BE'!$T$9*'TE BF'!$T$51</f>
        <v>0</v>
      </c>
      <c r="U9" s="20">
        <f>'TE BE'!$U$9*'TE BF'!$U$51</f>
        <v>0</v>
      </c>
      <c r="V9" s="20">
        <f>'TE BE'!$V$9*'TE BF'!$V$51</f>
        <v>0</v>
      </c>
      <c r="W9" s="20">
        <f>SUM($T$9:$V$9)</f>
        <v>0</v>
      </c>
      <c r="X9" s="20">
        <v>0</v>
      </c>
      <c r="Y9" s="20">
        <f>SUM($X$9:$X$9)</f>
        <v>0</v>
      </c>
      <c r="Z9" s="20">
        <f>'TE BE'!$Z$9*'TE BF'!$Z$51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09" t="s">
        <v>22</v>
      </c>
      <c r="B10" s="109" t="s">
        <v>81</v>
      </c>
      <c r="C10" s="109" t="s">
        <v>24</v>
      </c>
      <c r="D10" s="109" t="s">
        <v>24</v>
      </c>
      <c r="E10" s="109" t="s">
        <v>25</v>
      </c>
      <c r="F10" s="109" t="s">
        <v>25</v>
      </c>
      <c r="G10" s="23" t="s">
        <v>83</v>
      </c>
      <c r="H10" s="23" t="s">
        <v>82</v>
      </c>
      <c r="I10" s="23">
        <f>'MERCADO TE'!$U$7</f>
        <v>0</v>
      </c>
      <c r="J10" s="15"/>
      <c r="L10" s="20">
        <f>'TE BE'!$L$10*'TE BF'!$L$51</f>
        <v>0</v>
      </c>
      <c r="M10" s="20">
        <f>'TE BE'!$M$10*'TE BF'!$M$51</f>
        <v>0</v>
      </c>
      <c r="N10" s="20">
        <f>'TE BE'!$N$10*'TE BF'!$N$51</f>
        <v>0</v>
      </c>
      <c r="O10" s="20">
        <f>'TE BE'!$O$10*'TE BF'!$O$51</f>
        <v>0</v>
      </c>
      <c r="P10" s="20">
        <f>'TE BE'!$P$10*'TE BF'!$P$51</f>
        <v>0</v>
      </c>
      <c r="Q10" s="20">
        <f>SUM($L$10:$P$10)</f>
        <v>0</v>
      </c>
      <c r="R10" s="20">
        <f>'TE BE'!$R$10*'TE BF'!$R$51</f>
        <v>0</v>
      </c>
      <c r="S10" s="20">
        <f>SUM($R$10:$R$10)</f>
        <v>0</v>
      </c>
      <c r="T10" s="20">
        <f>'TE BE'!$T$10*'TE BF'!$T$51</f>
        <v>0</v>
      </c>
      <c r="U10" s="20">
        <f>'TE BE'!$U$10*'TE BF'!$U$51</f>
        <v>0</v>
      </c>
      <c r="V10" s="20">
        <f>'TE BE'!$V$10*'TE BF'!$V$51</f>
        <v>0</v>
      </c>
      <c r="W10" s="20">
        <f>SUM($T$10:$V$10)</f>
        <v>0</v>
      </c>
      <c r="X10" s="20">
        <f>'TE BE'!$AB$10*'TE BF'!$X$51</f>
        <v>0</v>
      </c>
      <c r="Y10" s="20">
        <f>SUM($X$10:$X$10)</f>
        <v>0</v>
      </c>
      <c r="Z10" s="20">
        <f>'TE BE'!$Z$10*'TE BF'!$Z$51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09"/>
      <c r="B11" s="109"/>
      <c r="C11" s="109"/>
      <c r="D11" s="109"/>
      <c r="E11" s="109"/>
      <c r="F11" s="109"/>
      <c r="G11" s="23" t="s">
        <v>95</v>
      </c>
      <c r="H11" s="23" t="s">
        <v>82</v>
      </c>
      <c r="I11" s="23">
        <f>'MERCADO TE'!$U$8</f>
        <v>0</v>
      </c>
      <c r="J11" s="15"/>
      <c r="L11" s="20">
        <f>'TE BE'!$L$11*'TE BF'!$L$51</f>
        <v>0</v>
      </c>
      <c r="M11" s="20">
        <f>'TE BE'!$M$11*'TE BF'!$M$51</f>
        <v>0</v>
      </c>
      <c r="N11" s="20">
        <f>'TE BE'!$N$11*'TE BF'!$N$51</f>
        <v>0</v>
      </c>
      <c r="O11" s="20">
        <f>'TE BE'!$O$11*'TE BF'!$O$51</f>
        <v>0</v>
      </c>
      <c r="P11" s="20">
        <f>'TE BE'!$P$11*'TE BF'!$P$51</f>
        <v>0</v>
      </c>
      <c r="Q11" s="20">
        <f>SUM($L$11:$P$11)</f>
        <v>0</v>
      </c>
      <c r="R11" s="20">
        <f>'TE BE'!$R$11*'TE BF'!$R$51</f>
        <v>0</v>
      </c>
      <c r="S11" s="20">
        <f>SUM($R$11:$R$11)</f>
        <v>0</v>
      </c>
      <c r="T11" s="20">
        <f>'TE BE'!$T$11*'TE BF'!$T$51</f>
        <v>0</v>
      </c>
      <c r="U11" s="20">
        <f>'TE BE'!$U$11*'TE BF'!$U$51</f>
        <v>0</v>
      </c>
      <c r="V11" s="20">
        <f>'TE BE'!$V$11*'TE BF'!$V$51</f>
        <v>0</v>
      </c>
      <c r="W11" s="20">
        <f>SUM($T$11:$V$11)</f>
        <v>0</v>
      </c>
      <c r="X11" s="20">
        <f>'TE BE'!$AB$11*'TE BF'!$X$51</f>
        <v>0</v>
      </c>
      <c r="Y11" s="20">
        <f>SUM($X$11:$X$11)</f>
        <v>0</v>
      </c>
      <c r="Z11" s="20">
        <f>'TE BE'!$Z$11*'TE BF'!$Z$51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09"/>
      <c r="B12" s="109"/>
      <c r="C12" s="109"/>
      <c r="D12" s="109"/>
      <c r="E12" s="109"/>
      <c r="F12" s="109"/>
      <c r="G12" s="23" t="s">
        <v>84</v>
      </c>
      <c r="H12" s="23" t="s">
        <v>82</v>
      </c>
      <c r="I12" s="23">
        <f>'MERCADO TE'!$U$9</f>
        <v>0</v>
      </c>
      <c r="J12" s="15"/>
      <c r="L12" s="20">
        <f>'TE BE'!$L$12*'TE BF'!$L$51</f>
        <v>0</v>
      </c>
      <c r="M12" s="20">
        <f>'TE BE'!$M$12*'TE BF'!$M$51</f>
        <v>0</v>
      </c>
      <c r="N12" s="20">
        <f>'TE BE'!$N$12*'TE BF'!$N$51</f>
        <v>0</v>
      </c>
      <c r="O12" s="20">
        <f>'TE BE'!$O$12*'TE BF'!$O$51</f>
        <v>0</v>
      </c>
      <c r="P12" s="20">
        <f>'TE BE'!$P$12*'TE BF'!$P$51</f>
        <v>0</v>
      </c>
      <c r="Q12" s="20">
        <f>SUM($L$12:$P$12)</f>
        <v>0</v>
      </c>
      <c r="R12" s="20">
        <f>'TE BE'!$R$12*'TE BF'!$R$51</f>
        <v>0</v>
      </c>
      <c r="S12" s="20">
        <f>SUM($R$12:$R$12)</f>
        <v>0</v>
      </c>
      <c r="T12" s="20">
        <f>'TE BE'!$T$12*'TE BF'!$T$51</f>
        <v>0</v>
      </c>
      <c r="U12" s="20">
        <f>'TE BE'!$U$12*'TE BF'!$U$51</f>
        <v>0</v>
      </c>
      <c r="V12" s="20">
        <f>'TE BE'!$V$12*'TE BF'!$V$51</f>
        <v>0</v>
      </c>
      <c r="W12" s="20">
        <f>SUM($T$12:$V$12)</f>
        <v>0</v>
      </c>
      <c r="X12" s="20">
        <f>'TE BE'!$AB$12*'TE BF'!$X$51</f>
        <v>0</v>
      </c>
      <c r="Y12" s="20">
        <f>SUM($X$12:$X$12)</f>
        <v>0</v>
      </c>
      <c r="Z12" s="20">
        <f>'TE BE'!$Z$12*'TE BF'!$Z$51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09"/>
      <c r="B13" s="109" t="s">
        <v>96</v>
      </c>
      <c r="C13" s="109" t="s">
        <v>24</v>
      </c>
      <c r="D13" s="22" t="s">
        <v>24</v>
      </c>
      <c r="E13" s="22" t="s">
        <v>25</v>
      </c>
      <c r="F13" s="22" t="s">
        <v>25</v>
      </c>
      <c r="G13" s="23" t="s">
        <v>87</v>
      </c>
      <c r="H13" s="23" t="s">
        <v>82</v>
      </c>
      <c r="I13" s="23">
        <f>'MERCADO TE'!$U$10</f>
        <v>33611.357000000004</v>
      </c>
      <c r="J13" s="15"/>
      <c r="L13" s="20">
        <f>'TE BE'!$L$13*'TE BF'!$L$51</f>
        <v>0</v>
      </c>
      <c r="M13" s="20">
        <f>'TE BE'!$M$13*'TE BF'!$M$51</f>
        <v>0</v>
      </c>
      <c r="N13" s="20">
        <f>'TE BE'!$N$13*'TE BF'!$N$51</f>
        <v>0</v>
      </c>
      <c r="O13" s="20">
        <f>'TE BE'!$O$13*'TE BF'!$O$51</f>
        <v>0</v>
      </c>
      <c r="P13" s="20">
        <f>'TE BE'!$P$13*'TE BF'!$P$51</f>
        <v>0</v>
      </c>
      <c r="Q13" s="20">
        <f>SUM($L$13:$P$13)</f>
        <v>0</v>
      </c>
      <c r="R13" s="20">
        <f>'TE BE'!$R$13*'TE BF'!$R$51</f>
        <v>0</v>
      </c>
      <c r="S13" s="20">
        <f>SUM($R$13:$R$13)</f>
        <v>0</v>
      </c>
      <c r="T13" s="20">
        <f>'TE BE'!$T$13*'TE BF'!$T$51</f>
        <v>0</v>
      </c>
      <c r="U13" s="20">
        <f>'TE BE'!$U$13*'TE BF'!$U$51</f>
        <v>0</v>
      </c>
      <c r="V13" s="20">
        <f>'TE BE'!$V$13*'TE BF'!$V$51</f>
        <v>0</v>
      </c>
      <c r="W13" s="20">
        <f>SUM($T$13:$V$13)</f>
        <v>0</v>
      </c>
      <c r="X13" s="20">
        <f>'TE BE'!$AB$13*'TE BF'!$X$51</f>
        <v>0</v>
      </c>
      <c r="Y13" s="20">
        <f>SUM($X$13:$X$13)</f>
        <v>0</v>
      </c>
      <c r="Z13" s="20">
        <f>'TE BE'!$Z$13*'TE BF'!$Z$51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09"/>
      <c r="B14" s="109"/>
      <c r="C14" s="109"/>
      <c r="D14" s="22" t="s">
        <v>29</v>
      </c>
      <c r="E14" s="22" t="s">
        <v>25</v>
      </c>
      <c r="F14" s="22" t="s">
        <v>25</v>
      </c>
      <c r="G14" s="23" t="s">
        <v>87</v>
      </c>
      <c r="H14" s="23" t="s">
        <v>82</v>
      </c>
      <c r="I14" s="23">
        <f>'MERCADO TE'!$U$11</f>
        <v>174.63</v>
      </c>
      <c r="J14" s="15"/>
      <c r="L14" s="20">
        <f>'TE BE'!$L$14*'TE BF'!$L$51</f>
        <v>0</v>
      </c>
      <c r="M14" s="20">
        <f>'TE BE'!$M$14*'TE BF'!$M$51</f>
        <v>0</v>
      </c>
      <c r="N14" s="20">
        <f>'TE BE'!$N$14*'TE BF'!$N$51</f>
        <v>0</v>
      </c>
      <c r="O14" s="20">
        <f>'TE BE'!$O$14*'TE BF'!$O$51</f>
        <v>0</v>
      </c>
      <c r="P14" s="20">
        <f>'TE BE'!$P$14*'TE BF'!$P$51</f>
        <v>0</v>
      </c>
      <c r="Q14" s="20">
        <f>SUM($L$14:$P$14)</f>
        <v>0</v>
      </c>
      <c r="R14" s="20">
        <f>'TE BE'!$R$14*'TE BF'!$R$51</f>
        <v>0</v>
      </c>
      <c r="S14" s="20">
        <f>SUM($R$14:$R$14)</f>
        <v>0</v>
      </c>
      <c r="T14" s="20">
        <f>'TE BE'!$T$14*'TE BF'!$T$51</f>
        <v>0</v>
      </c>
      <c r="U14" s="20">
        <f>'TE BE'!$U$14*'TE BF'!$U$51</f>
        <v>0</v>
      </c>
      <c r="V14" s="20">
        <f>'TE BE'!$V$14*'TE BF'!$V$51</f>
        <v>0</v>
      </c>
      <c r="W14" s="20">
        <f>SUM($T$14:$V$14)</f>
        <v>0</v>
      </c>
      <c r="X14" s="20">
        <f>'TE BE'!$AB$14*'TE BF'!$X$51</f>
        <v>0</v>
      </c>
      <c r="Y14" s="20">
        <f>SUM($X$14:$X$14)</f>
        <v>0</v>
      </c>
      <c r="Z14" s="20">
        <f>'TE BE'!$Z$14*'TE BF'!$Z$51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09"/>
      <c r="B15" s="109"/>
      <c r="C15" s="109"/>
      <c r="D15" s="22" t="s">
        <v>30</v>
      </c>
      <c r="E15" s="22" t="s">
        <v>25</v>
      </c>
      <c r="F15" s="22" t="s">
        <v>25</v>
      </c>
      <c r="G15" s="23" t="s">
        <v>87</v>
      </c>
      <c r="H15" s="23" t="s">
        <v>82</v>
      </c>
      <c r="I15" s="23">
        <f>'MERCADO TE'!$U$12</f>
        <v>381.96100000000001</v>
      </c>
      <c r="J15" s="15"/>
      <c r="L15" s="20">
        <f>'TE BE'!$L$15*'TE BF'!$L$51</f>
        <v>0</v>
      </c>
      <c r="M15" s="20">
        <f>'TE BE'!$M$15*'TE BF'!$M$51</f>
        <v>0</v>
      </c>
      <c r="N15" s="20">
        <f>'TE BE'!$N$15*'TE BF'!$N$51</f>
        <v>0</v>
      </c>
      <c r="O15" s="20">
        <f>'TE BE'!$O$15*'TE BF'!$O$51</f>
        <v>0</v>
      </c>
      <c r="P15" s="20">
        <f>'TE BE'!$P$15*'TE BF'!$P$51</f>
        <v>0</v>
      </c>
      <c r="Q15" s="20">
        <f>SUM($L$15:$P$15)</f>
        <v>0</v>
      </c>
      <c r="R15" s="20">
        <f>'TE BE'!$R$15*'TE BF'!$R$51</f>
        <v>0</v>
      </c>
      <c r="S15" s="20">
        <f>SUM($R$15:$R$15)</f>
        <v>0</v>
      </c>
      <c r="T15" s="20">
        <f>'TE BE'!$T$15*'TE BF'!$T$51</f>
        <v>0</v>
      </c>
      <c r="U15" s="20">
        <f>'TE BE'!$U$15*'TE BF'!$U$51</f>
        <v>0</v>
      </c>
      <c r="V15" s="20">
        <f>'TE BE'!$V$15*'TE BF'!$V$51</f>
        <v>0</v>
      </c>
      <c r="W15" s="20">
        <f>SUM($T$15:$V$15)</f>
        <v>0</v>
      </c>
      <c r="X15" s="20">
        <f>'TE BE'!$AB$15*'TE BF'!$X$51</f>
        <v>0</v>
      </c>
      <c r="Y15" s="20">
        <f>SUM($X$15:$X$15)</f>
        <v>0</v>
      </c>
      <c r="Z15" s="20">
        <f>'TE BE'!$Z$15*'TE BF'!$Z$51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09"/>
      <c r="B16" s="109"/>
      <c r="C16" s="109"/>
      <c r="D16" s="22" t="s">
        <v>31</v>
      </c>
      <c r="E16" s="22" t="s">
        <v>25</v>
      </c>
      <c r="F16" s="22" t="s">
        <v>25</v>
      </c>
      <c r="G16" s="23" t="s">
        <v>87</v>
      </c>
      <c r="H16" s="23" t="s">
        <v>82</v>
      </c>
      <c r="I16" s="23">
        <f>'MERCADO TE'!$U$13</f>
        <v>465.60300000000001</v>
      </c>
      <c r="J16" s="15"/>
      <c r="L16" s="20">
        <f>'TE BE'!$L$16*'TE BF'!$L$51</f>
        <v>0</v>
      </c>
      <c r="M16" s="20">
        <f>'TE BE'!$M$16*'TE BF'!$M$51</f>
        <v>0</v>
      </c>
      <c r="N16" s="20">
        <f>'TE BE'!$N$16*'TE BF'!$N$51</f>
        <v>0</v>
      </c>
      <c r="O16" s="20">
        <f>'TE BE'!$O$16*'TE BF'!$O$51</f>
        <v>0</v>
      </c>
      <c r="P16" s="20">
        <f>'TE BE'!$P$16*'TE BF'!$P$51</f>
        <v>0</v>
      </c>
      <c r="Q16" s="20">
        <f>SUM($L$16:$P$16)</f>
        <v>0</v>
      </c>
      <c r="R16" s="20">
        <f>'TE BE'!$R$16*'TE BF'!$R$51</f>
        <v>0</v>
      </c>
      <c r="S16" s="20">
        <f>SUM($R$16:$R$16)</f>
        <v>0</v>
      </c>
      <c r="T16" s="20">
        <f>'TE BE'!$T$16*'TE BF'!$T$51</f>
        <v>0</v>
      </c>
      <c r="U16" s="20">
        <f>'TE BE'!$U$16*'TE BF'!$U$51</f>
        <v>0</v>
      </c>
      <c r="V16" s="20">
        <f>'TE BE'!$V$16*'TE BF'!$V$51</f>
        <v>0</v>
      </c>
      <c r="W16" s="20">
        <f>SUM($T$16:$V$16)</f>
        <v>0</v>
      </c>
      <c r="X16" s="20">
        <f>'TE BE'!$AB$16*'TE BF'!$X$51</f>
        <v>0</v>
      </c>
      <c r="Y16" s="20">
        <f>SUM($X$16:$X$16)</f>
        <v>0</v>
      </c>
      <c r="Z16" s="20">
        <f>'TE BE'!$Z$16*'TE BF'!$Z$51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09"/>
      <c r="B17" s="109"/>
      <c r="C17" s="109"/>
      <c r="D17" s="22" t="s">
        <v>32</v>
      </c>
      <c r="E17" s="22" t="s">
        <v>25</v>
      </c>
      <c r="F17" s="22" t="s">
        <v>25</v>
      </c>
      <c r="G17" s="23" t="s">
        <v>87</v>
      </c>
      <c r="H17" s="23" t="s">
        <v>82</v>
      </c>
      <c r="I17" s="23">
        <f>'MERCADO TE'!$U$14</f>
        <v>317.14700000000005</v>
      </c>
      <c r="J17" s="15"/>
      <c r="L17" s="20">
        <f>'TE BE'!$L$17*'TE BF'!$L$51</f>
        <v>0</v>
      </c>
      <c r="M17" s="20">
        <f>'TE BE'!$M$17*'TE BF'!$M$51</f>
        <v>0</v>
      </c>
      <c r="N17" s="20">
        <f>'TE BE'!$N$17*'TE BF'!$N$51</f>
        <v>0</v>
      </c>
      <c r="O17" s="20">
        <f>'TE BE'!$O$17*'TE BF'!$O$51</f>
        <v>0</v>
      </c>
      <c r="P17" s="20">
        <f>'TE BE'!$P$17*'TE BF'!$P$51</f>
        <v>0</v>
      </c>
      <c r="Q17" s="20">
        <f>SUM($L$17:$P$17)</f>
        <v>0</v>
      </c>
      <c r="R17" s="20">
        <f>'TE BE'!$R$17*'TE BF'!$R$51</f>
        <v>0</v>
      </c>
      <c r="S17" s="20">
        <f>SUM($R$17:$R$17)</f>
        <v>0</v>
      </c>
      <c r="T17" s="20">
        <f>'TE BE'!$T$17*'TE BF'!$T$51</f>
        <v>0</v>
      </c>
      <c r="U17" s="20">
        <f>'TE BE'!$U$17*'TE BF'!$U$51</f>
        <v>0</v>
      </c>
      <c r="V17" s="20">
        <f>'TE BE'!$V$17*'TE BF'!$V$51</f>
        <v>0</v>
      </c>
      <c r="W17" s="20">
        <f>SUM($T$17:$V$17)</f>
        <v>0</v>
      </c>
      <c r="X17" s="20">
        <f>'TE BE'!$AB$17*'TE BF'!$X$51</f>
        <v>0</v>
      </c>
      <c r="Y17" s="20">
        <f>SUM($X$17:$X$17)</f>
        <v>0</v>
      </c>
      <c r="Z17" s="20">
        <f>'TE BE'!$Z$17*'TE BF'!$Z$51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09"/>
      <c r="B18" s="109" t="s">
        <v>98</v>
      </c>
      <c r="C18" s="109" t="s">
        <v>24</v>
      </c>
      <c r="D18" s="22" t="s">
        <v>24</v>
      </c>
      <c r="E18" s="22" t="s">
        <v>25</v>
      </c>
      <c r="F18" s="22" t="s">
        <v>25</v>
      </c>
      <c r="G18" s="23" t="s">
        <v>87</v>
      </c>
      <c r="H18" s="23" t="s">
        <v>82</v>
      </c>
      <c r="I18" s="23">
        <f>'MERCADO TE'!$U$15</f>
        <v>0</v>
      </c>
      <c r="J18" s="15"/>
      <c r="L18" s="20">
        <f>'TE BE'!$L$18*'TE BF'!$L$51</f>
        <v>0</v>
      </c>
      <c r="M18" s="20">
        <f>'TE BE'!$M$18*'TE BF'!$M$51</f>
        <v>0</v>
      </c>
      <c r="N18" s="20">
        <f>'TE BE'!$N$18*'TE BF'!$N$51</f>
        <v>0</v>
      </c>
      <c r="O18" s="20">
        <f>'TE BE'!$O$18*'TE BF'!$O$51</f>
        <v>0</v>
      </c>
      <c r="P18" s="20">
        <f>'TE BE'!$P$18*'TE BF'!$P$51</f>
        <v>0</v>
      </c>
      <c r="Q18" s="20">
        <f>SUM($L$18:$P$18)</f>
        <v>0</v>
      </c>
      <c r="R18" s="20">
        <f>'TE BE'!$R$18*'TE BF'!$R$51</f>
        <v>0</v>
      </c>
      <c r="S18" s="20">
        <f>SUM($R$18:$R$18)</f>
        <v>0</v>
      </c>
      <c r="T18" s="20">
        <f>'TE BE'!$T$18*'TE BF'!$T$51</f>
        <v>0</v>
      </c>
      <c r="U18" s="20">
        <f>'TE BE'!$U$18*'TE BF'!$U$51</f>
        <v>0</v>
      </c>
      <c r="V18" s="20">
        <f>'TE BE'!$V$18*'TE BF'!$V$51</f>
        <v>0</v>
      </c>
      <c r="W18" s="20">
        <f>SUM($T$18:$V$18)</f>
        <v>0</v>
      </c>
      <c r="X18" s="20">
        <f>'TE BE'!$AB$18*'TE BF'!$X$51</f>
        <v>0</v>
      </c>
      <c r="Y18" s="20">
        <f>SUM($X$18:$X$18)</f>
        <v>0</v>
      </c>
      <c r="Z18" s="20">
        <f>'TE BE'!$Z$18*'TE BF'!$Z$51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09"/>
      <c r="B19" s="109"/>
      <c r="C19" s="109"/>
      <c r="D19" s="22" t="s">
        <v>29</v>
      </c>
      <c r="E19" s="22" t="s">
        <v>25</v>
      </c>
      <c r="F19" s="22" t="s">
        <v>25</v>
      </c>
      <c r="G19" s="23" t="s">
        <v>87</v>
      </c>
      <c r="H19" s="23" t="s">
        <v>82</v>
      </c>
      <c r="I19" s="23">
        <f>'MERCADO TE'!$U$16</f>
        <v>0</v>
      </c>
      <c r="J19" s="15"/>
      <c r="L19" s="20">
        <f>'TE BE'!$L$19*'TE BF'!$L$51</f>
        <v>0</v>
      </c>
      <c r="M19" s="20">
        <f>'TE BE'!$M$19*'TE BF'!$M$51</f>
        <v>0</v>
      </c>
      <c r="N19" s="20">
        <f>'TE BE'!$N$19*'TE BF'!$N$51</f>
        <v>0</v>
      </c>
      <c r="O19" s="20">
        <f>'TE BE'!$O$19*'TE BF'!$O$51</f>
        <v>0</v>
      </c>
      <c r="P19" s="20">
        <f>'TE BE'!$P$19*'TE BF'!$P$51</f>
        <v>0</v>
      </c>
      <c r="Q19" s="20">
        <f>SUM($L$19:$P$19)</f>
        <v>0</v>
      </c>
      <c r="R19" s="20">
        <f>'TE BE'!$R$19*'TE BF'!$R$51</f>
        <v>0</v>
      </c>
      <c r="S19" s="20">
        <f>SUM($R$19:$R$19)</f>
        <v>0</v>
      </c>
      <c r="T19" s="20">
        <f>'TE BE'!$T$19*'TE BF'!$T$51</f>
        <v>0</v>
      </c>
      <c r="U19" s="20">
        <f>'TE BE'!$U$19*'TE BF'!$U$51</f>
        <v>0</v>
      </c>
      <c r="V19" s="20">
        <f>'TE BE'!$V$19*'TE BF'!$V$51</f>
        <v>0</v>
      </c>
      <c r="W19" s="20">
        <f>SUM($T$19:$V$19)</f>
        <v>0</v>
      </c>
      <c r="X19" s="20">
        <f>'TE BE'!$AB$19*'TE BF'!$X$51</f>
        <v>0</v>
      </c>
      <c r="Y19" s="20">
        <f>SUM($X$19:$X$19)</f>
        <v>0</v>
      </c>
      <c r="Z19" s="20">
        <f>'TE BE'!$Z$19*'TE BF'!$Z$51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09"/>
      <c r="B20" s="109"/>
      <c r="C20" s="109"/>
      <c r="D20" s="22" t="s">
        <v>30</v>
      </c>
      <c r="E20" s="22" t="s">
        <v>25</v>
      </c>
      <c r="F20" s="22" t="s">
        <v>25</v>
      </c>
      <c r="G20" s="23" t="s">
        <v>87</v>
      </c>
      <c r="H20" s="23" t="s">
        <v>82</v>
      </c>
      <c r="I20" s="23">
        <f>'MERCADO TE'!$U$17</f>
        <v>0</v>
      </c>
      <c r="J20" s="15"/>
      <c r="L20" s="20">
        <f>'TE BE'!$L$20*'TE BF'!$L$51</f>
        <v>0</v>
      </c>
      <c r="M20" s="20">
        <f>'TE BE'!$M$20*'TE BF'!$M$51</f>
        <v>0</v>
      </c>
      <c r="N20" s="20">
        <f>'TE BE'!$N$20*'TE BF'!$N$51</f>
        <v>0</v>
      </c>
      <c r="O20" s="20">
        <f>'TE BE'!$O$20*'TE BF'!$O$51</f>
        <v>0</v>
      </c>
      <c r="P20" s="20">
        <f>'TE BE'!$P$20*'TE BF'!$P$51</f>
        <v>0</v>
      </c>
      <c r="Q20" s="20">
        <f>SUM($L$20:$P$20)</f>
        <v>0</v>
      </c>
      <c r="R20" s="20">
        <f>'TE BE'!$R$20*'TE BF'!$R$51</f>
        <v>0</v>
      </c>
      <c r="S20" s="20">
        <f>SUM($R$20:$R$20)</f>
        <v>0</v>
      </c>
      <c r="T20" s="20">
        <f>'TE BE'!$T$20*'TE BF'!$T$51</f>
        <v>0</v>
      </c>
      <c r="U20" s="20">
        <f>'TE BE'!$U$20*'TE BF'!$U$51</f>
        <v>0</v>
      </c>
      <c r="V20" s="20">
        <f>'TE BE'!$V$20*'TE BF'!$V$51</f>
        <v>0</v>
      </c>
      <c r="W20" s="20">
        <f>SUM($T$20:$V$20)</f>
        <v>0</v>
      </c>
      <c r="X20" s="20">
        <f>'TE BE'!$AB$20*'TE BF'!$X$51</f>
        <v>0</v>
      </c>
      <c r="Y20" s="20">
        <f>SUM($X$20:$X$20)</f>
        <v>0</v>
      </c>
      <c r="Z20" s="20">
        <f>'TE BE'!$Z$20*'TE BF'!$Z$51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09"/>
      <c r="B21" s="109"/>
      <c r="C21" s="109"/>
      <c r="D21" s="22" t="s">
        <v>31</v>
      </c>
      <c r="E21" s="22" t="s">
        <v>25</v>
      </c>
      <c r="F21" s="22" t="s">
        <v>25</v>
      </c>
      <c r="G21" s="23" t="s">
        <v>87</v>
      </c>
      <c r="H21" s="23" t="s">
        <v>82</v>
      </c>
      <c r="I21" s="23">
        <f>'MERCADO TE'!$U$18</f>
        <v>0</v>
      </c>
      <c r="J21" s="15"/>
      <c r="L21" s="20">
        <f>'TE BE'!$L$21*'TE BF'!$L$51</f>
        <v>0</v>
      </c>
      <c r="M21" s="20">
        <f>'TE BE'!$M$21*'TE BF'!$M$51</f>
        <v>0</v>
      </c>
      <c r="N21" s="20">
        <f>'TE BE'!$N$21*'TE BF'!$N$51</f>
        <v>0</v>
      </c>
      <c r="O21" s="20">
        <f>'TE BE'!$O$21*'TE BF'!$O$51</f>
        <v>0</v>
      </c>
      <c r="P21" s="20">
        <f>'TE BE'!$P$21*'TE BF'!$P$51</f>
        <v>0</v>
      </c>
      <c r="Q21" s="20">
        <f>SUM($L$21:$P$21)</f>
        <v>0</v>
      </c>
      <c r="R21" s="20">
        <f>'TE BE'!$R$21*'TE BF'!$R$51</f>
        <v>0</v>
      </c>
      <c r="S21" s="20">
        <f>SUM($R$21:$R$21)</f>
        <v>0</v>
      </c>
      <c r="T21" s="20">
        <f>'TE BE'!$T$21*'TE BF'!$T$51</f>
        <v>0</v>
      </c>
      <c r="U21" s="20">
        <f>'TE BE'!$U$21*'TE BF'!$U$51</f>
        <v>0</v>
      </c>
      <c r="V21" s="20">
        <f>'TE BE'!$V$21*'TE BF'!$V$51</f>
        <v>0</v>
      </c>
      <c r="W21" s="20">
        <f>SUM($T$21:$V$21)</f>
        <v>0</v>
      </c>
      <c r="X21" s="20">
        <f>'TE BE'!$AB$21*'TE BF'!$X$51</f>
        <v>0</v>
      </c>
      <c r="Y21" s="20">
        <f>SUM($X$21:$X$21)</f>
        <v>0</v>
      </c>
      <c r="Z21" s="20">
        <f>'TE BE'!$Z$21*'TE BF'!$Z$51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09"/>
      <c r="B22" s="109"/>
      <c r="C22" s="109"/>
      <c r="D22" s="22" t="s">
        <v>32</v>
      </c>
      <c r="E22" s="22" t="s">
        <v>25</v>
      </c>
      <c r="F22" s="22" t="s">
        <v>25</v>
      </c>
      <c r="G22" s="23" t="s">
        <v>87</v>
      </c>
      <c r="H22" s="23" t="s">
        <v>82</v>
      </c>
      <c r="I22" s="23">
        <f>'MERCADO TE'!$U$19</f>
        <v>0</v>
      </c>
      <c r="J22" s="15"/>
      <c r="L22" s="20">
        <f>'TE BE'!$L$22*'TE BF'!$L$51</f>
        <v>0</v>
      </c>
      <c r="M22" s="20">
        <f>'TE BE'!$M$22*'TE BF'!$M$51</f>
        <v>0</v>
      </c>
      <c r="N22" s="20">
        <f>'TE BE'!$N$22*'TE BF'!$N$51</f>
        <v>0</v>
      </c>
      <c r="O22" s="20">
        <f>'TE BE'!$O$22*'TE BF'!$O$51</f>
        <v>0</v>
      </c>
      <c r="P22" s="20">
        <f>'TE BE'!$P$22*'TE BF'!$P$51</f>
        <v>0</v>
      </c>
      <c r="Q22" s="20">
        <f>SUM($L$22:$P$22)</f>
        <v>0</v>
      </c>
      <c r="R22" s="20">
        <f>'TE BE'!$R$22*'TE BF'!$R$51</f>
        <v>0</v>
      </c>
      <c r="S22" s="20">
        <f>SUM($R$22:$R$22)</f>
        <v>0</v>
      </c>
      <c r="T22" s="20">
        <f>'TE BE'!$T$22*'TE BF'!$T$51</f>
        <v>0</v>
      </c>
      <c r="U22" s="20">
        <f>'TE BE'!$U$22*'TE BF'!$U$51</f>
        <v>0</v>
      </c>
      <c r="V22" s="20">
        <f>'TE BE'!$V$22*'TE BF'!$V$51</f>
        <v>0</v>
      </c>
      <c r="W22" s="20">
        <f>SUM($T$22:$V$22)</f>
        <v>0</v>
      </c>
      <c r="X22" s="20">
        <f>'TE BE'!$AB$22*'TE BF'!$X$51</f>
        <v>0</v>
      </c>
      <c r="Y22" s="20">
        <f>SUM($X$22:$X$22)</f>
        <v>0</v>
      </c>
      <c r="Z22" s="20">
        <f>'TE BE'!$Z$22*'TE BF'!$Z$51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09" t="s">
        <v>40</v>
      </c>
      <c r="B23" s="109" t="s">
        <v>81</v>
      </c>
      <c r="C23" s="109" t="s">
        <v>41</v>
      </c>
      <c r="D23" s="109" t="s">
        <v>25</v>
      </c>
      <c r="E23" s="109" t="s">
        <v>25</v>
      </c>
      <c r="F23" s="109" t="s">
        <v>25</v>
      </c>
      <c r="G23" s="23" t="s">
        <v>83</v>
      </c>
      <c r="H23" s="23" t="s">
        <v>82</v>
      </c>
      <c r="I23" s="23">
        <f>'MERCADO TE'!$U$20</f>
        <v>0</v>
      </c>
      <c r="J23" s="15"/>
      <c r="L23" s="20">
        <f>'TE BE'!$L$23*'TE BF'!$L$51</f>
        <v>0</v>
      </c>
      <c r="M23" s="20">
        <f>'TE BE'!$M$23*'TE BF'!$M$51</f>
        <v>0</v>
      </c>
      <c r="N23" s="20">
        <f>'TE BE'!$N$23*'TE BF'!$N$51</f>
        <v>0</v>
      </c>
      <c r="O23" s="20">
        <f>'TE BE'!$O$23*'TE BF'!$O$51</f>
        <v>0</v>
      </c>
      <c r="P23" s="20">
        <f>'TE BE'!$P$23*'TE BF'!$P$51</f>
        <v>0</v>
      </c>
      <c r="Q23" s="20">
        <f>SUM($L$23:$P$23)</f>
        <v>0</v>
      </c>
      <c r="R23" s="20">
        <f>'TE BE'!$R$23*'TE BF'!$R$51</f>
        <v>0</v>
      </c>
      <c r="S23" s="20">
        <f>SUM($R$23:$R$23)</f>
        <v>0</v>
      </c>
      <c r="T23" s="20">
        <f>'TE BE'!$T$23*'TE BF'!$T$51</f>
        <v>0</v>
      </c>
      <c r="U23" s="20">
        <f>'TE BE'!$U$23*'TE BF'!$U$51</f>
        <v>0</v>
      </c>
      <c r="V23" s="20">
        <f>'TE BE'!$V$23*'TE BF'!$V$51</f>
        <v>0</v>
      </c>
      <c r="W23" s="20">
        <f>SUM($T$23:$V$23)</f>
        <v>0</v>
      </c>
      <c r="X23" s="20">
        <f>'TE BE'!$AB$23*'TE BF'!$X$51</f>
        <v>0</v>
      </c>
      <c r="Y23" s="20">
        <f>SUM($X$23:$X$23)</f>
        <v>0</v>
      </c>
      <c r="Z23" s="20">
        <f>'TE BE'!$Z$23*'TE BF'!$Z$51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09"/>
      <c r="B24" s="109"/>
      <c r="C24" s="109"/>
      <c r="D24" s="109"/>
      <c r="E24" s="109"/>
      <c r="F24" s="109"/>
      <c r="G24" s="23" t="s">
        <v>95</v>
      </c>
      <c r="H24" s="23" t="s">
        <v>82</v>
      </c>
      <c r="I24" s="23">
        <f>'MERCADO TE'!$U$21</f>
        <v>0</v>
      </c>
      <c r="J24" s="15"/>
      <c r="L24" s="20">
        <f>'TE BE'!$L$24*'TE BF'!$L$51</f>
        <v>0</v>
      </c>
      <c r="M24" s="20">
        <f>'TE BE'!$M$24*'TE BF'!$M$51</f>
        <v>0</v>
      </c>
      <c r="N24" s="20">
        <f>'TE BE'!$N$24*'TE BF'!$N$51</f>
        <v>0</v>
      </c>
      <c r="O24" s="20">
        <f>'TE BE'!$O$24*'TE BF'!$O$51</f>
        <v>0</v>
      </c>
      <c r="P24" s="20">
        <f>'TE BE'!$P$24*'TE BF'!$P$51</f>
        <v>0</v>
      </c>
      <c r="Q24" s="20">
        <f>SUM($L$24:$P$24)</f>
        <v>0</v>
      </c>
      <c r="R24" s="20">
        <f>'TE BE'!$R$24*'TE BF'!$R$51</f>
        <v>0</v>
      </c>
      <c r="S24" s="20">
        <f>SUM($R$24:$R$24)</f>
        <v>0</v>
      </c>
      <c r="T24" s="20">
        <f>'TE BE'!$T$24*'TE BF'!$T$51</f>
        <v>0</v>
      </c>
      <c r="U24" s="20">
        <f>'TE BE'!$U$24*'TE BF'!$U$51</f>
        <v>0</v>
      </c>
      <c r="V24" s="20">
        <f>'TE BE'!$V$24*'TE BF'!$V$51</f>
        <v>0</v>
      </c>
      <c r="W24" s="20">
        <f>SUM($T$24:$V$24)</f>
        <v>0</v>
      </c>
      <c r="X24" s="20">
        <f>'TE BE'!$AB$24*'TE BF'!$X$51</f>
        <v>0</v>
      </c>
      <c r="Y24" s="20">
        <f>SUM($X$24:$X$24)</f>
        <v>0</v>
      </c>
      <c r="Z24" s="20">
        <f>'TE BE'!$Z$24*'TE BF'!$Z$51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09"/>
      <c r="B25" s="109"/>
      <c r="C25" s="109"/>
      <c r="D25" s="109"/>
      <c r="E25" s="109"/>
      <c r="F25" s="109"/>
      <c r="G25" s="23" t="s">
        <v>84</v>
      </c>
      <c r="H25" s="23" t="s">
        <v>82</v>
      </c>
      <c r="I25" s="23">
        <f>'MERCADO TE'!$U$22</f>
        <v>0</v>
      </c>
      <c r="J25" s="15"/>
      <c r="L25" s="20">
        <f>'TE BE'!$L$25*'TE BF'!$L$51</f>
        <v>0</v>
      </c>
      <c r="M25" s="20">
        <f>'TE BE'!$M$25*'TE BF'!$M$51</f>
        <v>0</v>
      </c>
      <c r="N25" s="20">
        <f>'TE BE'!$N$25*'TE BF'!$N$51</f>
        <v>0</v>
      </c>
      <c r="O25" s="20">
        <f>'TE BE'!$O$25*'TE BF'!$O$51</f>
        <v>0</v>
      </c>
      <c r="P25" s="20">
        <f>'TE BE'!$P$25*'TE BF'!$P$51</f>
        <v>0</v>
      </c>
      <c r="Q25" s="20">
        <f>SUM($L$25:$P$25)</f>
        <v>0</v>
      </c>
      <c r="R25" s="20">
        <f>'TE BE'!$R$25*'TE BF'!$R$51</f>
        <v>0</v>
      </c>
      <c r="S25" s="20">
        <f>SUM($R$25:$R$25)</f>
        <v>0</v>
      </c>
      <c r="T25" s="20">
        <f>'TE BE'!$T$25*'TE BF'!$T$51</f>
        <v>0</v>
      </c>
      <c r="U25" s="20">
        <f>'TE BE'!$U$25*'TE BF'!$U$51</f>
        <v>0</v>
      </c>
      <c r="V25" s="20">
        <f>'TE BE'!$V$25*'TE BF'!$V$51</f>
        <v>0</v>
      </c>
      <c r="W25" s="20">
        <f>SUM($T$25:$V$25)</f>
        <v>0</v>
      </c>
      <c r="X25" s="20">
        <f>'TE BE'!$AB$25*'TE BF'!$X$51</f>
        <v>0</v>
      </c>
      <c r="Y25" s="20">
        <f>SUM($X$25:$X$25)</f>
        <v>0</v>
      </c>
      <c r="Z25" s="20">
        <f>'TE BE'!$Z$25*'TE BF'!$Z$51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09"/>
      <c r="B26" s="22" t="s">
        <v>96</v>
      </c>
      <c r="C26" s="22" t="s">
        <v>41</v>
      </c>
      <c r="D26" s="22" t="s">
        <v>25</v>
      </c>
      <c r="E26" s="22" t="s">
        <v>25</v>
      </c>
      <c r="F26" s="22" t="s">
        <v>25</v>
      </c>
      <c r="G26" s="23" t="s">
        <v>87</v>
      </c>
      <c r="H26" s="23" t="s">
        <v>82</v>
      </c>
      <c r="I26" s="23">
        <f>'MERCADO TE'!$U$23</f>
        <v>28155.339999999997</v>
      </c>
      <c r="J26" s="15"/>
      <c r="L26" s="20">
        <f>'TE BE'!$L$26*'TE BF'!$L$51</f>
        <v>0</v>
      </c>
      <c r="M26" s="20">
        <f>'TE BE'!$M$26*'TE BF'!$M$51</f>
        <v>0</v>
      </c>
      <c r="N26" s="20">
        <f>'TE BE'!$N$26*'TE BF'!$N$51</f>
        <v>0</v>
      </c>
      <c r="O26" s="20">
        <f>'TE BE'!$O$26*'TE BF'!$O$51</f>
        <v>0</v>
      </c>
      <c r="P26" s="20">
        <f>'TE BE'!$P$26*'TE BF'!$P$51</f>
        <v>0</v>
      </c>
      <c r="Q26" s="20">
        <f>SUM($L$26:$P$26)</f>
        <v>0</v>
      </c>
      <c r="R26" s="20">
        <f>'TE BE'!$R$26*'TE BF'!$R$51</f>
        <v>0</v>
      </c>
      <c r="S26" s="20">
        <f>SUM($R$26:$R$26)</f>
        <v>0</v>
      </c>
      <c r="T26" s="20">
        <f>'TE BE'!$T$26*'TE BF'!$T$51</f>
        <v>0</v>
      </c>
      <c r="U26" s="20">
        <f>'TE BE'!$U$26*'TE BF'!$U$51</f>
        <v>0</v>
      </c>
      <c r="V26" s="20">
        <f>'TE BE'!$V$26*'TE BF'!$V$51</f>
        <v>0</v>
      </c>
      <c r="W26" s="20">
        <f>SUM($T$26:$V$26)</f>
        <v>0</v>
      </c>
      <c r="X26" s="20">
        <f>'TE BE'!$AB$26*'TE BF'!$X$51</f>
        <v>0</v>
      </c>
      <c r="Y26" s="20">
        <f>SUM($X$26:$X$26)</f>
        <v>0</v>
      </c>
      <c r="Z26" s="20">
        <f>'TE BE'!$Z$26*'TE BF'!$Z$51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09"/>
      <c r="B27" s="109" t="s">
        <v>81</v>
      </c>
      <c r="C27" s="109" t="s">
        <v>41</v>
      </c>
      <c r="D27" s="109" t="s">
        <v>100</v>
      </c>
      <c r="E27" s="109" t="s">
        <v>25</v>
      </c>
      <c r="F27" s="109" t="s">
        <v>25</v>
      </c>
      <c r="G27" s="23" t="s">
        <v>83</v>
      </c>
      <c r="H27" s="23" t="s">
        <v>82</v>
      </c>
      <c r="I27" s="23">
        <f>'MERCADO TE'!$U$24</f>
        <v>0</v>
      </c>
      <c r="J27" s="15"/>
      <c r="L27" s="20">
        <f>'TE BE'!$L$27*'TE BF'!$L$51</f>
        <v>0</v>
      </c>
      <c r="M27" s="20">
        <f>'TE BE'!$M$27*'TE BF'!$M$51</f>
        <v>0</v>
      </c>
      <c r="N27" s="20">
        <f>'TE BE'!$N$27*'TE BF'!$N$51</f>
        <v>0</v>
      </c>
      <c r="O27" s="20">
        <f>'TE BE'!$O$27*'TE BF'!$O$51</f>
        <v>0</v>
      </c>
      <c r="P27" s="20">
        <f>'TE BE'!$P$27*'TE BF'!$P$51</f>
        <v>0</v>
      </c>
      <c r="Q27" s="20">
        <f>SUM($L$27:$P$27)</f>
        <v>0</v>
      </c>
      <c r="R27" s="20">
        <f>'TE BE'!$R$27*'TE BF'!$R$51</f>
        <v>0</v>
      </c>
      <c r="S27" s="20">
        <f>SUM($R$27:$R$27)</f>
        <v>0</v>
      </c>
      <c r="T27" s="20">
        <f>'TE BE'!$T$27*'TE BF'!$T$51</f>
        <v>0</v>
      </c>
      <c r="U27" s="20">
        <f>'TE BE'!$U$27*'TE BF'!$U$51</f>
        <v>0</v>
      </c>
      <c r="V27" s="20">
        <f>'TE BE'!$V$27*'TE BF'!$V$51</f>
        <v>0</v>
      </c>
      <c r="W27" s="20">
        <f>SUM($T$27:$V$27)</f>
        <v>0</v>
      </c>
      <c r="X27" s="20">
        <f>'TE BE'!$AB$27*'TE BF'!$X$51</f>
        <v>0</v>
      </c>
      <c r="Y27" s="20">
        <f>SUM($X$27:$X$27)</f>
        <v>0</v>
      </c>
      <c r="Z27" s="20">
        <f>'TE BE'!$Z$27*'TE BF'!$Z$51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09"/>
      <c r="B28" s="109"/>
      <c r="C28" s="109"/>
      <c r="D28" s="109"/>
      <c r="E28" s="109"/>
      <c r="F28" s="109"/>
      <c r="G28" s="23" t="s">
        <v>95</v>
      </c>
      <c r="H28" s="23" t="s">
        <v>82</v>
      </c>
      <c r="I28" s="23">
        <f>'MERCADO TE'!$U$25</f>
        <v>0</v>
      </c>
      <c r="J28" s="15"/>
      <c r="L28" s="20">
        <f>'TE BE'!$L$28*'TE BF'!$L$51</f>
        <v>0</v>
      </c>
      <c r="M28" s="20">
        <f>'TE BE'!$M$28*'TE BF'!$M$51</f>
        <v>0</v>
      </c>
      <c r="N28" s="20">
        <f>'TE BE'!$N$28*'TE BF'!$N$51</f>
        <v>0</v>
      </c>
      <c r="O28" s="20">
        <f>'TE BE'!$O$28*'TE BF'!$O$51</f>
        <v>0</v>
      </c>
      <c r="P28" s="20">
        <f>'TE BE'!$P$28*'TE BF'!$P$51</f>
        <v>0</v>
      </c>
      <c r="Q28" s="20">
        <f>SUM($L$28:$P$28)</f>
        <v>0</v>
      </c>
      <c r="R28" s="20">
        <f>'TE BE'!$R$28*'TE BF'!$R$51</f>
        <v>0</v>
      </c>
      <c r="S28" s="20">
        <f>SUM($R$28:$R$28)</f>
        <v>0</v>
      </c>
      <c r="T28" s="20">
        <f>'TE BE'!$T$28*'TE BF'!$T$51</f>
        <v>0</v>
      </c>
      <c r="U28" s="20">
        <f>'TE BE'!$U$28*'TE BF'!$U$51</f>
        <v>0</v>
      </c>
      <c r="V28" s="20">
        <f>'TE BE'!$V$28*'TE BF'!$V$51</f>
        <v>0</v>
      </c>
      <c r="W28" s="20">
        <f>SUM($T$28:$V$28)</f>
        <v>0</v>
      </c>
      <c r="X28" s="20">
        <f>'TE BE'!$AB$28*'TE BF'!$X$51</f>
        <v>0</v>
      </c>
      <c r="Y28" s="20">
        <f>SUM($X$28:$X$28)</f>
        <v>0</v>
      </c>
      <c r="Z28" s="20">
        <f>'TE BE'!$Z$28*'TE BF'!$Z$51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09"/>
      <c r="B29" s="109"/>
      <c r="C29" s="109"/>
      <c r="D29" s="109"/>
      <c r="E29" s="109"/>
      <c r="F29" s="109"/>
      <c r="G29" s="23" t="s">
        <v>84</v>
      </c>
      <c r="H29" s="23" t="s">
        <v>82</v>
      </c>
      <c r="I29" s="23">
        <f>'MERCADO TE'!$U$26</f>
        <v>0</v>
      </c>
      <c r="J29" s="15"/>
      <c r="L29" s="20">
        <f>'TE BE'!$L$29*'TE BF'!$L$51</f>
        <v>0</v>
      </c>
      <c r="M29" s="20">
        <f>'TE BE'!$M$29*'TE BF'!$M$51</f>
        <v>0</v>
      </c>
      <c r="N29" s="20">
        <f>'TE BE'!$N$29*'TE BF'!$N$51</f>
        <v>0</v>
      </c>
      <c r="O29" s="20">
        <f>'TE BE'!$O$29*'TE BF'!$O$51</f>
        <v>0</v>
      </c>
      <c r="P29" s="20">
        <f>'TE BE'!$P$29*'TE BF'!$P$51</f>
        <v>0</v>
      </c>
      <c r="Q29" s="20">
        <f>SUM($L$29:$P$29)</f>
        <v>0</v>
      </c>
      <c r="R29" s="20">
        <f>'TE BE'!$R$29*'TE BF'!$R$51</f>
        <v>0</v>
      </c>
      <c r="S29" s="20">
        <f>SUM($R$29:$R$29)</f>
        <v>0</v>
      </c>
      <c r="T29" s="20">
        <f>'TE BE'!$T$29*'TE BF'!$T$51</f>
        <v>0</v>
      </c>
      <c r="U29" s="20">
        <f>'TE BE'!$U$29*'TE BF'!$U$51</f>
        <v>0</v>
      </c>
      <c r="V29" s="20">
        <f>'TE BE'!$V$29*'TE BF'!$V$51</f>
        <v>0</v>
      </c>
      <c r="W29" s="20">
        <f>SUM($T$29:$V$29)</f>
        <v>0</v>
      </c>
      <c r="X29" s="20">
        <f>'TE BE'!$AB$29*'TE BF'!$X$51</f>
        <v>0</v>
      </c>
      <c r="Y29" s="20">
        <f>SUM($X$29:$X$29)</f>
        <v>0</v>
      </c>
      <c r="Z29" s="20">
        <f>'TE BE'!$Z$29*'TE BF'!$Z$51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09"/>
      <c r="B30" s="22" t="s">
        <v>96</v>
      </c>
      <c r="C30" s="22" t="s">
        <v>41</v>
      </c>
      <c r="D30" s="22" t="s">
        <v>100</v>
      </c>
      <c r="E30" s="22" t="s">
        <v>25</v>
      </c>
      <c r="F30" s="22" t="s">
        <v>25</v>
      </c>
      <c r="G30" s="23" t="s">
        <v>87</v>
      </c>
      <c r="H30" s="23" t="s">
        <v>82</v>
      </c>
      <c r="I30" s="23">
        <f>'MERCADO TE'!$U$27</f>
        <v>0</v>
      </c>
      <c r="J30" s="15"/>
      <c r="L30" s="20">
        <f>'TE BE'!$L$30*'TE BF'!$L$51</f>
        <v>0</v>
      </c>
      <c r="M30" s="20">
        <f>'TE BE'!$M$30*'TE BF'!$M$51</f>
        <v>0</v>
      </c>
      <c r="N30" s="20">
        <f>'TE BE'!$N$30*'TE BF'!$N$51</f>
        <v>0</v>
      </c>
      <c r="O30" s="20">
        <f>'TE BE'!$O$30*'TE BF'!$O$51</f>
        <v>0</v>
      </c>
      <c r="P30" s="20">
        <f>'TE BE'!$P$30*'TE BF'!$P$51</f>
        <v>0</v>
      </c>
      <c r="Q30" s="20">
        <f>SUM($L$30:$P$30)</f>
        <v>0</v>
      </c>
      <c r="R30" s="20">
        <f>'TE BE'!$R$30*'TE BF'!$R$51</f>
        <v>0</v>
      </c>
      <c r="S30" s="20">
        <f>SUM($R$30:$R$30)</f>
        <v>0</v>
      </c>
      <c r="T30" s="20">
        <f>'TE BE'!$T$30*'TE BF'!$T$51</f>
        <v>0</v>
      </c>
      <c r="U30" s="20">
        <f>'TE BE'!$U$30*'TE BF'!$U$51</f>
        <v>0</v>
      </c>
      <c r="V30" s="20">
        <f>'TE BE'!$V$30*'TE BF'!$V$51</f>
        <v>0</v>
      </c>
      <c r="W30" s="20">
        <f>SUM($T$30:$V$30)</f>
        <v>0</v>
      </c>
      <c r="X30" s="20">
        <f>'TE BE'!$AB$30*'TE BF'!$X$51</f>
        <v>0</v>
      </c>
      <c r="Y30" s="20">
        <f>SUM($X$30:$X$30)</f>
        <v>0</v>
      </c>
      <c r="Z30" s="20">
        <f>'TE BE'!$Z$30*'TE BF'!$Z$51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09"/>
      <c r="B31" s="109" t="s">
        <v>81</v>
      </c>
      <c r="C31" s="109" t="s">
        <v>41</v>
      </c>
      <c r="D31" s="109" t="s">
        <v>101</v>
      </c>
      <c r="E31" s="109" t="s">
        <v>25</v>
      </c>
      <c r="F31" s="109" t="s">
        <v>25</v>
      </c>
      <c r="G31" s="23" t="s">
        <v>83</v>
      </c>
      <c r="H31" s="23" t="s">
        <v>82</v>
      </c>
      <c r="I31" s="23">
        <f>'MERCADO TE'!$U$28</f>
        <v>0</v>
      </c>
      <c r="J31" s="15"/>
      <c r="L31" s="20">
        <f>'TE BE'!$L$31*'TE BF'!$L$51</f>
        <v>0</v>
      </c>
      <c r="M31" s="20">
        <f>'TE BE'!$M$31*'TE BF'!$M$51</f>
        <v>0</v>
      </c>
      <c r="N31" s="20">
        <f>'TE BE'!$N$31*'TE BF'!$N$51</f>
        <v>0</v>
      </c>
      <c r="O31" s="20">
        <f>'TE BE'!$O$31*'TE BF'!$O$51</f>
        <v>0</v>
      </c>
      <c r="P31" s="20">
        <f>'TE BE'!$P$31*'TE BF'!$P$51</f>
        <v>0</v>
      </c>
      <c r="Q31" s="20">
        <f>SUM($L$31:$P$31)</f>
        <v>0</v>
      </c>
      <c r="R31" s="20">
        <f>'TE BE'!$R$31*'TE BF'!$R$51</f>
        <v>0</v>
      </c>
      <c r="S31" s="20">
        <f>SUM($R$31:$R$31)</f>
        <v>0</v>
      </c>
      <c r="T31" s="20">
        <f>'TE BE'!$T$31*'TE BF'!$T$51</f>
        <v>0</v>
      </c>
      <c r="U31" s="20">
        <f>'TE BE'!$U$31*'TE BF'!$U$51</f>
        <v>0</v>
      </c>
      <c r="V31" s="20">
        <f>'TE BE'!$V$31*'TE BF'!$V$51</f>
        <v>0</v>
      </c>
      <c r="W31" s="20">
        <f>SUM($T$31:$V$31)</f>
        <v>0</v>
      </c>
      <c r="X31" s="20">
        <f>'TE BE'!$AB$31*'TE BF'!$X$51</f>
        <v>0</v>
      </c>
      <c r="Y31" s="20">
        <f>SUM($X$31:$X$31)</f>
        <v>0</v>
      </c>
      <c r="Z31" s="20">
        <f>'TE BE'!$Z$31*'TE BF'!$Z$51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09"/>
      <c r="B32" s="109"/>
      <c r="C32" s="109"/>
      <c r="D32" s="109"/>
      <c r="E32" s="109"/>
      <c r="F32" s="109"/>
      <c r="G32" s="23" t="s">
        <v>95</v>
      </c>
      <c r="H32" s="23" t="s">
        <v>82</v>
      </c>
      <c r="I32" s="23">
        <f>'MERCADO TE'!$U$29</f>
        <v>0</v>
      </c>
      <c r="J32" s="15"/>
      <c r="L32" s="20">
        <f>'TE BE'!$L$32*'TE BF'!$L$51</f>
        <v>0</v>
      </c>
      <c r="M32" s="20">
        <f>'TE BE'!$M$32*'TE BF'!$M$51</f>
        <v>0</v>
      </c>
      <c r="N32" s="20">
        <f>'TE BE'!$N$32*'TE BF'!$N$51</f>
        <v>0</v>
      </c>
      <c r="O32" s="20">
        <f>'TE BE'!$O$32*'TE BF'!$O$51</f>
        <v>0</v>
      </c>
      <c r="P32" s="20">
        <f>'TE BE'!$P$32*'TE BF'!$P$51</f>
        <v>0</v>
      </c>
      <c r="Q32" s="20">
        <f>SUM($L$32:$P$32)</f>
        <v>0</v>
      </c>
      <c r="R32" s="20">
        <f>'TE BE'!$R$32*'TE BF'!$R$51</f>
        <v>0</v>
      </c>
      <c r="S32" s="20">
        <f>SUM($R$32:$R$32)</f>
        <v>0</v>
      </c>
      <c r="T32" s="20">
        <f>'TE BE'!$T$32*'TE BF'!$T$51</f>
        <v>0</v>
      </c>
      <c r="U32" s="20">
        <f>'TE BE'!$U$32*'TE BF'!$U$51</f>
        <v>0</v>
      </c>
      <c r="V32" s="20">
        <f>'TE BE'!$V$32*'TE BF'!$V$51</f>
        <v>0</v>
      </c>
      <c r="W32" s="20">
        <f>SUM($T$32:$V$32)</f>
        <v>0</v>
      </c>
      <c r="X32" s="20">
        <f>'TE BE'!$AB$32*'TE BF'!$X$51</f>
        <v>0</v>
      </c>
      <c r="Y32" s="20">
        <f>SUM($X$32:$X$32)</f>
        <v>0</v>
      </c>
      <c r="Z32" s="20">
        <f>'TE BE'!$Z$32*'TE BF'!$Z$51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09"/>
      <c r="B33" s="109"/>
      <c r="C33" s="109"/>
      <c r="D33" s="109"/>
      <c r="E33" s="109"/>
      <c r="F33" s="109"/>
      <c r="G33" s="23" t="s">
        <v>84</v>
      </c>
      <c r="H33" s="23" t="s">
        <v>82</v>
      </c>
      <c r="I33" s="23">
        <f>'MERCADO TE'!$U$30</f>
        <v>0</v>
      </c>
      <c r="J33" s="15"/>
      <c r="L33" s="20">
        <f>'TE BE'!$L$33*'TE BF'!$L$51</f>
        <v>0</v>
      </c>
      <c r="M33" s="20">
        <f>'TE BE'!$M$33*'TE BF'!$M$51</f>
        <v>0</v>
      </c>
      <c r="N33" s="20">
        <f>'TE BE'!$N$33*'TE BF'!$N$51</f>
        <v>0</v>
      </c>
      <c r="O33" s="20">
        <f>'TE BE'!$O$33*'TE BF'!$O$51</f>
        <v>0</v>
      </c>
      <c r="P33" s="20">
        <f>'TE BE'!$P$33*'TE BF'!$P$51</f>
        <v>0</v>
      </c>
      <c r="Q33" s="20">
        <f>SUM($L$33:$P$33)</f>
        <v>0</v>
      </c>
      <c r="R33" s="20">
        <f>'TE BE'!$R$33*'TE BF'!$R$51</f>
        <v>0</v>
      </c>
      <c r="S33" s="20">
        <f>SUM($R$33:$R$33)</f>
        <v>0</v>
      </c>
      <c r="T33" s="20">
        <f>'TE BE'!$T$33*'TE BF'!$T$51</f>
        <v>0</v>
      </c>
      <c r="U33" s="20">
        <f>'TE BE'!$U$33*'TE BF'!$U$51</f>
        <v>0</v>
      </c>
      <c r="V33" s="20">
        <f>'TE BE'!$V$33*'TE BF'!$V$51</f>
        <v>0</v>
      </c>
      <c r="W33" s="20">
        <f>SUM($T$33:$V$33)</f>
        <v>0</v>
      </c>
      <c r="X33" s="20">
        <f>'TE BE'!$AB$33*'TE BF'!$X$51</f>
        <v>0</v>
      </c>
      <c r="Y33" s="20">
        <f>SUM($X$33:$X$33)</f>
        <v>0</v>
      </c>
      <c r="Z33" s="20">
        <f>'TE BE'!$Z$33*'TE BF'!$Z$51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09"/>
      <c r="B34" s="22" t="s">
        <v>96</v>
      </c>
      <c r="C34" s="22" t="s">
        <v>41</v>
      </c>
      <c r="D34" s="22" t="s">
        <v>101</v>
      </c>
      <c r="E34" s="22" t="s">
        <v>25</v>
      </c>
      <c r="F34" s="22" t="s">
        <v>25</v>
      </c>
      <c r="G34" s="23" t="s">
        <v>87</v>
      </c>
      <c r="H34" s="23" t="s">
        <v>82</v>
      </c>
      <c r="I34" s="23">
        <f>'MERCADO TE'!$U$31</f>
        <v>0</v>
      </c>
      <c r="J34" s="15"/>
      <c r="L34" s="20">
        <f>'TE BE'!$L$34*'TE BF'!$L$51</f>
        <v>0</v>
      </c>
      <c r="M34" s="20">
        <f>'TE BE'!$M$34*'TE BF'!$M$51</f>
        <v>0</v>
      </c>
      <c r="N34" s="20">
        <f>'TE BE'!$N$34*'TE BF'!$N$51</f>
        <v>0</v>
      </c>
      <c r="O34" s="20">
        <f>'TE BE'!$O$34*'TE BF'!$O$51</f>
        <v>0</v>
      </c>
      <c r="P34" s="20">
        <f>'TE BE'!$P$34*'TE BF'!$P$51</f>
        <v>0</v>
      </c>
      <c r="Q34" s="20">
        <f>SUM($L$34:$P$34)</f>
        <v>0</v>
      </c>
      <c r="R34" s="20">
        <f>'TE BE'!$R$34*'TE BF'!$R$51</f>
        <v>0</v>
      </c>
      <c r="S34" s="20">
        <f>SUM($R$34:$R$34)</f>
        <v>0</v>
      </c>
      <c r="T34" s="20">
        <f>'TE BE'!$T$34*'TE BF'!$T$51</f>
        <v>0</v>
      </c>
      <c r="U34" s="20">
        <f>'TE BE'!$U$34*'TE BF'!$U$51</f>
        <v>0</v>
      </c>
      <c r="V34" s="20">
        <f>'TE BE'!$V$34*'TE BF'!$V$51</f>
        <v>0</v>
      </c>
      <c r="W34" s="20">
        <f>SUM($T$34:$V$34)</f>
        <v>0</v>
      </c>
      <c r="X34" s="20">
        <f>'TE BE'!$AB$34*'TE BF'!$X$51</f>
        <v>0</v>
      </c>
      <c r="Y34" s="20">
        <f>SUM($X$34:$X$34)</f>
        <v>0</v>
      </c>
      <c r="Z34" s="20">
        <f>'TE BE'!$Z$34*'TE BF'!$Z$51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09"/>
      <c r="B35" s="109" t="s">
        <v>98</v>
      </c>
      <c r="C35" s="109" t="s">
        <v>41</v>
      </c>
      <c r="D35" s="22" t="s">
        <v>25</v>
      </c>
      <c r="E35" s="22" t="s">
        <v>25</v>
      </c>
      <c r="F35" s="22" t="s">
        <v>25</v>
      </c>
      <c r="G35" s="23" t="s">
        <v>87</v>
      </c>
      <c r="H35" s="23" t="s">
        <v>82</v>
      </c>
      <c r="I35" s="23">
        <f>'MERCADO TE'!$U$32</f>
        <v>0</v>
      </c>
      <c r="J35" s="15"/>
      <c r="L35" s="20">
        <f>'TE BE'!$L$35*'TE BF'!$L$51</f>
        <v>0</v>
      </c>
      <c r="M35" s="20">
        <f>'TE BE'!$M$35*'TE BF'!$M$51</f>
        <v>0</v>
      </c>
      <c r="N35" s="20">
        <f>'TE BE'!$N$35*'TE BF'!$N$51</f>
        <v>0</v>
      </c>
      <c r="O35" s="20">
        <f>'TE BE'!$O$35*'TE BF'!$O$51</f>
        <v>0</v>
      </c>
      <c r="P35" s="20">
        <f>'TE BE'!$P$35*'TE BF'!$P$51</f>
        <v>0</v>
      </c>
      <c r="Q35" s="20">
        <f>SUM($L$35:$P$35)</f>
        <v>0</v>
      </c>
      <c r="R35" s="20">
        <f>'TE BE'!$R$35*'TE BF'!$R$51</f>
        <v>0</v>
      </c>
      <c r="S35" s="20">
        <f>SUM($R$35:$R$35)</f>
        <v>0</v>
      </c>
      <c r="T35" s="20">
        <f>'TE BE'!$T$35*'TE BF'!$T$51</f>
        <v>0</v>
      </c>
      <c r="U35" s="20">
        <f>'TE BE'!$U$35*'TE BF'!$U$51</f>
        <v>0</v>
      </c>
      <c r="V35" s="20">
        <f>'TE BE'!$V$35*'TE BF'!$V$51</f>
        <v>0</v>
      </c>
      <c r="W35" s="20">
        <f>SUM($T$35:$V$35)</f>
        <v>0</v>
      </c>
      <c r="X35" s="20">
        <f>'TE BE'!$AB$35*'TE BF'!$X$51</f>
        <v>0</v>
      </c>
      <c r="Y35" s="20">
        <f>SUM($X$35:$X$35)</f>
        <v>0</v>
      </c>
      <c r="Z35" s="20">
        <f>'TE BE'!$Z$35*'TE BF'!$Z$51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09"/>
      <c r="B36" s="109"/>
      <c r="C36" s="109"/>
      <c r="D36" s="22" t="s">
        <v>100</v>
      </c>
      <c r="E36" s="22" t="s">
        <v>25</v>
      </c>
      <c r="F36" s="22" t="s">
        <v>25</v>
      </c>
      <c r="G36" s="23" t="s">
        <v>87</v>
      </c>
      <c r="H36" s="23" t="s">
        <v>82</v>
      </c>
      <c r="I36" s="23">
        <f>'MERCADO TE'!$U$33</f>
        <v>0</v>
      </c>
      <c r="J36" s="15"/>
      <c r="L36" s="20">
        <f>'TE BE'!$L$36*'TE BF'!$L$51</f>
        <v>0</v>
      </c>
      <c r="M36" s="20">
        <f>'TE BE'!$M$36*'TE BF'!$M$51</f>
        <v>0</v>
      </c>
      <c r="N36" s="20">
        <f>'TE BE'!$N$36*'TE BF'!$N$51</f>
        <v>0</v>
      </c>
      <c r="O36" s="20">
        <f>'TE BE'!$O$36*'TE BF'!$O$51</f>
        <v>0</v>
      </c>
      <c r="P36" s="20">
        <f>'TE BE'!$P$36*'TE BF'!$P$51</f>
        <v>0</v>
      </c>
      <c r="Q36" s="20">
        <f>SUM($L$36:$P$36)</f>
        <v>0</v>
      </c>
      <c r="R36" s="20">
        <f>'TE BE'!$R$36*'TE BF'!$R$51</f>
        <v>0</v>
      </c>
      <c r="S36" s="20">
        <f>SUM($R$36:$R$36)</f>
        <v>0</v>
      </c>
      <c r="T36" s="20">
        <f>'TE BE'!$T$36*'TE BF'!$T$51</f>
        <v>0</v>
      </c>
      <c r="U36" s="20">
        <f>'TE BE'!$U$36*'TE BF'!$U$51</f>
        <v>0</v>
      </c>
      <c r="V36" s="20">
        <f>'TE BE'!$V$36*'TE BF'!$V$51</f>
        <v>0</v>
      </c>
      <c r="W36" s="20">
        <f>SUM($T$36:$V$36)</f>
        <v>0</v>
      </c>
      <c r="X36" s="20">
        <f>'TE BE'!$AB$36*'TE BF'!$X$51</f>
        <v>0</v>
      </c>
      <c r="Y36" s="20">
        <f>SUM($X$36:$X$36)</f>
        <v>0</v>
      </c>
      <c r="Z36" s="20">
        <f>'TE BE'!$Z$36*'TE BF'!$Z$51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09"/>
      <c r="B37" s="109"/>
      <c r="C37" s="109"/>
      <c r="D37" s="22" t="s">
        <v>101</v>
      </c>
      <c r="E37" s="22" t="s">
        <v>25</v>
      </c>
      <c r="F37" s="22" t="s">
        <v>25</v>
      </c>
      <c r="G37" s="23" t="s">
        <v>87</v>
      </c>
      <c r="H37" s="23" t="s">
        <v>82</v>
      </c>
      <c r="I37" s="23">
        <f>'MERCADO TE'!$U$34</f>
        <v>0</v>
      </c>
      <c r="J37" s="15"/>
      <c r="L37" s="20">
        <f>'TE BE'!$L$37*'TE BF'!$L$51</f>
        <v>0</v>
      </c>
      <c r="M37" s="20">
        <f>'TE BE'!$M$37*'TE BF'!$M$51</f>
        <v>0</v>
      </c>
      <c r="N37" s="20">
        <f>'TE BE'!$N$37*'TE BF'!$N$51</f>
        <v>0</v>
      </c>
      <c r="O37" s="20">
        <f>'TE BE'!$O$37*'TE BF'!$O$51</f>
        <v>0</v>
      </c>
      <c r="P37" s="20">
        <f>'TE BE'!$P$37*'TE BF'!$P$51</f>
        <v>0</v>
      </c>
      <c r="Q37" s="20">
        <f>SUM($L$37:$P$37)</f>
        <v>0</v>
      </c>
      <c r="R37" s="20">
        <f>'TE BE'!$R$37*'TE BF'!$R$51</f>
        <v>0</v>
      </c>
      <c r="S37" s="20">
        <f>SUM($R$37:$R$37)</f>
        <v>0</v>
      </c>
      <c r="T37" s="20">
        <f>'TE BE'!$T$37*'TE BF'!$T$51</f>
        <v>0</v>
      </c>
      <c r="U37" s="20">
        <f>'TE BE'!$U$37*'TE BF'!$U$51</f>
        <v>0</v>
      </c>
      <c r="V37" s="20">
        <f>'TE BE'!$V$37*'TE BF'!$V$51</f>
        <v>0</v>
      </c>
      <c r="W37" s="20">
        <f>SUM($T$37:$V$37)</f>
        <v>0</v>
      </c>
      <c r="X37" s="20">
        <f>'TE BE'!$AB$37*'TE BF'!$X$51</f>
        <v>0</v>
      </c>
      <c r="Y37" s="20">
        <f>SUM($X$37:$X$37)</f>
        <v>0</v>
      </c>
      <c r="Z37" s="20">
        <f>'TE BE'!$Z$37*'TE BF'!$Z$51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09" t="s">
        <v>33</v>
      </c>
      <c r="B38" s="109" t="s">
        <v>81</v>
      </c>
      <c r="C38" s="109" t="s">
        <v>25</v>
      </c>
      <c r="D38" s="109" t="s">
        <v>25</v>
      </c>
      <c r="E38" s="109" t="s">
        <v>25</v>
      </c>
      <c r="F38" s="109" t="s">
        <v>25</v>
      </c>
      <c r="G38" s="23" t="s">
        <v>83</v>
      </c>
      <c r="H38" s="23" t="s">
        <v>82</v>
      </c>
      <c r="I38" s="23">
        <f>'MERCADO TE'!$U$35</f>
        <v>0</v>
      </c>
      <c r="J38" s="15"/>
      <c r="L38" s="20">
        <f>'TE BE'!$L$38*'TE BF'!$L$51</f>
        <v>0</v>
      </c>
      <c r="M38" s="20">
        <f>'TE BE'!$M$38*'TE BF'!$M$51</f>
        <v>0</v>
      </c>
      <c r="N38" s="20">
        <f>'TE BE'!$N$38*'TE BF'!$N$51</f>
        <v>0</v>
      </c>
      <c r="O38" s="20">
        <f>'TE BE'!$O$38*'TE BF'!$O$51</f>
        <v>0</v>
      </c>
      <c r="P38" s="20">
        <f>'TE BE'!$P$38*'TE BF'!$P$51</f>
        <v>0</v>
      </c>
      <c r="Q38" s="20">
        <f>SUM($L$38:$P$38)</f>
        <v>0</v>
      </c>
      <c r="R38" s="20">
        <f>'TE BE'!$R$38*'TE BF'!$R$51</f>
        <v>0</v>
      </c>
      <c r="S38" s="20">
        <f>SUM($R$38:$R$38)</f>
        <v>0</v>
      </c>
      <c r="T38" s="20">
        <f>'TE BE'!$T$38*'TE BF'!$T$51</f>
        <v>0</v>
      </c>
      <c r="U38" s="20">
        <f>'TE BE'!$U$38*'TE BF'!$U$51</f>
        <v>0</v>
      </c>
      <c r="V38" s="20">
        <f>'TE BE'!$V$38*'TE BF'!$V$51</f>
        <v>0</v>
      </c>
      <c r="W38" s="20">
        <f>SUM($T$38:$V$38)</f>
        <v>0</v>
      </c>
      <c r="X38" s="20">
        <f>'TE BE'!$AB$38*'TE BF'!$X$51</f>
        <v>0</v>
      </c>
      <c r="Y38" s="20">
        <f>SUM($X$38:$X$38)</f>
        <v>0</v>
      </c>
      <c r="Z38" s="20">
        <f>'TE BE'!$Z$38*'TE BF'!$Z$51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09"/>
      <c r="B39" s="109"/>
      <c r="C39" s="109"/>
      <c r="D39" s="109"/>
      <c r="E39" s="109"/>
      <c r="F39" s="109"/>
      <c r="G39" s="23" t="s">
        <v>95</v>
      </c>
      <c r="H39" s="23" t="s">
        <v>82</v>
      </c>
      <c r="I39" s="23">
        <f>'MERCADO TE'!$U$36</f>
        <v>0</v>
      </c>
      <c r="J39" s="15"/>
      <c r="L39" s="20">
        <f>'TE BE'!$L$39*'TE BF'!$L$51</f>
        <v>0</v>
      </c>
      <c r="M39" s="20">
        <f>'TE BE'!$M$39*'TE BF'!$M$51</f>
        <v>0</v>
      </c>
      <c r="N39" s="20">
        <f>'TE BE'!$N$39*'TE BF'!$N$51</f>
        <v>0</v>
      </c>
      <c r="O39" s="20">
        <f>'TE BE'!$O$39*'TE BF'!$O$51</f>
        <v>0</v>
      </c>
      <c r="P39" s="20">
        <f>'TE BE'!$P$39*'TE BF'!$P$51</f>
        <v>0</v>
      </c>
      <c r="Q39" s="20">
        <f>SUM($L$39:$P$39)</f>
        <v>0</v>
      </c>
      <c r="R39" s="20">
        <f>'TE BE'!$R$39*'TE BF'!$R$51</f>
        <v>0</v>
      </c>
      <c r="S39" s="20">
        <f>SUM($R$39:$R$39)</f>
        <v>0</v>
      </c>
      <c r="T39" s="20">
        <f>'TE BE'!$T$39*'TE BF'!$T$51</f>
        <v>0</v>
      </c>
      <c r="U39" s="20">
        <f>'TE BE'!$U$39*'TE BF'!$U$51</f>
        <v>0</v>
      </c>
      <c r="V39" s="20">
        <f>'TE BE'!$V$39*'TE BF'!$V$51</f>
        <v>0</v>
      </c>
      <c r="W39" s="20">
        <f>SUM($T$39:$V$39)</f>
        <v>0</v>
      </c>
      <c r="X39" s="20">
        <f>'TE BE'!$AB$39*'TE BF'!$X$51</f>
        <v>0</v>
      </c>
      <c r="Y39" s="20">
        <f>SUM($X$39:$X$39)</f>
        <v>0</v>
      </c>
      <c r="Z39" s="20">
        <f>'TE BE'!$Z$39*'TE BF'!$Z$51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09"/>
      <c r="B40" s="109"/>
      <c r="C40" s="109"/>
      <c r="D40" s="109"/>
      <c r="E40" s="109"/>
      <c r="F40" s="109"/>
      <c r="G40" s="23" t="s">
        <v>84</v>
      </c>
      <c r="H40" s="23" t="s">
        <v>82</v>
      </c>
      <c r="I40" s="23">
        <f>'MERCADO TE'!$U$37</f>
        <v>0</v>
      </c>
      <c r="J40" s="15"/>
      <c r="L40" s="20">
        <f>'TE BE'!$L$40*'TE BF'!$L$51</f>
        <v>0</v>
      </c>
      <c r="M40" s="20">
        <f>'TE BE'!$M$40*'TE BF'!$M$51</f>
        <v>0</v>
      </c>
      <c r="N40" s="20">
        <f>'TE BE'!$N$40*'TE BF'!$N$51</f>
        <v>0</v>
      </c>
      <c r="O40" s="20">
        <f>'TE BE'!$O$40*'TE BF'!$O$51</f>
        <v>0</v>
      </c>
      <c r="P40" s="20">
        <f>'TE BE'!$P$40*'TE BF'!$P$51</f>
        <v>0</v>
      </c>
      <c r="Q40" s="20">
        <f>SUM($L$40:$P$40)</f>
        <v>0</v>
      </c>
      <c r="R40" s="20">
        <f>'TE BE'!$R$40*'TE BF'!$R$51</f>
        <v>0</v>
      </c>
      <c r="S40" s="20">
        <f>SUM($R$40:$R$40)</f>
        <v>0</v>
      </c>
      <c r="T40" s="20">
        <f>'TE BE'!$T$40*'TE BF'!$T$51</f>
        <v>0</v>
      </c>
      <c r="U40" s="20">
        <f>'TE BE'!$U$40*'TE BF'!$U$51</f>
        <v>0</v>
      </c>
      <c r="V40" s="20">
        <f>'TE BE'!$V$40*'TE BF'!$V$51</f>
        <v>0</v>
      </c>
      <c r="W40" s="20">
        <f>SUM($T$40:$V$40)</f>
        <v>0</v>
      </c>
      <c r="X40" s="20">
        <f>'TE BE'!$AB$40*'TE BF'!$X$51</f>
        <v>0</v>
      </c>
      <c r="Y40" s="20">
        <f>SUM($X$40:$X$40)</f>
        <v>0</v>
      </c>
      <c r="Z40" s="20">
        <f>'TE BE'!$Z$40*'TE BF'!$Z$51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09"/>
      <c r="B41" s="22" t="s">
        <v>96</v>
      </c>
      <c r="C41" s="22" t="s">
        <v>25</v>
      </c>
      <c r="D41" s="22" t="s">
        <v>25</v>
      </c>
      <c r="E41" s="22" t="s">
        <v>25</v>
      </c>
      <c r="F41" s="22" t="s">
        <v>25</v>
      </c>
      <c r="G41" s="23" t="s">
        <v>87</v>
      </c>
      <c r="H41" s="23" t="s">
        <v>82</v>
      </c>
      <c r="I41" s="23">
        <f>'MERCADO TE'!$U$38</f>
        <v>19569.288999999997</v>
      </c>
      <c r="J41" s="15"/>
      <c r="L41" s="20">
        <f>'TE BE'!$L$41*'TE BF'!$L$51</f>
        <v>0</v>
      </c>
      <c r="M41" s="20">
        <f>'TE BE'!$M$41*'TE BF'!$M$51</f>
        <v>0</v>
      </c>
      <c r="N41" s="20">
        <f>'TE BE'!$N$41*'TE BF'!$N$51</f>
        <v>0</v>
      </c>
      <c r="O41" s="20">
        <f>'TE BE'!$O$41*'TE BF'!$O$51</f>
        <v>0</v>
      </c>
      <c r="P41" s="20">
        <f>'TE BE'!$P$41*'TE BF'!$P$51</f>
        <v>0</v>
      </c>
      <c r="Q41" s="20">
        <f>SUM($L$41:$P$41)</f>
        <v>0</v>
      </c>
      <c r="R41" s="20">
        <f>'TE BE'!$R$41*'TE BF'!$R$51</f>
        <v>0</v>
      </c>
      <c r="S41" s="20">
        <f>SUM($R$41:$R$41)</f>
        <v>0</v>
      </c>
      <c r="T41" s="20">
        <f>'TE BE'!$T$41*'TE BF'!$T$51</f>
        <v>0</v>
      </c>
      <c r="U41" s="20">
        <f>'TE BE'!$U$41*'TE BF'!$U$51</f>
        <v>0</v>
      </c>
      <c r="V41" s="20">
        <f>'TE BE'!$V$41*'TE BF'!$V$51</f>
        <v>0</v>
      </c>
      <c r="W41" s="20">
        <f>SUM($T$41:$V$41)</f>
        <v>0</v>
      </c>
      <c r="X41" s="20">
        <f>'TE BE'!$AB$41*'TE BF'!$X$51</f>
        <v>0</v>
      </c>
      <c r="Y41" s="20">
        <f>SUM($X$41:$X$41)</f>
        <v>0</v>
      </c>
      <c r="Z41" s="20">
        <f>'TE BE'!$Z$41*'TE BF'!$Z$51</f>
        <v>0</v>
      </c>
      <c r="AA41" s="20">
        <f>SUM($Z$41:$Z$41)</f>
        <v>0</v>
      </c>
      <c r="AB41" s="20">
        <f>SUMIF($L$4:$AA$4,"SUBTOTAL",$L$41:$AA$41)</f>
        <v>0</v>
      </c>
    </row>
    <row r="42" spans="1:28" ht="11.25" customHeight="1" x14ac:dyDescent="0.25">
      <c r="A42" s="109"/>
      <c r="B42" s="22" t="s">
        <v>98</v>
      </c>
      <c r="C42" s="22" t="s">
        <v>25</v>
      </c>
      <c r="D42" s="22" t="s">
        <v>25</v>
      </c>
      <c r="E42" s="22" t="s">
        <v>25</v>
      </c>
      <c r="F42" s="22" t="s">
        <v>25</v>
      </c>
      <c r="G42" s="23" t="s">
        <v>87</v>
      </c>
      <c r="H42" s="23" t="s">
        <v>82</v>
      </c>
      <c r="I42" s="23">
        <f>'MERCADO TE'!$U$39</f>
        <v>0</v>
      </c>
      <c r="J42" s="15"/>
      <c r="L42" s="20">
        <f>'TE BE'!$L$42*'TE BF'!$L$51</f>
        <v>0</v>
      </c>
      <c r="M42" s="20">
        <f>'TE BE'!$M$42*'TE BF'!$M$51</f>
        <v>0</v>
      </c>
      <c r="N42" s="20">
        <f>'TE BE'!$N$42*'TE BF'!$N$51</f>
        <v>0</v>
      </c>
      <c r="O42" s="20">
        <f>'TE BE'!$O$42*'TE BF'!$O$51</f>
        <v>0</v>
      </c>
      <c r="P42" s="20">
        <f>'TE BE'!$P$42*'TE BF'!$P$51</f>
        <v>0</v>
      </c>
      <c r="Q42" s="20">
        <f>SUM($L$42:$P$42)</f>
        <v>0</v>
      </c>
      <c r="R42" s="20">
        <f>'TE BE'!$R$42*'TE BF'!$R$51</f>
        <v>0</v>
      </c>
      <c r="S42" s="20">
        <f>SUM($R$42:$R$42)</f>
        <v>0</v>
      </c>
      <c r="T42" s="20">
        <f>'TE BE'!$T$42*'TE BF'!$T$51</f>
        <v>0</v>
      </c>
      <c r="U42" s="20">
        <f>'TE BE'!$U$42*'TE BF'!$U$51</f>
        <v>0</v>
      </c>
      <c r="V42" s="20">
        <f>'TE BE'!$V$42*'TE BF'!$V$51</f>
        <v>0</v>
      </c>
      <c r="W42" s="20">
        <f>SUM($T$42:$V$42)</f>
        <v>0</v>
      </c>
      <c r="X42" s="20">
        <f>'TE BE'!$AB$42*'TE BF'!$X$51</f>
        <v>0</v>
      </c>
      <c r="Y42" s="20">
        <f>SUM($X$42:$X$42)</f>
        <v>0</v>
      </c>
      <c r="Z42" s="20">
        <f>'TE BE'!$Z$42*'TE BF'!$Z$51</f>
        <v>0</v>
      </c>
      <c r="AA42" s="20">
        <f>SUM($Z$42:$Z$42)</f>
        <v>0</v>
      </c>
      <c r="AB42" s="20">
        <f>SUMIF($L$4:$AA$4,"SUBTOTAL",$L$42:$AA$42)</f>
        <v>0</v>
      </c>
    </row>
    <row r="43" spans="1:28" ht="11.25" customHeight="1" x14ac:dyDescent="0.25">
      <c r="A43" s="109" t="s">
        <v>43</v>
      </c>
      <c r="B43" s="109" t="s">
        <v>96</v>
      </c>
      <c r="C43" s="109" t="s">
        <v>44</v>
      </c>
      <c r="D43" s="22" t="s">
        <v>45</v>
      </c>
      <c r="E43" s="22" t="s">
        <v>25</v>
      </c>
      <c r="F43" s="22" t="s">
        <v>25</v>
      </c>
      <c r="G43" s="23" t="s">
        <v>87</v>
      </c>
      <c r="H43" s="23" t="s">
        <v>82</v>
      </c>
      <c r="I43" s="23">
        <f>'MERCADO TE'!$U$40</f>
        <v>4547.4760000000006</v>
      </c>
      <c r="J43" s="15"/>
      <c r="L43" s="20">
        <f>'TE BE'!$L$43*'TE BF'!$L$51</f>
        <v>0</v>
      </c>
      <c r="M43" s="20">
        <f>'TE BE'!$M$43*'TE BF'!$M$51</f>
        <v>0</v>
      </c>
      <c r="N43" s="20">
        <f>'TE BE'!$N$43*'TE BF'!$N$51</f>
        <v>0</v>
      </c>
      <c r="O43" s="20">
        <f>'TE BE'!$O$43*'TE BF'!$O$51</f>
        <v>0</v>
      </c>
      <c r="P43" s="20">
        <f>'TE BE'!$P$43*'TE BF'!$P$51</f>
        <v>0</v>
      </c>
      <c r="Q43" s="20">
        <f>SUM($L$43:$P$43)</f>
        <v>0</v>
      </c>
      <c r="R43" s="20">
        <f>'TE BE'!$R$43*'TE BF'!$R$51</f>
        <v>0</v>
      </c>
      <c r="S43" s="20">
        <f>SUM($R$43:$R$43)</f>
        <v>0</v>
      </c>
      <c r="T43" s="20">
        <f>'TE BE'!$T$43*'TE BF'!$T$51</f>
        <v>0</v>
      </c>
      <c r="U43" s="20">
        <f>'TE BE'!$U$43*'TE BF'!$U$51</f>
        <v>0</v>
      </c>
      <c r="V43" s="20">
        <f>'TE BE'!$V$43*'TE BF'!$V$51</f>
        <v>0</v>
      </c>
      <c r="W43" s="20">
        <f>SUM($T$43:$V$43)</f>
        <v>0</v>
      </c>
      <c r="X43" s="20">
        <f>'TE BE'!$AB$43*'TE BF'!$X$51</f>
        <v>0</v>
      </c>
      <c r="Y43" s="20">
        <f>SUM($X$43:$X$43)</f>
        <v>0</v>
      </c>
      <c r="Z43" s="20">
        <f>'TE BE'!$Z$43*'TE BF'!$Z$51</f>
        <v>0</v>
      </c>
      <c r="AA43" s="20">
        <f>SUM($Z$43:$Z$43)</f>
        <v>0</v>
      </c>
      <c r="AB43" s="20">
        <f>SUMIF($L$4:$AA$4,"SUBTOTAL",$L$43:$AA$43)</f>
        <v>0</v>
      </c>
    </row>
    <row r="44" spans="1:28" ht="11.25" customHeight="1" x14ac:dyDescent="0.25">
      <c r="A44" s="109"/>
      <c r="B44" s="109"/>
      <c r="C44" s="109"/>
      <c r="D44" s="23" t="s">
        <v>102</v>
      </c>
      <c r="E44" s="23" t="s">
        <v>25</v>
      </c>
      <c r="F44" s="23" t="s">
        <v>25</v>
      </c>
      <c r="G44" s="23" t="s">
        <v>87</v>
      </c>
      <c r="H44" s="23" t="s">
        <v>82</v>
      </c>
      <c r="I44" s="23">
        <f>'MERCADO TE'!$U$41</f>
        <v>0</v>
      </c>
      <c r="J44" s="15"/>
      <c r="L44" s="20">
        <f>'TE BE'!$L$44*'TE BF'!$L$51</f>
        <v>0</v>
      </c>
      <c r="M44" s="20">
        <f>'TE BE'!$M$44*'TE BF'!$M$51</f>
        <v>0</v>
      </c>
      <c r="N44" s="20">
        <f>'TE BE'!$N$44*'TE BF'!$N$51</f>
        <v>0</v>
      </c>
      <c r="O44" s="20">
        <f>'TE BE'!$O$44*'TE BF'!$O$51</f>
        <v>0</v>
      </c>
      <c r="P44" s="20">
        <f>'TE BE'!$P$44*'TE BF'!$P$51</f>
        <v>0</v>
      </c>
      <c r="Q44" s="20">
        <f>SUM($L$44:$P$44)</f>
        <v>0</v>
      </c>
      <c r="R44" s="20">
        <f>'TE BE'!$R$44*'TE BF'!$R$51</f>
        <v>0</v>
      </c>
      <c r="S44" s="20">
        <f>SUM($R$44:$R$44)</f>
        <v>0</v>
      </c>
      <c r="T44" s="20">
        <f>'TE BE'!$T$44*'TE BF'!$T$51</f>
        <v>0</v>
      </c>
      <c r="U44" s="20">
        <f>'TE BE'!$U$44*'TE BF'!$U$51</f>
        <v>0</v>
      </c>
      <c r="V44" s="20">
        <f>'TE BE'!$V$44*'TE BF'!$V$51</f>
        <v>0</v>
      </c>
      <c r="W44" s="20">
        <f>SUM($T$44:$V$44)</f>
        <v>0</v>
      </c>
      <c r="X44" s="20">
        <f>'TE BE'!$AB$44*'TE BF'!$X$51</f>
        <v>0</v>
      </c>
      <c r="Y44" s="20">
        <f>SUM($X$44:$X$44)</f>
        <v>0</v>
      </c>
      <c r="Z44" s="20">
        <f>'TE BE'!$Z$44*'TE BF'!$Z$51</f>
        <v>0</v>
      </c>
      <c r="AA44" s="20">
        <f>SUM($Z$44:$Z$44)</f>
        <v>0</v>
      </c>
      <c r="AB44" s="20">
        <f>SUMIF($L$4:$AA$4,"SUBTOTAL",$L$44:$AA$44)</f>
        <v>0</v>
      </c>
    </row>
    <row r="46" spans="1:28" ht="11.25" customHeight="1" x14ac:dyDescent="0.25">
      <c r="K46" s="25" t="s">
        <v>587</v>
      </c>
      <c r="L46" s="20">
        <f t="shared" ref="L46:AB46" si="0">SUMPRODUCT($I$5:$I$44,L$5:L$44)</f>
        <v>0</v>
      </c>
      <c r="M46" s="20">
        <f t="shared" si="0"/>
        <v>0</v>
      </c>
      <c r="N46" s="20">
        <f t="shared" si="0"/>
        <v>0</v>
      </c>
      <c r="O46" s="20">
        <f t="shared" si="0"/>
        <v>0</v>
      </c>
      <c r="P46" s="20">
        <f t="shared" si="0"/>
        <v>0</v>
      </c>
      <c r="Q46" s="20">
        <f t="shared" si="0"/>
        <v>0</v>
      </c>
      <c r="R46" s="20">
        <f t="shared" si="0"/>
        <v>0</v>
      </c>
      <c r="S46" s="20">
        <f t="shared" si="0"/>
        <v>0</v>
      </c>
      <c r="T46" s="20">
        <f t="shared" si="0"/>
        <v>0</v>
      </c>
      <c r="U46" s="20">
        <f t="shared" si="0"/>
        <v>0</v>
      </c>
      <c r="V46" s="20">
        <f t="shared" si="0"/>
        <v>0</v>
      </c>
      <c r="W46" s="20">
        <f t="shared" si="0"/>
        <v>0</v>
      </c>
      <c r="X46" s="20">
        <f t="shared" si="0"/>
        <v>0</v>
      </c>
      <c r="Y46" s="20">
        <f t="shared" si="0"/>
        <v>0</v>
      </c>
      <c r="Z46" s="20">
        <f t="shared" si="0"/>
        <v>0</v>
      </c>
      <c r="AA46" s="20">
        <f t="shared" si="0"/>
        <v>0</v>
      </c>
      <c r="AB46" s="20">
        <f t="shared" si="0"/>
        <v>0</v>
      </c>
    </row>
    <row r="47" spans="1:28" ht="11.25" customHeight="1" x14ac:dyDescent="0.25">
      <c r="K47" s="25" t="s">
        <v>506</v>
      </c>
      <c r="L47" s="20">
        <f>CUSTOS!$D$30</f>
        <v>0</v>
      </c>
      <c r="M47" s="20">
        <f>CUSTOS!$D$31</f>
        <v>4000632.2600000002</v>
      </c>
      <c r="N47" s="20">
        <f>CUSTOS!$D$32</f>
        <v>0</v>
      </c>
      <c r="O47" s="20">
        <f>CUSTOS!$D$33</f>
        <v>0</v>
      </c>
      <c r="P47" s="20">
        <f>CUSTOS!$D$34</f>
        <v>-2394550.81</v>
      </c>
      <c r="Q47" s="20">
        <f>CUSTOS!$D$35</f>
        <v>1606081.4500000002</v>
      </c>
      <c r="R47" s="20">
        <f>CUSTOS!$D$36</f>
        <v>27767013.349883825</v>
      </c>
      <c r="S47" s="20">
        <f>CUSTOS!$D$37</f>
        <v>27767013.349883825</v>
      </c>
      <c r="T47" s="20">
        <f>CUSTOS!$D$38</f>
        <v>0</v>
      </c>
      <c r="U47" s="20">
        <f>CUSTOS!$D$39</f>
        <v>0</v>
      </c>
      <c r="V47" s="20">
        <f>CUSTOS!$D$40</f>
        <v>0</v>
      </c>
      <c r="W47" s="20">
        <f>CUSTOS!$D$41</f>
        <v>0</v>
      </c>
      <c r="X47" s="20">
        <f>CUSTOS!$D$42</f>
        <v>0</v>
      </c>
      <c r="Y47" s="20">
        <f>CUSTOS!$D$43</f>
        <v>0</v>
      </c>
      <c r="Z47" s="20">
        <f>CUSTOS!$D$44</f>
        <v>762114.76802333537</v>
      </c>
      <c r="AA47" s="20">
        <f>CUSTOS!$D$45</f>
        <v>762114.76802333537</v>
      </c>
      <c r="AB47" s="20">
        <f>CUSTOS!$D$46</f>
        <v>30135209.567907158</v>
      </c>
    </row>
    <row r="48" spans="1:28" ht="11.25" customHeight="1" x14ac:dyDescent="0.25">
      <c r="K48" s="25" t="s">
        <v>507</v>
      </c>
      <c r="L48" s="20">
        <f>CUSTOS!$E$30</f>
        <v>0</v>
      </c>
      <c r="M48" s="20">
        <f>CUSTOS!$E$31</f>
        <v>1430384.8026129566</v>
      </c>
      <c r="N48" s="20">
        <f>CUSTOS!$E$32</f>
        <v>0</v>
      </c>
      <c r="O48" s="20">
        <f>CUSTOS!$E$33</f>
        <v>0</v>
      </c>
      <c r="P48" s="20">
        <f>CUSTOS!$E$34</f>
        <v>0</v>
      </c>
      <c r="Q48" s="20">
        <f>CUSTOS!$E$35</f>
        <v>1430384.8026129566</v>
      </c>
      <c r="R48" s="20">
        <f>CUSTOS!$E$36</f>
        <v>-1924314.0596831457</v>
      </c>
      <c r="S48" s="20">
        <f>CUSTOS!$E$37</f>
        <v>-1924314.0596831457</v>
      </c>
      <c r="T48" s="20">
        <f>CUSTOS!$E$38</f>
        <v>0</v>
      </c>
      <c r="U48" s="20">
        <f>CUSTOS!$E$39</f>
        <v>0</v>
      </c>
      <c r="V48" s="20">
        <f>CUSTOS!$E$40</f>
        <v>0</v>
      </c>
      <c r="W48" s="20">
        <f>CUSTOS!$E$41</f>
        <v>0</v>
      </c>
      <c r="X48" s="20">
        <f>CUSTOS!$E$42</f>
        <v>0</v>
      </c>
      <c r="Y48" s="20">
        <f>CUSTOS!$E$43</f>
        <v>0</v>
      </c>
      <c r="Z48" s="20">
        <f>CUSTOS!$E$44</f>
        <v>-52816.201177992349</v>
      </c>
      <c r="AA48" s="20">
        <f>CUSTOS!$E$45</f>
        <v>-52816.201177992349</v>
      </c>
      <c r="AB48" s="20">
        <f>CUSTOS!$E$46</f>
        <v>-546745.4582481815</v>
      </c>
    </row>
    <row r="49" spans="11:28" ht="11.25" customHeight="1" x14ac:dyDescent="0.25">
      <c r="K49" s="25" t="s">
        <v>508</v>
      </c>
      <c r="L49" s="20">
        <f>CUSTOS!$F$30</f>
        <v>0</v>
      </c>
      <c r="M49" s="20">
        <f>CUSTOS!$F$31</f>
        <v>0</v>
      </c>
      <c r="N49" s="20">
        <f>CUSTOS!$F$32</f>
        <v>0</v>
      </c>
      <c r="O49" s="20">
        <f>CUSTOS!$F$33</f>
        <v>0</v>
      </c>
      <c r="P49" s="20">
        <f>CUSTOS!$F$34</f>
        <v>0</v>
      </c>
      <c r="Q49" s="20">
        <f>CUSTOS!$F$35</f>
        <v>0</v>
      </c>
      <c r="R49" s="20">
        <f>CUSTOS!$F$36</f>
        <v>0</v>
      </c>
      <c r="S49" s="20">
        <f>CUSTOS!$F$37</f>
        <v>0</v>
      </c>
      <c r="T49" s="20">
        <f>CUSTOS!$F$38</f>
        <v>0</v>
      </c>
      <c r="U49" s="20">
        <f>CUSTOS!$F$39</f>
        <v>0</v>
      </c>
      <c r="V49" s="20">
        <f>CUSTOS!$F$40</f>
        <v>0</v>
      </c>
      <c r="W49" s="20">
        <f>CUSTOS!$F$41</f>
        <v>0</v>
      </c>
      <c r="X49" s="20">
        <f>CUSTOS!$F$42</f>
        <v>0</v>
      </c>
      <c r="Y49" s="20">
        <f>CUSTOS!$F$43</f>
        <v>0</v>
      </c>
      <c r="Z49" s="20">
        <f>CUSTOS!$F$44</f>
        <v>0</v>
      </c>
      <c r="AA49" s="20">
        <f>CUSTOS!$F$45</f>
        <v>0</v>
      </c>
      <c r="AB49" s="20">
        <f>CUSTOS!$F$46</f>
        <v>0</v>
      </c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1:28" ht="11.25" customHeight="1" x14ac:dyDescent="0.25"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1:28" ht="11.25" customHeight="1" x14ac:dyDescent="0.25"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9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10:F12"/>
    <mergeCell ref="B13:B17"/>
    <mergeCell ref="C13:C17"/>
    <mergeCell ref="B18:B22"/>
    <mergeCell ref="C18:C22"/>
    <mergeCell ref="A10:A22"/>
    <mergeCell ref="B10:B12"/>
    <mergeCell ref="C10:C12"/>
    <mergeCell ref="D10:D12"/>
    <mergeCell ref="E10:E12"/>
    <mergeCell ref="D31:D33"/>
    <mergeCell ref="E31:E33"/>
    <mergeCell ref="F31:F33"/>
    <mergeCell ref="D23:D25"/>
    <mergeCell ref="E23:E25"/>
    <mergeCell ref="F23:F25"/>
    <mergeCell ref="D27:D29"/>
    <mergeCell ref="E27:E29"/>
    <mergeCell ref="F27:F29"/>
    <mergeCell ref="B35:B37"/>
    <mergeCell ref="C35:C37"/>
    <mergeCell ref="A38:A42"/>
    <mergeCell ref="B38:B40"/>
    <mergeCell ref="C38:C40"/>
    <mergeCell ref="A23:A37"/>
    <mergeCell ref="B23:B25"/>
    <mergeCell ref="C23:C25"/>
    <mergeCell ref="B31:B33"/>
    <mergeCell ref="C31:C33"/>
    <mergeCell ref="B27:B29"/>
    <mergeCell ref="C27:C29"/>
    <mergeCell ref="E38:E40"/>
    <mergeCell ref="F38:F40"/>
    <mergeCell ref="A43:A44"/>
    <mergeCell ref="B43:B44"/>
    <mergeCell ref="C43:C44"/>
    <mergeCell ref="D38:D40"/>
  </mergeCells>
  <conditionalFormatting sqref="L46">
    <cfRule type="cellIs" dxfId="792" priority="33" operator="notEqual">
      <formula>$L$49</formula>
    </cfRule>
    <cfRule type="cellIs" dxfId="791" priority="34" operator="equal">
      <formula>$L$49</formula>
    </cfRule>
  </conditionalFormatting>
  <conditionalFormatting sqref="M46">
    <cfRule type="cellIs" dxfId="790" priority="31" operator="notEqual">
      <formula>$M$49</formula>
    </cfRule>
    <cfRule type="cellIs" dxfId="789" priority="32" operator="equal">
      <formula>$M$49</formula>
    </cfRule>
  </conditionalFormatting>
  <conditionalFormatting sqref="N46">
    <cfRule type="cellIs" dxfId="788" priority="29" operator="notEqual">
      <formula>$N$49</formula>
    </cfRule>
    <cfRule type="cellIs" dxfId="787" priority="30" operator="equal">
      <formula>$N$49</formula>
    </cfRule>
  </conditionalFormatting>
  <conditionalFormatting sqref="O46">
    <cfRule type="cellIs" dxfId="786" priority="27" operator="notEqual">
      <formula>$O$49</formula>
    </cfRule>
    <cfRule type="cellIs" dxfId="785" priority="28" operator="equal">
      <formula>$O$49</formula>
    </cfRule>
  </conditionalFormatting>
  <conditionalFormatting sqref="P46">
    <cfRule type="cellIs" dxfId="784" priority="25" operator="notEqual">
      <formula>$P$49</formula>
    </cfRule>
    <cfRule type="cellIs" dxfId="783" priority="26" operator="equal">
      <formula>$P$49</formula>
    </cfRule>
  </conditionalFormatting>
  <conditionalFormatting sqref="Q46">
    <cfRule type="cellIs" dxfId="782" priority="23" operator="notEqual">
      <formula>$Q$49</formula>
    </cfRule>
    <cfRule type="cellIs" dxfId="781" priority="24" operator="equal">
      <formula>$Q$49</formula>
    </cfRule>
  </conditionalFormatting>
  <conditionalFormatting sqref="R46">
    <cfRule type="cellIs" dxfId="780" priority="21" operator="notEqual">
      <formula>$R$49</formula>
    </cfRule>
    <cfRule type="cellIs" dxfId="779" priority="22" operator="equal">
      <formula>$R$49</formula>
    </cfRule>
  </conditionalFormatting>
  <conditionalFormatting sqref="S46">
    <cfRule type="cellIs" dxfId="778" priority="19" operator="notEqual">
      <formula>$S$49</formula>
    </cfRule>
    <cfRule type="cellIs" dxfId="777" priority="20" operator="equal">
      <formula>$S$49</formula>
    </cfRule>
  </conditionalFormatting>
  <conditionalFormatting sqref="T46">
    <cfRule type="cellIs" dxfId="776" priority="17" operator="notEqual">
      <formula>$T$49</formula>
    </cfRule>
    <cfRule type="cellIs" dxfId="775" priority="18" operator="equal">
      <formula>$T$49</formula>
    </cfRule>
  </conditionalFormatting>
  <conditionalFormatting sqref="U46">
    <cfRule type="cellIs" dxfId="774" priority="15" operator="notEqual">
      <formula>$U$49</formula>
    </cfRule>
    <cfRule type="cellIs" dxfId="773" priority="16" operator="equal">
      <formula>$U$49</formula>
    </cfRule>
  </conditionalFormatting>
  <conditionalFormatting sqref="V46">
    <cfRule type="cellIs" dxfId="772" priority="13" operator="notEqual">
      <formula>$V$49</formula>
    </cfRule>
    <cfRule type="cellIs" dxfId="771" priority="14" operator="equal">
      <formula>$V$49</formula>
    </cfRule>
  </conditionalFormatting>
  <conditionalFormatting sqref="W46">
    <cfRule type="cellIs" dxfId="770" priority="11" operator="notEqual">
      <formula>$W$49</formula>
    </cfRule>
    <cfRule type="cellIs" dxfId="769" priority="12" operator="equal">
      <formula>$W$49</formula>
    </cfRule>
  </conditionalFormatting>
  <conditionalFormatting sqref="X46">
    <cfRule type="cellIs" dxfId="768" priority="9" operator="notEqual">
      <formula>$X$49</formula>
    </cfRule>
    <cfRule type="cellIs" dxfId="767" priority="10" operator="equal">
      <formula>$X$49</formula>
    </cfRule>
  </conditionalFormatting>
  <conditionalFormatting sqref="Y46">
    <cfRule type="cellIs" dxfId="766" priority="7" operator="notEqual">
      <formula>$Y$49</formula>
    </cfRule>
    <cfRule type="cellIs" dxfId="765" priority="8" operator="equal">
      <formula>$Y$49</formula>
    </cfRule>
  </conditionalFormatting>
  <conditionalFormatting sqref="Z46">
    <cfRule type="cellIs" dxfId="764" priority="5" operator="notEqual">
      <formula>$Z$49</formula>
    </cfRule>
    <cfRule type="cellIs" dxfId="763" priority="6" operator="equal">
      <formula>$Z$49</formula>
    </cfRule>
  </conditionalFormatting>
  <conditionalFormatting sqref="AA46">
    <cfRule type="cellIs" dxfId="762" priority="3" operator="notEqual">
      <formula>$AA$49</formula>
    </cfRule>
    <cfRule type="cellIs" dxfId="761" priority="4" operator="equal">
      <formula>$AA$49</formula>
    </cfRule>
  </conditionalFormatting>
  <conditionalFormatting sqref="AB46">
    <cfRule type="cellIs" dxfId="760" priority="1" operator="notEqual">
      <formula>$AB$49</formula>
    </cfRule>
    <cfRule type="cellIs" dxfId="759" priority="2" operator="equal">
      <formula>$AB$49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144-BFB9-461A-ACCB-A2BC6A00FD81}">
  <sheetPr codeName="Planilha16"/>
  <dimension ref="A1:AV644"/>
  <sheetViews>
    <sheetView showGridLines="0" tabSelected="1" topLeftCell="AH1" workbookViewId="0">
      <selection activeCell="AS34" sqref="AS34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3" style="3" bestFit="1" customWidth="1"/>
    <col min="8" max="8" width="10.28515625" style="3" bestFit="1" customWidth="1"/>
    <col min="9" max="9" width="12.140625" style="6" bestFit="1" customWidth="1"/>
    <col min="10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I1" s="35" t="s">
        <v>72</v>
      </c>
      <c r="AJ1" s="35" t="s">
        <v>639</v>
      </c>
      <c r="AK1" s="35" t="s">
        <v>640</v>
      </c>
      <c r="AL1" s="35" t="s">
        <v>641</v>
      </c>
      <c r="AN1" s="35" t="s">
        <v>72</v>
      </c>
      <c r="AO1" s="35" t="s">
        <v>642</v>
      </c>
      <c r="AP1" s="35" t="s">
        <v>643</v>
      </c>
      <c r="AQ1" s="35" t="s">
        <v>641</v>
      </c>
      <c r="AS1" s="35" t="s">
        <v>72</v>
      </c>
      <c r="AT1" s="35" t="s">
        <v>644</v>
      </c>
      <c r="AU1" s="35" t="s">
        <v>645</v>
      </c>
      <c r="AV1" s="35" t="s">
        <v>641</v>
      </c>
    </row>
    <row r="2" spans="1:48" ht="11.25" customHeight="1" x14ac:dyDescent="0.25">
      <c r="A2" s="3" t="s">
        <v>21</v>
      </c>
      <c r="B2" s="3" t="s">
        <v>35</v>
      </c>
      <c r="C2" s="3" t="s">
        <v>48</v>
      </c>
      <c r="D2" s="3" t="s">
        <v>46</v>
      </c>
      <c r="E2" s="3" t="s">
        <v>47</v>
      </c>
      <c r="F2" s="3" t="s">
        <v>25</v>
      </c>
      <c r="G2" s="3" t="s">
        <v>25</v>
      </c>
      <c r="H2" s="3" t="s">
        <v>38</v>
      </c>
      <c r="I2" s="6">
        <v>44440</v>
      </c>
      <c r="J2" s="4">
        <v>119</v>
      </c>
      <c r="K2" s="53">
        <v>119</v>
      </c>
      <c r="L2" s="4">
        <v>67.009</v>
      </c>
      <c r="M2" s="54">
        <v>67.009</v>
      </c>
      <c r="N2" s="4">
        <v>67.009</v>
      </c>
      <c r="O2" s="54">
        <v>67.009</v>
      </c>
      <c r="P2" s="4">
        <v>0</v>
      </c>
      <c r="Q2" s="3" t="s">
        <v>26</v>
      </c>
      <c r="R2" s="3">
        <v>0</v>
      </c>
      <c r="S2" s="4">
        <v>11</v>
      </c>
      <c r="T2" s="4">
        <v>14</v>
      </c>
      <c r="U2" s="4">
        <v>69</v>
      </c>
      <c r="V2" s="54">
        <f>IF(ISERROR(VLOOKUP($S$2,'TAR FIN'!$A$1:$O$91,15,0)),0,VLOOKUP($S$2,'TAR FIN'!$A$1:$O$91,15,0))*(1-0.06)</f>
        <v>17.060999999999996</v>
      </c>
      <c r="W2" s="54">
        <f>IF(ISERROR(VLOOKUP($T$2,'TAR FIN'!$A$1:$O$91,15,0)),0,VLOOKUP($T$2,'TAR FIN'!$A$1:$O$91,15,0))*(1-0.06)</f>
        <v>66.871600000000001</v>
      </c>
      <c r="X2" s="54">
        <f>IF(ISERROR(VLOOKUP($U$2,'TAR FIN'!$A$1:$O$91,15,0)),0,VLOOKUP($U$2,'TAR FIN'!$A$1:$O$91,15,0))*(1-0.06)</f>
        <v>234.29499999999999</v>
      </c>
      <c r="Y2" s="54">
        <f ca="1">('TUSD BE'!$AM$6+'TUSD BF'!$AM$6+'TUSD CVA'!$AM$6)*1*(1-0.03)</f>
        <v>20.639983826307745</v>
      </c>
      <c r="Z2" s="54">
        <f ca="1">('TUSD BE'!$AM$7+'TUSD BF'!$AM$7+'TUSD CVA'!$AM$7)*1*(1-0.03)</f>
        <v>99.799749520056594</v>
      </c>
      <c r="AA2" s="54">
        <f>('TE BE'!$AB$6+'TE BF'!$AB$6+'TE CVA'!$AB$6)*1*(1-0.03)</f>
        <v>197.28126009827187</v>
      </c>
      <c r="AB2" s="4">
        <f>$K$2*$V$2</f>
        <v>2030.2589999999996</v>
      </c>
      <c r="AC2" s="4">
        <f>$M$2*$W$2</f>
        <v>4480.9990444000005</v>
      </c>
      <c r="AD2" s="4">
        <f>$O$2*$X$2</f>
        <v>15699.873654999999</v>
      </c>
      <c r="AE2" s="4">
        <f ca="1">$K$2*$Y$2</f>
        <v>2456.1580753306216</v>
      </c>
      <c r="AF2" s="4">
        <f ca="1">$M$2*$Z$2</f>
        <v>6687.4814155894719</v>
      </c>
      <c r="AG2" s="4">
        <f>$O$2*$AA$2</f>
        <v>13219.619957925101</v>
      </c>
      <c r="AI2" s="36" t="s">
        <v>35</v>
      </c>
      <c r="AJ2" s="37">
        <f>SUMIF($B$2:$B$644,AI2,$AB$2:$AB$644)+SUMIF($B$2:$B$644,AI2,$AC$2:$AC$644)</f>
        <v>13279246.429759806</v>
      </c>
      <c r="AK2" s="37">
        <f ca="1">SUMIF($B$2:$B$644,AI2,$AE$2:$AE$644)+SUMIF($B$2:$B$644,AI2,$AF$2:$AF$644)</f>
        <v>16453779.786243193</v>
      </c>
      <c r="AL2" s="38">
        <f t="shared" ref="AL2:AL9" ca="1" si="0">IF(AJ2&lt;&gt;0,AK2/AJ2-1,0)</f>
        <v>0.23905975186732098</v>
      </c>
      <c r="AN2" s="36" t="s">
        <v>35</v>
      </c>
      <c r="AO2" s="37">
        <f>SUMIF($B$2:$B$644,AN2,$AD$2:$AD$644)</f>
        <v>15003230.166219996</v>
      </c>
      <c r="AP2" s="37">
        <f>SUMIF($B$2:$B$644,AN2,$AG$2:$AG$644)</f>
        <v>12257549.034077564</v>
      </c>
      <c r="AQ2" s="38">
        <f t="shared" ref="AQ2:AQ9" si="1">IF(AO2&lt;&gt;0,AP2/AO2-1,0)</f>
        <v>-0.1830059994896549</v>
      </c>
      <c r="AS2" s="36" t="s">
        <v>35</v>
      </c>
      <c r="AT2" s="37">
        <f>SUMIF($B$2:$B$644,AS2,$AB$2:$AB$644)+SUMIF($B$2:$B$644,AS2,$AC$2:$AC$644)+SUMIF($B$2:$B$644,AS2,$AD$2:$AD$644)</f>
        <v>28282476.595979802</v>
      </c>
      <c r="AU2" s="37">
        <f ca="1">SUMIF($B$2:$B$644,AS2,$AE$2:$AE$644)+SUMIF($B$2:$B$644,AS2,$AF$2:$AF$644)+SUMIF($B$2:$B$644,AS2,$AG$2:$AG$644)</f>
        <v>28711328.820320755</v>
      </c>
      <c r="AV2" s="38">
        <f t="shared" ref="AV2:AV9" ca="1" si="2">IF(AT2&lt;&gt;0,AU2/AT2-1,0)</f>
        <v>1.5163177909317538E-2</v>
      </c>
    </row>
    <row r="3" spans="1:48" ht="11.25" customHeight="1" x14ac:dyDescent="0.25">
      <c r="A3" s="3" t="s">
        <v>21</v>
      </c>
      <c r="B3" s="3" t="s">
        <v>35</v>
      </c>
      <c r="C3" s="3" t="s">
        <v>48</v>
      </c>
      <c r="D3" s="3" t="s">
        <v>46</v>
      </c>
      <c r="E3" s="3" t="s">
        <v>47</v>
      </c>
      <c r="F3" s="3" t="s">
        <v>25</v>
      </c>
      <c r="G3" s="3" t="s">
        <v>25</v>
      </c>
      <c r="H3" s="3" t="s">
        <v>38</v>
      </c>
      <c r="I3" s="6">
        <v>44470</v>
      </c>
      <c r="J3" s="4">
        <v>119</v>
      </c>
      <c r="K3" s="53">
        <v>119</v>
      </c>
      <c r="L3" s="4">
        <v>67.436000000000007</v>
      </c>
      <c r="M3" s="54">
        <v>67.436000000000007</v>
      </c>
      <c r="N3" s="4">
        <v>67.436000000000007</v>
      </c>
      <c r="O3" s="54">
        <v>67.436000000000007</v>
      </c>
      <c r="P3" s="4">
        <v>0</v>
      </c>
      <c r="Q3" s="3" t="s">
        <v>26</v>
      </c>
      <c r="R3" s="3">
        <v>0</v>
      </c>
      <c r="S3" s="4">
        <v>11</v>
      </c>
      <c r="T3" s="4">
        <v>14</v>
      </c>
      <c r="U3" s="4">
        <v>69</v>
      </c>
      <c r="V3" s="54">
        <f>IF(ISERROR(VLOOKUP($S$3,'TAR FIN'!$A$1:$O$91,15,0)),0,VLOOKUP($S$3,'TAR FIN'!$A$1:$O$91,15,0))*(1-0.06)</f>
        <v>17.060999999999996</v>
      </c>
      <c r="W3" s="54">
        <f>IF(ISERROR(VLOOKUP($T$3,'TAR FIN'!$A$1:$O$91,15,0)),0,VLOOKUP($T$3,'TAR FIN'!$A$1:$O$91,15,0))*(1-0.06)</f>
        <v>66.871600000000001</v>
      </c>
      <c r="X3" s="54">
        <f>IF(ISERROR(VLOOKUP($U$3,'TAR FIN'!$A$1:$O$91,15,0)),0,VLOOKUP($U$3,'TAR FIN'!$A$1:$O$91,15,0))*(1-0.06)</f>
        <v>234.29499999999999</v>
      </c>
      <c r="Y3" s="54">
        <f ca="1">('TUSD BE'!$AM$6+'TUSD BF'!$AM$6+'TUSD CVA'!$AM$6)*1*(1-0.03)</f>
        <v>20.639983826307745</v>
      </c>
      <c r="Z3" s="54">
        <f ca="1">('TUSD BE'!$AM$7+'TUSD BF'!$AM$7+'TUSD CVA'!$AM$7)*1*(1-0.03)</f>
        <v>99.799749520056594</v>
      </c>
      <c r="AA3" s="54">
        <f>('TE BE'!$AB$6+'TE BF'!$AB$6+'TE CVA'!$AB$6)*1*(1-0.03)</f>
        <v>197.28126009827187</v>
      </c>
      <c r="AB3" s="4">
        <f>$K$3*$V$3</f>
        <v>2030.2589999999996</v>
      </c>
      <c r="AC3" s="4">
        <f>$M$3*$W$3</f>
        <v>4509.5532176000006</v>
      </c>
      <c r="AD3" s="4">
        <f>$O$3*$X$3</f>
        <v>15799.91762</v>
      </c>
      <c r="AE3" s="4">
        <f ca="1">$K$3*$Y$3</f>
        <v>2456.1580753306216</v>
      </c>
      <c r="AF3" s="4">
        <f ca="1">$M$3*$Z$3</f>
        <v>6730.0959086345374</v>
      </c>
      <c r="AG3" s="4">
        <f>$O$3*$AA$3</f>
        <v>13303.859055987063</v>
      </c>
      <c r="AI3" s="36" t="s">
        <v>22</v>
      </c>
      <c r="AJ3" s="37">
        <f>SUMIF($B$2:$B$644,AI3,$AB$2:$AB$644)+SUMIF($B$2:$B$644,AI3,$AC$2:$AC$644)</f>
        <v>10760278.808316009</v>
      </c>
      <c r="AK3" s="37">
        <f ca="1">SUMIF($B$2:$B$644,AI3,$AE$2:$AE$644)+SUMIF($B$2:$B$644,AI3,$AF$2:$AF$644)</f>
        <v>13319586.426836709</v>
      </c>
      <c r="AL3" s="38">
        <f t="shared" ca="1" si="0"/>
        <v>0.23784770488872042</v>
      </c>
      <c r="AN3" s="36" t="s">
        <v>22</v>
      </c>
      <c r="AO3" s="37">
        <f>SUMIF($B$2:$B$644,AN3,$AD$2:$AD$644)</f>
        <v>8633478.7028710041</v>
      </c>
      <c r="AP3" s="37">
        <f>SUMIF($B$2:$B$644,AN3,$AG$2:$AG$644)</f>
        <v>7044734.2528412323</v>
      </c>
      <c r="AQ3" s="38">
        <f t="shared" si="1"/>
        <v>-0.1840213550884704</v>
      </c>
      <c r="AS3" s="36" t="s">
        <v>22</v>
      </c>
      <c r="AT3" s="37">
        <f>SUMIF($B$2:$B$644,AS3,$AB$2:$AB$644)+SUMIF($B$2:$B$644,AS3,$AC$2:$AC$644)+SUMIF($B$2:$B$644,AS3,$AD$2:$AD$644)</f>
        <v>19393757.511187013</v>
      </c>
      <c r="AU3" s="37">
        <f ca="1">SUMIF($B$2:$B$644,AS3,$AE$2:$AE$644)+SUMIF($B$2:$B$644,AS3,$AF$2:$AF$644)+SUMIF($B$2:$B$644,AS3,$AG$2:$AG$644)</f>
        <v>20364320.679677941</v>
      </c>
      <c r="AV3" s="38">
        <f t="shared" ca="1" si="2"/>
        <v>5.0045132715053953E-2</v>
      </c>
    </row>
    <row r="4" spans="1:48" ht="11.25" customHeight="1" x14ac:dyDescent="0.25">
      <c r="A4" s="3" t="s">
        <v>21</v>
      </c>
      <c r="B4" s="3" t="s">
        <v>35</v>
      </c>
      <c r="C4" s="3" t="s">
        <v>48</v>
      </c>
      <c r="D4" s="3" t="s">
        <v>46</v>
      </c>
      <c r="E4" s="3" t="s">
        <v>47</v>
      </c>
      <c r="F4" s="3" t="s">
        <v>25</v>
      </c>
      <c r="G4" s="3" t="s">
        <v>25</v>
      </c>
      <c r="H4" s="3" t="s">
        <v>38</v>
      </c>
      <c r="I4" s="6">
        <v>44501</v>
      </c>
      <c r="J4" s="4">
        <v>121</v>
      </c>
      <c r="K4" s="53">
        <v>121</v>
      </c>
      <c r="L4" s="4">
        <v>66.242999999999995</v>
      </c>
      <c r="M4" s="54">
        <v>66.242999999999995</v>
      </c>
      <c r="N4" s="4">
        <v>66.242999999999995</v>
      </c>
      <c r="O4" s="54">
        <v>66.242999999999995</v>
      </c>
      <c r="P4" s="4">
        <v>0</v>
      </c>
      <c r="Q4" s="3" t="s">
        <v>26</v>
      </c>
      <c r="R4" s="3">
        <v>0</v>
      </c>
      <c r="S4" s="4">
        <v>11</v>
      </c>
      <c r="T4" s="4">
        <v>14</v>
      </c>
      <c r="U4" s="4">
        <v>69</v>
      </c>
      <c r="V4" s="54">
        <f>IF(ISERROR(VLOOKUP($S$4,'TAR FIN'!$A$1:$O$91,15,0)),0,VLOOKUP($S$4,'TAR FIN'!$A$1:$O$91,15,0))*(1-0.06)</f>
        <v>17.060999999999996</v>
      </c>
      <c r="W4" s="54">
        <f>IF(ISERROR(VLOOKUP($T$4,'TAR FIN'!$A$1:$O$91,15,0)),0,VLOOKUP($T$4,'TAR FIN'!$A$1:$O$91,15,0))*(1-0.06)</f>
        <v>66.871600000000001</v>
      </c>
      <c r="X4" s="54">
        <f>IF(ISERROR(VLOOKUP($U$4,'TAR FIN'!$A$1:$O$91,15,0)),0,VLOOKUP($U$4,'TAR FIN'!$A$1:$O$91,15,0))*(1-0.06)</f>
        <v>234.29499999999999</v>
      </c>
      <c r="Y4" s="54">
        <f ca="1">('TUSD BE'!$AM$6+'TUSD BF'!$AM$6+'TUSD CVA'!$AM$6)*1*(1-0.03)</f>
        <v>20.639983826307745</v>
      </c>
      <c r="Z4" s="54">
        <f ca="1">('TUSD BE'!$AM$7+'TUSD BF'!$AM$7+'TUSD CVA'!$AM$7)*1*(1-0.03)</f>
        <v>99.799749520056594</v>
      </c>
      <c r="AA4" s="54">
        <f>('TE BE'!$AB$6+'TE BF'!$AB$6+'TE CVA'!$AB$6)*1*(1-0.03)</f>
        <v>197.28126009827187</v>
      </c>
      <c r="AB4" s="4">
        <f>$K$4*$V$4</f>
        <v>2064.3809999999994</v>
      </c>
      <c r="AC4" s="4">
        <f>$M$4*$W$4</f>
        <v>4429.7753987999995</v>
      </c>
      <c r="AD4" s="4">
        <f>$O$4*$X$4</f>
        <v>15520.403684999997</v>
      </c>
      <c r="AE4" s="4">
        <f ca="1">$K$4*$Y$4</f>
        <v>2497.4380429832372</v>
      </c>
      <c r="AF4" s="4">
        <f ca="1">$M$4*$Z$4</f>
        <v>6611.0348074571084</v>
      </c>
      <c r="AG4" s="4">
        <f>$O$4*$AA$4</f>
        <v>13068.502512689822</v>
      </c>
      <c r="AI4" s="36" t="s">
        <v>40</v>
      </c>
      <c r="AJ4" s="37">
        <f>SUMIF($B$2:$B$644,AI4,$AB$2:$AB$644)+SUMIF($B$2:$B$644,AI4,$AC$2:$AC$644)</f>
        <v>7598492.4123539999</v>
      </c>
      <c r="AK4" s="37">
        <f ca="1">SUMIF($B$2:$B$644,AI4,$AE$2:$AE$644)+SUMIF($B$2:$B$644,AI4,$AF$2:$AF$644)</f>
        <v>10065950.956457343</v>
      </c>
      <c r="AL4" s="38">
        <f t="shared" ca="1" si="0"/>
        <v>0.32473001356053577</v>
      </c>
      <c r="AN4" s="36" t="s">
        <v>40</v>
      </c>
      <c r="AO4" s="37">
        <f>SUMIF($B$2:$B$644,AN4,$AD$2:$AD$644)</f>
        <v>6057693.9109719992</v>
      </c>
      <c r="AP4" s="37">
        <f>SUMIF($B$2:$B$644,AN4,$AG$2:$AG$644)</f>
        <v>5279969.8005140712</v>
      </c>
      <c r="AQ4" s="38">
        <f t="shared" si="1"/>
        <v>-0.12838616838154782</v>
      </c>
      <c r="AS4" s="36" t="s">
        <v>40</v>
      </c>
      <c r="AT4" s="37">
        <f>SUMIF($B$2:$B$644,AS4,$AB$2:$AB$644)+SUMIF($B$2:$B$644,AS4,$AC$2:$AC$644)+SUMIF($B$2:$B$644,AS4,$AD$2:$AD$644)</f>
        <v>13656186.323325999</v>
      </c>
      <c r="AU4" s="37">
        <f ca="1">SUMIF($B$2:$B$644,AS4,$AE$2:$AE$644)+SUMIF($B$2:$B$644,AS4,$AF$2:$AF$644)+SUMIF($B$2:$B$644,AS4,$AG$2:$AG$644)</f>
        <v>15345920.756971415</v>
      </c>
      <c r="AV4" s="38">
        <f t="shared" ca="1" si="2"/>
        <v>0.12373399085506009</v>
      </c>
    </row>
    <row r="5" spans="1:48" ht="11.25" customHeight="1" x14ac:dyDescent="0.25">
      <c r="A5" s="3" t="s">
        <v>21</v>
      </c>
      <c r="B5" s="3" t="s">
        <v>35</v>
      </c>
      <c r="C5" s="3" t="s">
        <v>48</v>
      </c>
      <c r="D5" s="3" t="s">
        <v>46</v>
      </c>
      <c r="E5" s="3" t="s">
        <v>47</v>
      </c>
      <c r="F5" s="3" t="s">
        <v>25</v>
      </c>
      <c r="G5" s="3" t="s">
        <v>25</v>
      </c>
      <c r="H5" s="3" t="s">
        <v>38</v>
      </c>
      <c r="I5" s="6">
        <v>44531</v>
      </c>
      <c r="J5" s="4">
        <v>119</v>
      </c>
      <c r="K5" s="53">
        <v>119</v>
      </c>
      <c r="L5" s="4">
        <v>67.462000000000003</v>
      </c>
      <c r="M5" s="54">
        <v>67.462000000000003</v>
      </c>
      <c r="N5" s="4">
        <v>67.462000000000003</v>
      </c>
      <c r="O5" s="54">
        <v>67.462000000000003</v>
      </c>
      <c r="P5" s="4">
        <v>0</v>
      </c>
      <c r="Q5" s="3" t="s">
        <v>26</v>
      </c>
      <c r="R5" s="3">
        <v>0</v>
      </c>
      <c r="S5" s="4">
        <v>11</v>
      </c>
      <c r="T5" s="4">
        <v>14</v>
      </c>
      <c r="U5" s="4">
        <v>69</v>
      </c>
      <c r="V5" s="54">
        <f>IF(ISERROR(VLOOKUP($S$5,'TAR FIN'!$A$1:$O$91,15,0)),0,VLOOKUP($S$5,'TAR FIN'!$A$1:$O$91,15,0))*(1-0.06)</f>
        <v>17.060999999999996</v>
      </c>
      <c r="W5" s="54">
        <f>IF(ISERROR(VLOOKUP($T$5,'TAR FIN'!$A$1:$O$91,15,0)),0,VLOOKUP($T$5,'TAR FIN'!$A$1:$O$91,15,0))*(1-0.06)</f>
        <v>66.871600000000001</v>
      </c>
      <c r="X5" s="54">
        <f>IF(ISERROR(VLOOKUP($U$5,'TAR FIN'!$A$1:$O$91,15,0)),0,VLOOKUP($U$5,'TAR FIN'!$A$1:$O$91,15,0))*(1-0.06)</f>
        <v>234.29499999999999</v>
      </c>
      <c r="Y5" s="54">
        <f ca="1">('TUSD BE'!$AM$6+'TUSD BF'!$AM$6+'TUSD CVA'!$AM$6)*1*(1-0.03)</f>
        <v>20.639983826307745</v>
      </c>
      <c r="Z5" s="54">
        <f ca="1">('TUSD BE'!$AM$7+'TUSD BF'!$AM$7+'TUSD CVA'!$AM$7)*1*(1-0.03)</f>
        <v>99.799749520056594</v>
      </c>
      <c r="AA5" s="54">
        <f>('TE BE'!$AB$6+'TE BF'!$AB$6+'TE CVA'!$AB$6)*1*(1-0.03)</f>
        <v>197.28126009827187</v>
      </c>
      <c r="AB5" s="4">
        <f>$K$5*$V$5</f>
        <v>2030.2589999999996</v>
      </c>
      <c r="AC5" s="4">
        <f>$M$5*$W$5</f>
        <v>4511.2918792</v>
      </c>
      <c r="AD5" s="4">
        <f>$O$5*$X$5</f>
        <v>15806.00929</v>
      </c>
      <c r="AE5" s="4">
        <f ca="1">$K$5*$Y$5</f>
        <v>2456.1580753306216</v>
      </c>
      <c r="AF5" s="4">
        <f ca="1">$M$5*$Z$5</f>
        <v>6732.6907021220586</v>
      </c>
      <c r="AG5" s="4">
        <f>$O$5*$AA$5</f>
        <v>13308.988368749619</v>
      </c>
      <c r="AI5" s="36" t="s">
        <v>33</v>
      </c>
      <c r="AJ5" s="37">
        <f>SUMIF($B$2:$B$644,AI5,$AB$2:$AB$644)+SUMIF($B$2:$B$644,AI5,$AC$2:$AC$644)</f>
        <v>6114205.2792469999</v>
      </c>
      <c r="AK5" s="37">
        <f ca="1">SUMIF($B$2:$B$644,AI5,$AE$2:$AE$644)+SUMIF($B$2:$B$644,AI5,$AF$2:$AF$644)</f>
        <v>7585178.5830801316</v>
      </c>
      <c r="AL5" s="38">
        <f t="shared" ca="1" si="0"/>
        <v>0.24058291088556505</v>
      </c>
      <c r="AN5" s="36" t="s">
        <v>33</v>
      </c>
      <c r="AO5" s="37">
        <f>SUMIF($B$2:$B$644,AN5,$AD$2:$AD$644)</f>
        <v>4874350.4425150026</v>
      </c>
      <c r="AP5" s="37">
        <f>SUMIF($B$2:$B$644,AN5,$AG$2:$AG$644)</f>
        <v>3978711.4027688857</v>
      </c>
      <c r="AQ5" s="38">
        <f t="shared" si="1"/>
        <v>-0.18374531136173233</v>
      </c>
      <c r="AS5" s="36" t="s">
        <v>33</v>
      </c>
      <c r="AT5" s="37">
        <f>SUMIF($B$2:$B$644,AS5,$AB$2:$AB$644)+SUMIF($B$2:$B$644,AS5,$AC$2:$AC$644)+SUMIF($B$2:$B$644,AS5,$AD$2:$AD$644)</f>
        <v>10988555.721762002</v>
      </c>
      <c r="AU5" s="37">
        <f ca="1">SUMIF($B$2:$B$644,AS5,$AE$2:$AE$644)+SUMIF($B$2:$B$644,AS5,$AF$2:$AF$644)+SUMIF($B$2:$B$644,AS5,$AG$2:$AG$644)</f>
        <v>11563889.985849017</v>
      </c>
      <c r="AV5" s="38">
        <f t="shared" ca="1" si="2"/>
        <v>5.2357587171133924E-2</v>
      </c>
    </row>
    <row r="6" spans="1:48" ht="11.25" customHeight="1" x14ac:dyDescent="0.25">
      <c r="A6" s="3" t="s">
        <v>21</v>
      </c>
      <c r="B6" s="3" t="s">
        <v>35</v>
      </c>
      <c r="C6" s="3" t="s">
        <v>48</v>
      </c>
      <c r="D6" s="3" t="s">
        <v>46</v>
      </c>
      <c r="E6" s="3" t="s">
        <v>47</v>
      </c>
      <c r="F6" s="3" t="s">
        <v>25</v>
      </c>
      <c r="G6" s="3" t="s">
        <v>25</v>
      </c>
      <c r="H6" s="3" t="s">
        <v>38</v>
      </c>
      <c r="I6" s="6">
        <v>44562</v>
      </c>
      <c r="J6" s="4">
        <v>123</v>
      </c>
      <c r="K6" s="53">
        <v>123</v>
      </c>
      <c r="L6" s="4">
        <v>71.691000000000003</v>
      </c>
      <c r="M6" s="54">
        <v>71.691000000000003</v>
      </c>
      <c r="N6" s="4">
        <v>71.691000000000003</v>
      </c>
      <c r="O6" s="54">
        <v>71.691000000000003</v>
      </c>
      <c r="P6" s="4">
        <v>0</v>
      </c>
      <c r="Q6" s="3" t="s">
        <v>26</v>
      </c>
      <c r="R6" s="3">
        <v>0</v>
      </c>
      <c r="S6" s="4">
        <v>11</v>
      </c>
      <c r="T6" s="4">
        <v>14</v>
      </c>
      <c r="U6" s="4">
        <v>69</v>
      </c>
      <c r="V6" s="54">
        <f>IF(ISERROR(VLOOKUP($S$6,'TAR FIN'!$A$1:$O$91,15,0)),0,VLOOKUP($S$6,'TAR FIN'!$A$1:$O$91,15,0))*(1-0.06)</f>
        <v>17.060999999999996</v>
      </c>
      <c r="W6" s="54">
        <f>IF(ISERROR(VLOOKUP($T$6,'TAR FIN'!$A$1:$O$91,15,0)),0,VLOOKUP($T$6,'TAR FIN'!$A$1:$O$91,15,0))*(1-0.06)</f>
        <v>66.871600000000001</v>
      </c>
      <c r="X6" s="54">
        <f>IF(ISERROR(VLOOKUP($U$6,'TAR FIN'!$A$1:$O$91,15,0)),0,VLOOKUP($U$6,'TAR FIN'!$A$1:$O$91,15,0))*(1-0.06)</f>
        <v>234.29499999999999</v>
      </c>
      <c r="Y6" s="54">
        <f ca="1">('TUSD BE'!$AM$6+'TUSD BF'!$AM$6+'TUSD CVA'!$AM$6)*1*(1-0.03)</f>
        <v>20.639983826307745</v>
      </c>
      <c r="Z6" s="54">
        <f ca="1">('TUSD BE'!$AM$7+'TUSD BF'!$AM$7+'TUSD CVA'!$AM$7)*1*(1-0.03)</f>
        <v>99.799749520056594</v>
      </c>
      <c r="AA6" s="54">
        <f>('TE BE'!$AB$6+'TE BF'!$AB$6+'TE CVA'!$AB$6)*1*(1-0.03)</f>
        <v>197.28126009827187</v>
      </c>
      <c r="AB6" s="4">
        <f>$K$6*$V$6</f>
        <v>2098.5029999999997</v>
      </c>
      <c r="AC6" s="4">
        <f>$M$6*$W$6</f>
        <v>4794.0918756000001</v>
      </c>
      <c r="AD6" s="4">
        <f>$O$6*$X$6</f>
        <v>16796.842844999999</v>
      </c>
      <c r="AE6" s="4">
        <f ca="1">$K$6*$Y$6</f>
        <v>2538.7180106358528</v>
      </c>
      <c r="AF6" s="4">
        <f ca="1">$M$6*$Z$6</f>
        <v>7154.7438428423775</v>
      </c>
      <c r="AG6" s="4">
        <f>$O$6*$AA$6</f>
        <v>14143.290817705209</v>
      </c>
      <c r="AI6" s="36" t="s">
        <v>43</v>
      </c>
      <c r="AJ6" s="37">
        <f>SUMIF($B$2:$B$644,AI6,$AB$2:$AB$644)+SUMIF($B$2:$B$644,AI6,$AC$2:$AC$644)</f>
        <v>781983.97296000004</v>
      </c>
      <c r="AK6" s="37">
        <f ca="1">SUMIF($B$2:$B$644,AI6,$AE$2:$AE$644)+SUMIF($B$2:$B$644,AI6,$AF$2:$AF$644)</f>
        <v>969774.08789765893</v>
      </c>
      <c r="AL6" s="38">
        <f t="shared" ca="1" si="0"/>
        <v>0.24014573371219816</v>
      </c>
      <c r="AN6" s="36" t="s">
        <v>43</v>
      </c>
      <c r="AO6" s="37">
        <f>SUMIF($B$2:$B$644,AN6,$AD$2:$AD$644)</f>
        <v>623413.48484000005</v>
      </c>
      <c r="AP6" s="37">
        <f>SUMIF($B$2:$B$644,AN6,$AG$2:$AG$644)</f>
        <v>508682.97685634752</v>
      </c>
      <c r="AQ6" s="38">
        <f t="shared" si="1"/>
        <v>-0.1840359741546147</v>
      </c>
      <c r="AS6" s="36" t="s">
        <v>43</v>
      </c>
      <c r="AT6" s="37">
        <f>SUMIF($B$2:$B$644,AS6,$AB$2:$AB$644)+SUMIF($B$2:$B$644,AS6,$AC$2:$AC$644)+SUMIF($B$2:$B$644,AS6,$AD$2:$AD$644)</f>
        <v>1405397.4578</v>
      </c>
      <c r="AU6" s="37">
        <f ca="1">SUMIF($B$2:$B$644,AS6,$AE$2:$AE$644)+SUMIF($B$2:$B$644,AS6,$AF$2:$AF$644)+SUMIF($B$2:$B$644,AS6,$AG$2:$AG$644)</f>
        <v>1478457.0647540065</v>
      </c>
      <c r="AV6" s="38">
        <f t="shared" ca="1" si="2"/>
        <v>5.1985014309313904E-2</v>
      </c>
    </row>
    <row r="7" spans="1:48" ht="11.25" customHeight="1" x14ac:dyDescent="0.25">
      <c r="A7" s="3" t="s">
        <v>21</v>
      </c>
      <c r="B7" s="3" t="s">
        <v>35</v>
      </c>
      <c r="C7" s="3" t="s">
        <v>48</v>
      </c>
      <c r="D7" s="3" t="s">
        <v>46</v>
      </c>
      <c r="E7" s="3" t="s">
        <v>47</v>
      </c>
      <c r="F7" s="3" t="s">
        <v>25</v>
      </c>
      <c r="G7" s="3" t="s">
        <v>25</v>
      </c>
      <c r="H7" s="3" t="s">
        <v>38</v>
      </c>
      <c r="I7" s="6">
        <v>44593</v>
      </c>
      <c r="J7" s="4">
        <v>123</v>
      </c>
      <c r="K7" s="53">
        <v>123</v>
      </c>
      <c r="L7" s="4">
        <v>64.504000000000005</v>
      </c>
      <c r="M7" s="54">
        <v>64.504000000000005</v>
      </c>
      <c r="N7" s="4">
        <v>64.504000000000005</v>
      </c>
      <c r="O7" s="54">
        <v>64.504000000000005</v>
      </c>
      <c r="P7" s="4">
        <v>0</v>
      </c>
      <c r="Q7" s="3" t="s">
        <v>26</v>
      </c>
      <c r="R7" s="3">
        <v>0</v>
      </c>
      <c r="S7" s="4">
        <v>11</v>
      </c>
      <c r="T7" s="4">
        <v>14</v>
      </c>
      <c r="U7" s="4">
        <v>69</v>
      </c>
      <c r="V7" s="54">
        <f>IF(ISERROR(VLOOKUP($S$7,'TAR FIN'!$A$1:$O$91,15,0)),0,VLOOKUP($S$7,'TAR FIN'!$A$1:$O$91,15,0))*(1-0.06)</f>
        <v>17.060999999999996</v>
      </c>
      <c r="W7" s="54">
        <f>IF(ISERROR(VLOOKUP($T$7,'TAR FIN'!$A$1:$O$91,15,0)),0,VLOOKUP($T$7,'TAR FIN'!$A$1:$O$91,15,0))*(1-0.06)</f>
        <v>66.871600000000001</v>
      </c>
      <c r="X7" s="54">
        <f>IF(ISERROR(VLOOKUP($U$7,'TAR FIN'!$A$1:$O$91,15,0)),0,VLOOKUP($U$7,'TAR FIN'!$A$1:$O$91,15,0))*(1-0.06)</f>
        <v>234.29499999999999</v>
      </c>
      <c r="Y7" s="54">
        <f ca="1">('TUSD BE'!$AM$6+'TUSD BF'!$AM$6+'TUSD CVA'!$AM$6)*1*(1-0.03)</f>
        <v>20.639983826307745</v>
      </c>
      <c r="Z7" s="54">
        <f ca="1">('TUSD BE'!$AM$7+'TUSD BF'!$AM$7+'TUSD CVA'!$AM$7)*1*(1-0.03)</f>
        <v>99.799749520056594</v>
      </c>
      <c r="AA7" s="54">
        <f>('TE BE'!$AB$6+'TE BF'!$AB$6+'TE CVA'!$AB$6)*1*(1-0.03)</f>
        <v>197.28126009827187</v>
      </c>
      <c r="AB7" s="4">
        <f>$K$7*$V$7</f>
        <v>2098.5029999999997</v>
      </c>
      <c r="AC7" s="4">
        <f>$M$7*$W$7</f>
        <v>4313.4856864000003</v>
      </c>
      <c r="AD7" s="4">
        <f>$O$7*$X$7</f>
        <v>15112.964680000001</v>
      </c>
      <c r="AE7" s="4">
        <f ca="1">$K$7*$Y$7</f>
        <v>2538.7180106358528</v>
      </c>
      <c r="AF7" s="4">
        <f ca="1">$M$7*$Z$7</f>
        <v>6437.4830430417314</v>
      </c>
      <c r="AG7" s="4">
        <f>$O$7*$AA$7</f>
        <v>12725.43040137893</v>
      </c>
      <c r="AI7" s="36" t="s">
        <v>646</v>
      </c>
      <c r="AJ7" s="37">
        <f>+$AJ$2</f>
        <v>13279246.429759806</v>
      </c>
      <c r="AK7" s="37">
        <f ca="1">+$AK$2</f>
        <v>16453779.786243193</v>
      </c>
      <c r="AL7" s="38">
        <f t="shared" ca="1" si="0"/>
        <v>0.23905975186732098</v>
      </c>
      <c r="AN7" s="36" t="s">
        <v>646</v>
      </c>
      <c r="AO7" s="37">
        <f>+$AO$2</f>
        <v>15003230.166219996</v>
      </c>
      <c r="AP7" s="37">
        <f>+$AP$2</f>
        <v>12257549.034077564</v>
      </c>
      <c r="AQ7" s="38">
        <f t="shared" si="1"/>
        <v>-0.1830059994896549</v>
      </c>
      <c r="AS7" s="36" t="s">
        <v>646</v>
      </c>
      <c r="AT7" s="37">
        <f>+$AT$2</f>
        <v>28282476.595979802</v>
      </c>
      <c r="AU7" s="37">
        <f ca="1">+$AU$2</f>
        <v>28711328.820320755</v>
      </c>
      <c r="AV7" s="38">
        <f t="shared" ca="1" si="2"/>
        <v>1.5163177909317538E-2</v>
      </c>
    </row>
    <row r="8" spans="1:48" ht="11.25" customHeight="1" x14ac:dyDescent="0.25">
      <c r="A8" s="3" t="s">
        <v>21</v>
      </c>
      <c r="B8" s="3" t="s">
        <v>35</v>
      </c>
      <c r="C8" s="3" t="s">
        <v>48</v>
      </c>
      <c r="D8" s="3" t="s">
        <v>46</v>
      </c>
      <c r="E8" s="3" t="s">
        <v>47</v>
      </c>
      <c r="F8" s="3" t="s">
        <v>25</v>
      </c>
      <c r="G8" s="3" t="s">
        <v>25</v>
      </c>
      <c r="H8" s="3" t="s">
        <v>38</v>
      </c>
      <c r="I8" s="6">
        <v>44621</v>
      </c>
      <c r="J8" s="4">
        <v>121</v>
      </c>
      <c r="K8" s="53">
        <v>121</v>
      </c>
      <c r="L8" s="4">
        <v>68.736000000000004</v>
      </c>
      <c r="M8" s="54">
        <v>68.736000000000004</v>
      </c>
      <c r="N8" s="4">
        <v>68.736000000000004</v>
      </c>
      <c r="O8" s="54">
        <v>68.736000000000004</v>
      </c>
      <c r="P8" s="4">
        <v>0</v>
      </c>
      <c r="Q8" s="3" t="s">
        <v>26</v>
      </c>
      <c r="R8" s="3">
        <v>0</v>
      </c>
      <c r="S8" s="4">
        <v>11</v>
      </c>
      <c r="T8" s="4">
        <v>14</v>
      </c>
      <c r="U8" s="4">
        <v>69</v>
      </c>
      <c r="V8" s="54">
        <f>IF(ISERROR(VLOOKUP($S$8,'TAR FIN'!$A$1:$O$91,15,0)),0,VLOOKUP($S$8,'TAR FIN'!$A$1:$O$91,15,0))*(1-0.06)</f>
        <v>17.060999999999996</v>
      </c>
      <c r="W8" s="54">
        <f>IF(ISERROR(VLOOKUP($T$8,'TAR FIN'!$A$1:$O$91,15,0)),0,VLOOKUP($T$8,'TAR FIN'!$A$1:$O$91,15,0))*(1-0.06)</f>
        <v>66.871600000000001</v>
      </c>
      <c r="X8" s="54">
        <f>IF(ISERROR(VLOOKUP($U$8,'TAR FIN'!$A$1:$O$91,15,0)),0,VLOOKUP($U$8,'TAR FIN'!$A$1:$O$91,15,0))*(1-0.06)</f>
        <v>234.29499999999999</v>
      </c>
      <c r="Y8" s="54">
        <f ca="1">('TUSD BE'!$AM$6+'TUSD BF'!$AM$6+'TUSD CVA'!$AM$6)*1*(1-0.03)</f>
        <v>20.639983826307745</v>
      </c>
      <c r="Z8" s="54">
        <f ca="1">('TUSD BE'!$AM$7+'TUSD BF'!$AM$7+'TUSD CVA'!$AM$7)*1*(1-0.03)</f>
        <v>99.799749520056594</v>
      </c>
      <c r="AA8" s="54">
        <f>('TE BE'!$AB$6+'TE BF'!$AB$6+'TE CVA'!$AB$6)*1*(1-0.03)</f>
        <v>197.28126009827187</v>
      </c>
      <c r="AB8" s="4">
        <f>$K$8*$V$8</f>
        <v>2064.3809999999994</v>
      </c>
      <c r="AC8" s="4">
        <f>$M$8*$W$8</f>
        <v>4596.4862976000004</v>
      </c>
      <c r="AD8" s="4">
        <f>$O$8*$X$8</f>
        <v>16104.501120000001</v>
      </c>
      <c r="AE8" s="4">
        <f ca="1">$K$8*$Y$8</f>
        <v>2497.4380429832372</v>
      </c>
      <c r="AF8" s="4">
        <f ca="1">$M$8*$Z$8</f>
        <v>6859.8355830106102</v>
      </c>
      <c r="AG8" s="4">
        <f>$O$8*$AA$8</f>
        <v>13560.324694114815</v>
      </c>
      <c r="AI8" s="36" t="s">
        <v>92</v>
      </c>
      <c r="AJ8" s="37">
        <f>+$AJ$3+$AJ$4+$AJ$5+$AJ$6</f>
        <v>25254960.472877007</v>
      </c>
      <c r="AK8" s="37">
        <f ca="1">+$AK$3+$AK$4+$AK$5+$AK$6</f>
        <v>31940490.054271843</v>
      </c>
      <c r="AL8" s="38">
        <f t="shared" ca="1" si="0"/>
        <v>0.26472144308342416</v>
      </c>
      <c r="AN8" s="36" t="s">
        <v>92</v>
      </c>
      <c r="AO8" s="37">
        <f>+$AO$3+$AO$4+$AO$5+$AO$6</f>
        <v>20188936.541198008</v>
      </c>
      <c r="AP8" s="37">
        <f>+$AP$3+$AP$4+$AP$5+$AP$6</f>
        <v>16812098.432980537</v>
      </c>
      <c r="AQ8" s="38">
        <f t="shared" si="1"/>
        <v>-0.16726181199919155</v>
      </c>
      <c r="AS8" s="36" t="s">
        <v>92</v>
      </c>
      <c r="AT8" s="37">
        <f>+$AT$3+$AT$4+$AT$5+$AT$6</f>
        <v>45443897.014075011</v>
      </c>
      <c r="AU8" s="37">
        <f ca="1">+$AU$3+$AU$4+$AU$5+$AU$6</f>
        <v>48752588.487252377</v>
      </c>
      <c r="AV8" s="38">
        <f t="shared" ca="1" si="2"/>
        <v>7.2808268889276606E-2</v>
      </c>
    </row>
    <row r="9" spans="1:48" ht="11.25" customHeight="1" x14ac:dyDescent="0.25">
      <c r="A9" s="3" t="s">
        <v>21</v>
      </c>
      <c r="B9" s="3" t="s">
        <v>35</v>
      </c>
      <c r="C9" s="3" t="s">
        <v>48</v>
      </c>
      <c r="D9" s="3" t="s">
        <v>46</v>
      </c>
      <c r="E9" s="3" t="s">
        <v>47</v>
      </c>
      <c r="F9" s="3" t="s">
        <v>25</v>
      </c>
      <c r="G9" s="3" t="s">
        <v>25</v>
      </c>
      <c r="H9" s="3" t="s">
        <v>38</v>
      </c>
      <c r="I9" s="6">
        <v>44652</v>
      </c>
      <c r="J9" s="4">
        <v>119</v>
      </c>
      <c r="K9" s="53">
        <v>119</v>
      </c>
      <c r="L9" s="4">
        <v>69.516000000000005</v>
      </c>
      <c r="M9" s="54">
        <v>69.516000000000005</v>
      </c>
      <c r="N9" s="4">
        <v>69.516000000000005</v>
      </c>
      <c r="O9" s="54">
        <v>69.516000000000005</v>
      </c>
      <c r="P9" s="4">
        <v>0</v>
      </c>
      <c r="Q9" s="3" t="s">
        <v>26</v>
      </c>
      <c r="R9" s="3">
        <v>0</v>
      </c>
      <c r="S9" s="4">
        <v>11</v>
      </c>
      <c r="T9" s="4">
        <v>14</v>
      </c>
      <c r="U9" s="4">
        <v>69</v>
      </c>
      <c r="V9" s="54">
        <f>IF(ISERROR(VLOOKUP($S$9,'TAR FIN'!$A$1:$O$91,15,0)),0,VLOOKUP($S$9,'TAR FIN'!$A$1:$O$91,15,0))*(1-0.06)</f>
        <v>17.060999999999996</v>
      </c>
      <c r="W9" s="54">
        <f>IF(ISERROR(VLOOKUP($T$9,'TAR FIN'!$A$1:$O$91,15,0)),0,VLOOKUP($T$9,'TAR FIN'!$A$1:$O$91,15,0))*(1-0.06)</f>
        <v>66.871600000000001</v>
      </c>
      <c r="X9" s="54">
        <f>IF(ISERROR(VLOOKUP($U$9,'TAR FIN'!$A$1:$O$91,15,0)),0,VLOOKUP($U$9,'TAR FIN'!$A$1:$O$91,15,0))*(1-0.06)</f>
        <v>234.29499999999999</v>
      </c>
      <c r="Y9" s="54">
        <f ca="1">('TUSD BE'!$AM$6+'TUSD BF'!$AM$6+'TUSD CVA'!$AM$6)*1*(1-0.03)</f>
        <v>20.639983826307745</v>
      </c>
      <c r="Z9" s="54">
        <f ca="1">('TUSD BE'!$AM$7+'TUSD BF'!$AM$7+'TUSD CVA'!$AM$7)*1*(1-0.03)</f>
        <v>99.799749520056594</v>
      </c>
      <c r="AA9" s="54">
        <f>('TE BE'!$AB$6+'TE BF'!$AB$6+'TE CVA'!$AB$6)*1*(1-0.03)</f>
        <v>197.28126009827187</v>
      </c>
      <c r="AB9" s="4">
        <f>$K$9*$V$9</f>
        <v>2030.2589999999996</v>
      </c>
      <c r="AC9" s="4">
        <f>$M$9*$W$9</f>
        <v>4648.6461456000006</v>
      </c>
      <c r="AD9" s="4">
        <f>$O$9*$X$9</f>
        <v>16287.25122</v>
      </c>
      <c r="AE9" s="4">
        <f ca="1">$K$9*$Y$9</f>
        <v>2456.1580753306216</v>
      </c>
      <c r="AF9" s="4">
        <f ca="1">$M$9*$Z$9</f>
        <v>6937.6793876362544</v>
      </c>
      <c r="AG9" s="4">
        <f>$O$9*$AA$9</f>
        <v>13714.204076991469</v>
      </c>
      <c r="AI9" s="36" t="s">
        <v>647</v>
      </c>
      <c r="AJ9" s="37">
        <f>AJ8+AJ7</f>
        <v>38534206.902636811</v>
      </c>
      <c r="AK9" s="37">
        <f ca="1">AK8+AK7</f>
        <v>48394269.840515032</v>
      </c>
      <c r="AL9" s="38">
        <f t="shared" ca="1" si="0"/>
        <v>0.25587818539489704</v>
      </c>
      <c r="AN9" s="36" t="s">
        <v>647</v>
      </c>
      <c r="AO9" s="37">
        <f>AO8+AO7</f>
        <v>35192166.707418002</v>
      </c>
      <c r="AP9" s="37">
        <f>AP8+AP7</f>
        <v>29069647.4670581</v>
      </c>
      <c r="AQ9" s="38">
        <f t="shared" si="1"/>
        <v>-0.17397392127803724</v>
      </c>
      <c r="AS9" s="36" t="s">
        <v>647</v>
      </c>
      <c r="AT9" s="37">
        <f>AT8+AT7</f>
        <v>73726373.610054821</v>
      </c>
      <c r="AU9" s="37">
        <f ca="1">AU8+AU7</f>
        <v>77463917.30757314</v>
      </c>
      <c r="AV9" s="38">
        <f t="shared" ca="1" si="2"/>
        <v>5.0694799086233422E-2</v>
      </c>
    </row>
    <row r="10" spans="1:48" ht="11.25" customHeight="1" x14ac:dyDescent="0.25">
      <c r="A10" s="3" t="s">
        <v>21</v>
      </c>
      <c r="B10" s="3" t="s">
        <v>35</v>
      </c>
      <c r="C10" s="3" t="s">
        <v>48</v>
      </c>
      <c r="D10" s="3" t="s">
        <v>46</v>
      </c>
      <c r="E10" s="3" t="s">
        <v>47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140</v>
      </c>
      <c r="K10" s="53">
        <v>140</v>
      </c>
      <c r="L10" s="4">
        <v>68.391999999999996</v>
      </c>
      <c r="M10" s="54">
        <v>68.391999999999996</v>
      </c>
      <c r="N10" s="4">
        <v>68.391999999999996</v>
      </c>
      <c r="O10" s="54">
        <v>68.391999999999996</v>
      </c>
      <c r="P10" s="4">
        <v>0</v>
      </c>
      <c r="Q10" s="3" t="s">
        <v>26</v>
      </c>
      <c r="R10" s="3">
        <v>0</v>
      </c>
      <c r="S10" s="4">
        <v>11</v>
      </c>
      <c r="T10" s="4">
        <v>14</v>
      </c>
      <c r="U10" s="4">
        <v>69</v>
      </c>
      <c r="V10" s="54">
        <f>IF(ISERROR(VLOOKUP($S$10,'TAR FIN'!$A$1:$O$91,15,0)),0,VLOOKUP($S$10,'TAR FIN'!$A$1:$O$91,15,0))*(1-0.06)</f>
        <v>17.060999999999996</v>
      </c>
      <c r="W10" s="54">
        <f>IF(ISERROR(VLOOKUP($T$10,'TAR FIN'!$A$1:$O$91,15,0)),0,VLOOKUP($T$10,'TAR FIN'!$A$1:$O$91,15,0))*(1-0.06)</f>
        <v>66.871600000000001</v>
      </c>
      <c r="X10" s="54">
        <f>IF(ISERROR(VLOOKUP($U$10,'TAR FIN'!$A$1:$O$91,15,0)),0,VLOOKUP($U$10,'TAR FIN'!$A$1:$O$91,15,0))*(1-0.06)</f>
        <v>234.29499999999999</v>
      </c>
      <c r="Y10" s="54">
        <f ca="1">('TUSD BE'!$AM$6+'TUSD BF'!$AM$6+'TUSD CVA'!$AM$6)*1*(1-0.03)</f>
        <v>20.639983826307745</v>
      </c>
      <c r="Z10" s="54">
        <f ca="1">('TUSD BE'!$AM$7+'TUSD BF'!$AM$7+'TUSD CVA'!$AM$7)*1*(1-0.03)</f>
        <v>99.799749520056594</v>
      </c>
      <c r="AA10" s="54">
        <f>('TE BE'!$AB$6+'TE BF'!$AB$6+'TE CVA'!$AB$6)*1*(1-0.03)</f>
        <v>197.28126009827187</v>
      </c>
      <c r="AB10" s="4">
        <f>$K$10*$V$10</f>
        <v>2388.5399999999995</v>
      </c>
      <c r="AC10" s="4">
        <f>$M$10*$W$10</f>
        <v>4573.4824671999995</v>
      </c>
      <c r="AD10" s="4">
        <f>$O$10*$X$10</f>
        <v>16023.903639999999</v>
      </c>
      <c r="AE10" s="4">
        <f ca="1">$K$10*$Y$10</f>
        <v>2889.5977356830845</v>
      </c>
      <c r="AF10" s="4">
        <f ca="1">$M$10*$Z$10</f>
        <v>6825.5044691757103</v>
      </c>
      <c r="AG10" s="4">
        <f>$O$10*$AA$10</f>
        <v>13492.459940641009</v>
      </c>
    </row>
    <row r="11" spans="1:48" ht="11.25" customHeight="1" x14ac:dyDescent="0.25">
      <c r="A11" s="3" t="s">
        <v>21</v>
      </c>
      <c r="B11" s="3" t="s">
        <v>35</v>
      </c>
      <c r="C11" s="3" t="s">
        <v>48</v>
      </c>
      <c r="D11" s="3" t="s">
        <v>46</v>
      </c>
      <c r="E11" s="3" t="s">
        <v>47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119</v>
      </c>
      <c r="K11" s="53">
        <v>119</v>
      </c>
      <c r="L11" s="4">
        <v>63.353000000000002</v>
      </c>
      <c r="M11" s="54">
        <v>63.353000000000002</v>
      </c>
      <c r="N11" s="4">
        <v>63.353000000000002</v>
      </c>
      <c r="O11" s="54">
        <v>63.353000000000002</v>
      </c>
      <c r="P11" s="4">
        <v>0</v>
      </c>
      <c r="Q11" s="3" t="s">
        <v>26</v>
      </c>
      <c r="R11" s="3">
        <v>0</v>
      </c>
      <c r="S11" s="4">
        <v>11</v>
      </c>
      <c r="T11" s="4">
        <v>14</v>
      </c>
      <c r="U11" s="4">
        <v>69</v>
      </c>
      <c r="V11" s="54">
        <f>IF(ISERROR(VLOOKUP($S$11,'TAR FIN'!$A$1:$O$91,15,0)),0,VLOOKUP($S$11,'TAR FIN'!$A$1:$O$91,15,0))*(1-0.06)</f>
        <v>17.060999999999996</v>
      </c>
      <c r="W11" s="54">
        <f>IF(ISERROR(VLOOKUP($T$11,'TAR FIN'!$A$1:$O$91,15,0)),0,VLOOKUP($T$11,'TAR FIN'!$A$1:$O$91,15,0))*(1-0.06)</f>
        <v>66.871600000000001</v>
      </c>
      <c r="X11" s="54">
        <f>IF(ISERROR(VLOOKUP($U$11,'TAR FIN'!$A$1:$O$91,15,0)),0,VLOOKUP($U$11,'TAR FIN'!$A$1:$O$91,15,0))*(1-0.06)</f>
        <v>234.29499999999999</v>
      </c>
      <c r="Y11" s="54">
        <f ca="1">('TUSD BE'!$AM$6+'TUSD BF'!$AM$6+'TUSD CVA'!$AM$6)*1*(1-0.03)</f>
        <v>20.639983826307745</v>
      </c>
      <c r="Z11" s="54">
        <f ca="1">('TUSD BE'!$AM$7+'TUSD BF'!$AM$7+'TUSD CVA'!$AM$7)*1*(1-0.03)</f>
        <v>99.799749520056594</v>
      </c>
      <c r="AA11" s="54">
        <f>('TE BE'!$AB$6+'TE BF'!$AB$6+'TE CVA'!$AB$6)*1*(1-0.03)</f>
        <v>197.28126009827187</v>
      </c>
      <c r="AB11" s="4">
        <f>$K$11*$V$11</f>
        <v>2030.2589999999996</v>
      </c>
      <c r="AC11" s="4">
        <f>$M$11*$W$11</f>
        <v>4236.5164747999997</v>
      </c>
      <c r="AD11" s="4">
        <f>$O$11*$X$11</f>
        <v>14843.291134999999</v>
      </c>
      <c r="AE11" s="4">
        <f ca="1">$K$11*$Y$11</f>
        <v>2456.1580753306216</v>
      </c>
      <c r="AF11" s="4">
        <f ca="1">$M$11*$Z$11</f>
        <v>6322.6135313441455</v>
      </c>
      <c r="AG11" s="4">
        <f>$O$11*$AA$11</f>
        <v>12498.359671005819</v>
      </c>
      <c r="AU11" s="60">
        <f ca="1">AU9+SUBSIDIO!AJ11</f>
        <v>79021519.264136434</v>
      </c>
    </row>
    <row r="12" spans="1:48" ht="11.25" customHeight="1" x14ac:dyDescent="0.25">
      <c r="A12" s="3" t="s">
        <v>21</v>
      </c>
      <c r="B12" s="3" t="s">
        <v>35</v>
      </c>
      <c r="C12" s="3" t="s">
        <v>48</v>
      </c>
      <c r="D12" s="3" t="s">
        <v>46</v>
      </c>
      <c r="E12" s="3" t="s">
        <v>47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119</v>
      </c>
      <c r="K12" s="53">
        <v>119</v>
      </c>
      <c r="L12" s="4">
        <v>65.085999999999999</v>
      </c>
      <c r="M12" s="54">
        <v>65.085999999999999</v>
      </c>
      <c r="N12" s="4">
        <v>65.085999999999999</v>
      </c>
      <c r="O12" s="54">
        <v>65.085999999999999</v>
      </c>
      <c r="P12" s="4">
        <v>0</v>
      </c>
      <c r="Q12" s="3" t="s">
        <v>26</v>
      </c>
      <c r="R12" s="3">
        <v>0</v>
      </c>
      <c r="S12" s="4">
        <v>11</v>
      </c>
      <c r="T12" s="4">
        <v>14</v>
      </c>
      <c r="U12" s="4">
        <v>69</v>
      </c>
      <c r="V12" s="54">
        <f>IF(ISERROR(VLOOKUP($S$12,'TAR FIN'!$A$1:$O$91,15,0)),0,VLOOKUP($S$12,'TAR FIN'!$A$1:$O$91,15,0))*(1-0.06)</f>
        <v>17.060999999999996</v>
      </c>
      <c r="W12" s="54">
        <f>IF(ISERROR(VLOOKUP($T$12,'TAR FIN'!$A$1:$O$91,15,0)),0,VLOOKUP($T$12,'TAR FIN'!$A$1:$O$91,15,0))*(1-0.06)</f>
        <v>66.871600000000001</v>
      </c>
      <c r="X12" s="54">
        <f>IF(ISERROR(VLOOKUP($U$12,'TAR FIN'!$A$1:$O$91,15,0)),0,VLOOKUP($U$12,'TAR FIN'!$A$1:$O$91,15,0))*(1-0.06)</f>
        <v>234.29499999999999</v>
      </c>
      <c r="Y12" s="54">
        <f ca="1">('TUSD BE'!$AM$6+'TUSD BF'!$AM$6+'TUSD CVA'!$AM$6)*1*(1-0.03)</f>
        <v>20.639983826307745</v>
      </c>
      <c r="Z12" s="54">
        <f ca="1">('TUSD BE'!$AM$7+'TUSD BF'!$AM$7+'TUSD CVA'!$AM$7)*1*(1-0.03)</f>
        <v>99.799749520056594</v>
      </c>
      <c r="AA12" s="54">
        <f>('TE BE'!$AB$6+'TE BF'!$AB$6+'TE CVA'!$AB$6)*1*(1-0.03)</f>
        <v>197.28126009827187</v>
      </c>
      <c r="AB12" s="4">
        <f>$K$12*$V$12</f>
        <v>2030.2589999999996</v>
      </c>
      <c r="AC12" s="4">
        <f>$M$12*$W$12</f>
        <v>4352.4049575999998</v>
      </c>
      <c r="AD12" s="4">
        <f>$O$12*$X$12</f>
        <v>15249.324369999998</v>
      </c>
      <c r="AE12" s="4">
        <f ca="1">$K$12*$Y$12</f>
        <v>2456.1580753306216</v>
      </c>
      <c r="AF12" s="4">
        <f ca="1">$M$12*$Z$12</f>
        <v>6495.5664972624036</v>
      </c>
      <c r="AG12" s="4">
        <f>$O$12*$AA$12</f>
        <v>12840.248094756123</v>
      </c>
    </row>
    <row r="13" spans="1:48" ht="11.25" customHeight="1" x14ac:dyDescent="0.25">
      <c r="A13" s="3" t="s">
        <v>21</v>
      </c>
      <c r="B13" s="3" t="s">
        <v>35</v>
      </c>
      <c r="C13" s="3" t="s">
        <v>48</v>
      </c>
      <c r="D13" s="3" t="s">
        <v>46</v>
      </c>
      <c r="E13" s="3" t="s">
        <v>47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119</v>
      </c>
      <c r="K13" s="53">
        <v>119</v>
      </c>
      <c r="L13" s="4">
        <v>63.167999999999999</v>
      </c>
      <c r="M13" s="54">
        <v>63.167999999999999</v>
      </c>
      <c r="N13" s="4">
        <v>63.167999999999999</v>
      </c>
      <c r="O13" s="54">
        <v>63.167999999999999</v>
      </c>
      <c r="P13" s="4">
        <v>0</v>
      </c>
      <c r="Q13" s="3" t="s">
        <v>26</v>
      </c>
      <c r="R13" s="3">
        <v>0</v>
      </c>
      <c r="S13" s="4">
        <v>11</v>
      </c>
      <c r="T13" s="4">
        <v>14</v>
      </c>
      <c r="U13" s="4">
        <v>69</v>
      </c>
      <c r="V13" s="54">
        <f>IF(ISERROR(VLOOKUP($S$13,'TAR FIN'!$A$1:$O$91,15,0)),0,VLOOKUP($S$13,'TAR FIN'!$A$1:$O$91,15,0))*(1-0.06)</f>
        <v>17.060999999999996</v>
      </c>
      <c r="W13" s="54">
        <f>IF(ISERROR(VLOOKUP($T$13,'TAR FIN'!$A$1:$O$91,15,0)),0,VLOOKUP($T$13,'TAR FIN'!$A$1:$O$91,15,0))*(1-0.06)</f>
        <v>66.871600000000001</v>
      </c>
      <c r="X13" s="54">
        <f>IF(ISERROR(VLOOKUP($U$13,'TAR FIN'!$A$1:$O$91,15,0)),0,VLOOKUP($U$13,'TAR FIN'!$A$1:$O$91,15,0))*(1-0.06)</f>
        <v>234.29499999999999</v>
      </c>
      <c r="Y13" s="54">
        <f ca="1">('TUSD BE'!$AM$6+'TUSD BF'!$AM$6+'TUSD CVA'!$AM$6)*1*(1-0.03)</f>
        <v>20.639983826307745</v>
      </c>
      <c r="Z13" s="54">
        <f ca="1">('TUSD BE'!$AM$7+'TUSD BF'!$AM$7+'TUSD CVA'!$AM$7)*1*(1-0.03)</f>
        <v>99.799749520056594</v>
      </c>
      <c r="AA13" s="54">
        <f>('TE BE'!$AB$6+'TE BF'!$AB$6+'TE CVA'!$AB$6)*1*(1-0.03)</f>
        <v>197.28126009827187</v>
      </c>
      <c r="AB13" s="4">
        <f>$K$13*$V$13</f>
        <v>2030.2589999999996</v>
      </c>
      <c r="AC13" s="4">
        <f>$M$13*$W$13</f>
        <v>4224.1452288</v>
      </c>
      <c r="AD13" s="4">
        <f>$O$13*$X$13</f>
        <v>14799.946559999998</v>
      </c>
      <c r="AE13" s="4">
        <f ca="1">$K$13*$Y$13</f>
        <v>2456.1580753306216</v>
      </c>
      <c r="AF13" s="4">
        <f ca="1">$M$13*$Z$13</f>
        <v>6304.1505776829345</v>
      </c>
      <c r="AG13" s="4">
        <f>$O$13*$AA$13</f>
        <v>12461.862637887638</v>
      </c>
    </row>
    <row r="14" spans="1:48" ht="11.25" customHeight="1" x14ac:dyDescent="0.25">
      <c r="A14" s="3" t="s">
        <v>21</v>
      </c>
      <c r="B14" s="3" t="s">
        <v>35</v>
      </c>
      <c r="C14" s="3" t="s">
        <v>48</v>
      </c>
      <c r="D14" s="3" t="s">
        <v>46</v>
      </c>
      <c r="E14" s="3" t="s">
        <v>47</v>
      </c>
      <c r="F14" s="3" t="s">
        <v>25</v>
      </c>
      <c r="G14" s="3" t="s">
        <v>25</v>
      </c>
      <c r="H14" s="3" t="s">
        <v>37</v>
      </c>
      <c r="I14" s="6">
        <v>44440</v>
      </c>
      <c r="J14" s="4">
        <v>119</v>
      </c>
      <c r="K14" s="53">
        <v>119</v>
      </c>
      <c r="L14" s="4">
        <v>8.0259999999999998</v>
      </c>
      <c r="M14" s="54">
        <v>8.0259999999999998</v>
      </c>
      <c r="N14" s="4">
        <v>8.0259999999999998</v>
      </c>
      <c r="O14" s="54">
        <v>8.0259999999999998</v>
      </c>
      <c r="P14" s="4">
        <v>0</v>
      </c>
      <c r="Q14" s="3" t="s">
        <v>26</v>
      </c>
      <c r="R14" s="3">
        <v>0</v>
      </c>
      <c r="S14" s="4">
        <v>8</v>
      </c>
      <c r="T14" s="4">
        <v>14</v>
      </c>
      <c r="U14" s="4">
        <v>77</v>
      </c>
      <c r="V14" s="54">
        <f>IF(ISERROR(VLOOKUP($S$14,'TAR FIN'!$A$1:$O$91,15,0)),0,VLOOKUP($S$14,'TAR FIN'!$A$1:$O$91,15,0))*(1-0.06)</f>
        <v>52.950199999999995</v>
      </c>
      <c r="W14" s="54">
        <f>IF(ISERROR(VLOOKUP($T$14,'TAR FIN'!$A$1:$O$91,15,0)),0,VLOOKUP($T$14,'TAR FIN'!$A$1:$O$91,15,0))*(1-0.06)</f>
        <v>66.871600000000001</v>
      </c>
      <c r="X14" s="54">
        <f>IF(ISERROR(VLOOKUP($U$14,'TAR FIN'!$A$1:$O$91,15,0)),0,VLOOKUP($U$14,'TAR FIN'!$A$1:$O$91,15,0))*(1-0.06)</f>
        <v>234.29499999999999</v>
      </c>
      <c r="Y14" s="54">
        <f ca="1">('TUSD BE'!$AM$5+'TUSD BF'!$AM$5+'TUSD CVA'!$AM$5)*1*(1-0.03)</f>
        <v>64.230666268128303</v>
      </c>
      <c r="Z14" s="54">
        <f ca="1">('TUSD BE'!$AM$7+'TUSD BF'!$AM$7+'TUSD CVA'!$AM$7)*1*(1-0.03)</f>
        <v>99.799749520056594</v>
      </c>
      <c r="AA14" s="54">
        <f>('TE BE'!$AB$5+'TE BF'!$AB$5+'TE CVA'!$AB$5)*1*(1-0.03)</f>
        <v>197.28126009827187</v>
      </c>
      <c r="AB14" s="4">
        <f>$K$14*$V$14</f>
        <v>6301.0737999999992</v>
      </c>
      <c r="AC14" s="4">
        <f>$M$14*$W$14</f>
        <v>536.71146160000001</v>
      </c>
      <c r="AD14" s="4">
        <f>$O$14*$X$14</f>
        <v>1880.4516699999999</v>
      </c>
      <c r="AE14" s="4">
        <f ca="1">$K$14*$Y$14</f>
        <v>7643.4492859072679</v>
      </c>
      <c r="AF14" s="4">
        <f ca="1">$M$14*$Z$14</f>
        <v>800.99278964797418</v>
      </c>
      <c r="AG14" s="4">
        <f>$O$14*$AA$14</f>
        <v>1583.3793935487299</v>
      </c>
    </row>
    <row r="15" spans="1:48" ht="11.25" customHeight="1" x14ac:dyDescent="0.25">
      <c r="A15" s="3" t="s">
        <v>21</v>
      </c>
      <c r="B15" s="3" t="s">
        <v>35</v>
      </c>
      <c r="C15" s="3" t="s">
        <v>48</v>
      </c>
      <c r="D15" s="3" t="s">
        <v>46</v>
      </c>
      <c r="E15" s="3" t="s">
        <v>47</v>
      </c>
      <c r="F15" s="3" t="s">
        <v>25</v>
      </c>
      <c r="G15" s="3" t="s">
        <v>25</v>
      </c>
      <c r="H15" s="3" t="s">
        <v>37</v>
      </c>
      <c r="I15" s="6">
        <v>44470</v>
      </c>
      <c r="J15" s="4">
        <v>119</v>
      </c>
      <c r="K15" s="53">
        <v>119</v>
      </c>
      <c r="L15" s="4">
        <v>7.4390000000000001</v>
      </c>
      <c r="M15" s="54">
        <v>7.4390000000000001</v>
      </c>
      <c r="N15" s="4">
        <v>7.4390000000000001</v>
      </c>
      <c r="O15" s="54">
        <v>7.4390000000000001</v>
      </c>
      <c r="P15" s="4">
        <v>0</v>
      </c>
      <c r="Q15" s="3" t="s">
        <v>26</v>
      </c>
      <c r="R15" s="3">
        <v>0</v>
      </c>
      <c r="S15" s="4">
        <v>8</v>
      </c>
      <c r="T15" s="4">
        <v>14</v>
      </c>
      <c r="U15" s="4">
        <v>77</v>
      </c>
      <c r="V15" s="54">
        <f>IF(ISERROR(VLOOKUP($S$15,'TAR FIN'!$A$1:$O$91,15,0)),0,VLOOKUP($S$15,'TAR FIN'!$A$1:$O$91,15,0))*(1-0.06)</f>
        <v>52.950199999999995</v>
      </c>
      <c r="W15" s="54">
        <f>IF(ISERROR(VLOOKUP($T$15,'TAR FIN'!$A$1:$O$91,15,0)),0,VLOOKUP($T$15,'TAR FIN'!$A$1:$O$91,15,0))*(1-0.06)</f>
        <v>66.871600000000001</v>
      </c>
      <c r="X15" s="54">
        <f>IF(ISERROR(VLOOKUP($U$15,'TAR FIN'!$A$1:$O$91,15,0)),0,VLOOKUP($U$15,'TAR FIN'!$A$1:$O$91,15,0))*(1-0.06)</f>
        <v>234.29499999999999</v>
      </c>
      <c r="Y15" s="54">
        <f ca="1">('TUSD BE'!$AM$5+'TUSD BF'!$AM$5+'TUSD CVA'!$AM$5)*1*(1-0.03)</f>
        <v>64.230666268128303</v>
      </c>
      <c r="Z15" s="54">
        <f ca="1">('TUSD BE'!$AM$7+'TUSD BF'!$AM$7+'TUSD CVA'!$AM$7)*1*(1-0.03)</f>
        <v>99.799749520056594</v>
      </c>
      <c r="AA15" s="54">
        <f>('TE BE'!$AB$5+'TE BF'!$AB$5+'TE CVA'!$AB$5)*1*(1-0.03)</f>
        <v>197.28126009827187</v>
      </c>
      <c r="AB15" s="4">
        <f>$K$15*$V$15</f>
        <v>6301.0737999999992</v>
      </c>
      <c r="AC15" s="4">
        <f>$M$15*$W$15</f>
        <v>497.45783240000003</v>
      </c>
      <c r="AD15" s="4">
        <f>$O$15*$X$15</f>
        <v>1742.9205049999998</v>
      </c>
      <c r="AE15" s="4">
        <f ca="1">$K$15*$Y$15</f>
        <v>7643.4492859072679</v>
      </c>
      <c r="AF15" s="4">
        <f ca="1">$M$15*$Z$15</f>
        <v>742.410336679701</v>
      </c>
      <c r="AG15" s="4">
        <f>$O$15*$AA$15</f>
        <v>1467.5752938710446</v>
      </c>
    </row>
    <row r="16" spans="1:48" ht="11.25" customHeight="1" x14ac:dyDescent="0.25">
      <c r="A16" s="3" t="s">
        <v>21</v>
      </c>
      <c r="B16" s="3" t="s">
        <v>35</v>
      </c>
      <c r="C16" s="3" t="s">
        <v>48</v>
      </c>
      <c r="D16" s="3" t="s">
        <v>46</v>
      </c>
      <c r="E16" s="3" t="s">
        <v>47</v>
      </c>
      <c r="F16" s="3" t="s">
        <v>25</v>
      </c>
      <c r="G16" s="3" t="s">
        <v>25</v>
      </c>
      <c r="H16" s="3" t="s">
        <v>37</v>
      </c>
      <c r="I16" s="6">
        <v>44501</v>
      </c>
      <c r="J16" s="4">
        <v>120</v>
      </c>
      <c r="K16" s="53">
        <v>120</v>
      </c>
      <c r="L16" s="4">
        <v>7.6929999999999996</v>
      </c>
      <c r="M16" s="54">
        <v>7.6929999999999996</v>
      </c>
      <c r="N16" s="4">
        <v>7.6929999999999996</v>
      </c>
      <c r="O16" s="54">
        <v>7.6929999999999996</v>
      </c>
      <c r="P16" s="4">
        <v>0</v>
      </c>
      <c r="Q16" s="3" t="s">
        <v>26</v>
      </c>
      <c r="R16" s="3">
        <v>0</v>
      </c>
      <c r="S16" s="4">
        <v>8</v>
      </c>
      <c r="T16" s="4">
        <v>14</v>
      </c>
      <c r="U16" s="4">
        <v>77</v>
      </c>
      <c r="V16" s="54">
        <f>IF(ISERROR(VLOOKUP($S$16,'TAR FIN'!$A$1:$O$91,15,0)),0,VLOOKUP($S$16,'TAR FIN'!$A$1:$O$91,15,0))*(1-0.06)</f>
        <v>52.950199999999995</v>
      </c>
      <c r="W16" s="54">
        <f>IF(ISERROR(VLOOKUP($T$16,'TAR FIN'!$A$1:$O$91,15,0)),0,VLOOKUP($T$16,'TAR FIN'!$A$1:$O$91,15,0))*(1-0.06)</f>
        <v>66.871600000000001</v>
      </c>
      <c r="X16" s="54">
        <f>IF(ISERROR(VLOOKUP($U$16,'TAR FIN'!$A$1:$O$91,15,0)),0,VLOOKUP($U$16,'TAR FIN'!$A$1:$O$91,15,0))*(1-0.06)</f>
        <v>234.29499999999999</v>
      </c>
      <c r="Y16" s="54">
        <f ca="1">('TUSD BE'!$AM$5+'TUSD BF'!$AM$5+'TUSD CVA'!$AM$5)*1*(1-0.03)</f>
        <v>64.230666268128303</v>
      </c>
      <c r="Z16" s="54">
        <f ca="1">('TUSD BE'!$AM$7+'TUSD BF'!$AM$7+'TUSD CVA'!$AM$7)*1*(1-0.03)</f>
        <v>99.799749520056594</v>
      </c>
      <c r="AA16" s="54">
        <f>('TE BE'!$AB$5+'TE BF'!$AB$5+'TE CVA'!$AB$5)*1*(1-0.03)</f>
        <v>197.28126009827187</v>
      </c>
      <c r="AB16" s="4">
        <f>$K$16*$V$16</f>
        <v>6354.0239999999994</v>
      </c>
      <c r="AC16" s="4">
        <f>$M$16*$W$16</f>
        <v>514.44321879999995</v>
      </c>
      <c r="AD16" s="4">
        <f>$O$16*$X$16</f>
        <v>1802.4314349999997</v>
      </c>
      <c r="AE16" s="4">
        <f ca="1">$K$16*$Y$16</f>
        <v>7707.6799521753965</v>
      </c>
      <c r="AF16" s="4">
        <f ca="1">$M$16*$Z$16</f>
        <v>767.75947305779539</v>
      </c>
      <c r="AG16" s="4">
        <f>$O$16*$AA$16</f>
        <v>1517.6847339360054</v>
      </c>
    </row>
    <row r="17" spans="1:33" ht="11.25" customHeight="1" x14ac:dyDescent="0.25">
      <c r="A17" s="3" t="s">
        <v>21</v>
      </c>
      <c r="B17" s="3" t="s">
        <v>35</v>
      </c>
      <c r="C17" s="3" t="s">
        <v>48</v>
      </c>
      <c r="D17" s="3" t="s">
        <v>46</v>
      </c>
      <c r="E17" s="3" t="s">
        <v>47</v>
      </c>
      <c r="F17" s="3" t="s">
        <v>25</v>
      </c>
      <c r="G17" s="3" t="s">
        <v>25</v>
      </c>
      <c r="H17" s="3" t="s">
        <v>37</v>
      </c>
      <c r="I17" s="6">
        <v>44531</v>
      </c>
      <c r="J17" s="4">
        <v>119</v>
      </c>
      <c r="K17" s="53">
        <v>119</v>
      </c>
      <c r="L17" s="4">
        <v>7.806</v>
      </c>
      <c r="M17" s="54">
        <v>7.806</v>
      </c>
      <c r="N17" s="4">
        <v>7.806</v>
      </c>
      <c r="O17" s="54">
        <v>7.806</v>
      </c>
      <c r="P17" s="4">
        <v>0</v>
      </c>
      <c r="Q17" s="3" t="s">
        <v>26</v>
      </c>
      <c r="R17" s="3">
        <v>0</v>
      </c>
      <c r="S17" s="4">
        <v>8</v>
      </c>
      <c r="T17" s="4">
        <v>14</v>
      </c>
      <c r="U17" s="4">
        <v>77</v>
      </c>
      <c r="V17" s="54">
        <f>IF(ISERROR(VLOOKUP($S$17,'TAR FIN'!$A$1:$O$91,15,0)),0,VLOOKUP($S$17,'TAR FIN'!$A$1:$O$91,15,0))*(1-0.06)</f>
        <v>52.950199999999995</v>
      </c>
      <c r="W17" s="54">
        <f>IF(ISERROR(VLOOKUP($T$17,'TAR FIN'!$A$1:$O$91,15,0)),0,VLOOKUP($T$17,'TAR FIN'!$A$1:$O$91,15,0))*(1-0.06)</f>
        <v>66.871600000000001</v>
      </c>
      <c r="X17" s="54">
        <f>IF(ISERROR(VLOOKUP($U$17,'TAR FIN'!$A$1:$O$91,15,0)),0,VLOOKUP($U$17,'TAR FIN'!$A$1:$O$91,15,0))*(1-0.06)</f>
        <v>234.29499999999999</v>
      </c>
      <c r="Y17" s="54">
        <f ca="1">('TUSD BE'!$AM$5+'TUSD BF'!$AM$5+'TUSD CVA'!$AM$5)*1*(1-0.03)</f>
        <v>64.230666268128303</v>
      </c>
      <c r="Z17" s="54">
        <f ca="1">('TUSD BE'!$AM$7+'TUSD BF'!$AM$7+'TUSD CVA'!$AM$7)*1*(1-0.03)</f>
        <v>99.799749520056594</v>
      </c>
      <c r="AA17" s="54">
        <f>('TE BE'!$AB$5+'TE BF'!$AB$5+'TE CVA'!$AB$5)*1*(1-0.03)</f>
        <v>197.28126009827187</v>
      </c>
      <c r="AB17" s="4">
        <f>$K$17*$V$17</f>
        <v>6301.0737999999992</v>
      </c>
      <c r="AC17" s="4">
        <f>$M$17*$W$17</f>
        <v>521.99970959999996</v>
      </c>
      <c r="AD17" s="4">
        <f>$O$17*$X$17</f>
        <v>1828.9067699999998</v>
      </c>
      <c r="AE17" s="4">
        <f ca="1">$K$17*$Y$17</f>
        <v>7643.4492859072679</v>
      </c>
      <c r="AF17" s="4">
        <f ca="1">$M$17*$Z$17</f>
        <v>779.03684475356181</v>
      </c>
      <c r="AG17" s="4">
        <f>$O$17*$AA$17</f>
        <v>1539.9775163271102</v>
      </c>
    </row>
    <row r="18" spans="1:33" ht="11.25" customHeight="1" x14ac:dyDescent="0.25">
      <c r="A18" s="3" t="s">
        <v>21</v>
      </c>
      <c r="B18" s="3" t="s">
        <v>35</v>
      </c>
      <c r="C18" s="3" t="s">
        <v>48</v>
      </c>
      <c r="D18" s="3" t="s">
        <v>46</v>
      </c>
      <c r="E18" s="3" t="s">
        <v>47</v>
      </c>
      <c r="F18" s="3" t="s">
        <v>25</v>
      </c>
      <c r="G18" s="3" t="s">
        <v>25</v>
      </c>
      <c r="H18" s="3" t="s">
        <v>37</v>
      </c>
      <c r="I18" s="6">
        <v>44562</v>
      </c>
      <c r="J18" s="4">
        <v>122</v>
      </c>
      <c r="K18" s="53">
        <v>122</v>
      </c>
      <c r="L18" s="4">
        <v>7.3620000000000001</v>
      </c>
      <c r="M18" s="54">
        <v>7.3620000000000001</v>
      </c>
      <c r="N18" s="4">
        <v>7.3620000000000001</v>
      </c>
      <c r="O18" s="54">
        <v>7.3620000000000001</v>
      </c>
      <c r="P18" s="4">
        <v>0</v>
      </c>
      <c r="Q18" s="3" t="s">
        <v>26</v>
      </c>
      <c r="R18" s="3">
        <v>0</v>
      </c>
      <c r="S18" s="4">
        <v>8</v>
      </c>
      <c r="T18" s="4">
        <v>14</v>
      </c>
      <c r="U18" s="4">
        <v>77</v>
      </c>
      <c r="V18" s="54">
        <f>IF(ISERROR(VLOOKUP($S$18,'TAR FIN'!$A$1:$O$91,15,0)),0,VLOOKUP($S$18,'TAR FIN'!$A$1:$O$91,15,0))*(1-0.06)</f>
        <v>52.950199999999995</v>
      </c>
      <c r="W18" s="54">
        <f>IF(ISERROR(VLOOKUP($T$18,'TAR FIN'!$A$1:$O$91,15,0)),0,VLOOKUP($T$18,'TAR FIN'!$A$1:$O$91,15,0))*(1-0.06)</f>
        <v>66.871600000000001</v>
      </c>
      <c r="X18" s="54">
        <f>IF(ISERROR(VLOOKUP($U$18,'TAR FIN'!$A$1:$O$91,15,0)),0,VLOOKUP($U$18,'TAR FIN'!$A$1:$O$91,15,0))*(1-0.06)</f>
        <v>234.29499999999999</v>
      </c>
      <c r="Y18" s="54">
        <f ca="1">('TUSD BE'!$AM$5+'TUSD BF'!$AM$5+'TUSD CVA'!$AM$5)*1*(1-0.03)</f>
        <v>64.230666268128303</v>
      </c>
      <c r="Z18" s="54">
        <f ca="1">('TUSD BE'!$AM$7+'TUSD BF'!$AM$7+'TUSD CVA'!$AM$7)*1*(1-0.03)</f>
        <v>99.799749520056594</v>
      </c>
      <c r="AA18" s="54">
        <f>('TE BE'!$AB$5+'TE BF'!$AB$5+'TE CVA'!$AB$5)*1*(1-0.03)</f>
        <v>197.28126009827187</v>
      </c>
      <c r="AB18" s="4">
        <f>$K$18*$V$18</f>
        <v>6459.9243999999999</v>
      </c>
      <c r="AC18" s="4">
        <f>$M$18*$W$18</f>
        <v>492.30871919999998</v>
      </c>
      <c r="AD18" s="4">
        <f>$O$18*$X$18</f>
        <v>1724.87979</v>
      </c>
      <c r="AE18" s="4">
        <f ca="1">$K$18*$Y$18</f>
        <v>7836.1412847116526</v>
      </c>
      <c r="AF18" s="4">
        <f ca="1">$M$18*$Z$18</f>
        <v>734.72575596665661</v>
      </c>
      <c r="AG18" s="4">
        <f>$O$18*$AA$18</f>
        <v>1452.3846368434774</v>
      </c>
    </row>
    <row r="19" spans="1:33" ht="11.25" customHeight="1" x14ac:dyDescent="0.25">
      <c r="A19" s="3" t="s">
        <v>21</v>
      </c>
      <c r="B19" s="3" t="s">
        <v>35</v>
      </c>
      <c r="C19" s="3" t="s">
        <v>48</v>
      </c>
      <c r="D19" s="3" t="s">
        <v>46</v>
      </c>
      <c r="E19" s="3" t="s">
        <v>47</v>
      </c>
      <c r="F19" s="3" t="s">
        <v>25</v>
      </c>
      <c r="G19" s="3" t="s">
        <v>25</v>
      </c>
      <c r="H19" s="3" t="s">
        <v>37</v>
      </c>
      <c r="I19" s="6">
        <v>44593</v>
      </c>
      <c r="J19" s="4">
        <v>122</v>
      </c>
      <c r="K19" s="53">
        <v>122</v>
      </c>
      <c r="L19" s="4">
        <v>7.2539999999999996</v>
      </c>
      <c r="M19" s="54">
        <v>7.2539999999999996</v>
      </c>
      <c r="N19" s="4">
        <v>7.2539999999999996</v>
      </c>
      <c r="O19" s="54">
        <v>7.2539999999999996</v>
      </c>
      <c r="P19" s="4">
        <v>0</v>
      </c>
      <c r="Q19" s="3" t="s">
        <v>26</v>
      </c>
      <c r="R19" s="3">
        <v>0</v>
      </c>
      <c r="S19" s="4">
        <v>8</v>
      </c>
      <c r="T19" s="4">
        <v>14</v>
      </c>
      <c r="U19" s="4">
        <v>77</v>
      </c>
      <c r="V19" s="54">
        <f>IF(ISERROR(VLOOKUP($S$19,'TAR FIN'!$A$1:$O$91,15,0)),0,VLOOKUP($S$19,'TAR FIN'!$A$1:$O$91,15,0))*(1-0.06)</f>
        <v>52.950199999999995</v>
      </c>
      <c r="W19" s="54">
        <f>IF(ISERROR(VLOOKUP($T$19,'TAR FIN'!$A$1:$O$91,15,0)),0,VLOOKUP($T$19,'TAR FIN'!$A$1:$O$91,15,0))*(1-0.06)</f>
        <v>66.871600000000001</v>
      </c>
      <c r="X19" s="54">
        <f>IF(ISERROR(VLOOKUP($U$19,'TAR FIN'!$A$1:$O$91,15,0)),0,VLOOKUP($U$19,'TAR FIN'!$A$1:$O$91,15,0))*(1-0.06)</f>
        <v>234.29499999999999</v>
      </c>
      <c r="Y19" s="54">
        <f ca="1">('TUSD BE'!$AM$5+'TUSD BF'!$AM$5+'TUSD CVA'!$AM$5)*1*(1-0.03)</f>
        <v>64.230666268128303</v>
      </c>
      <c r="Z19" s="54">
        <f ca="1">('TUSD BE'!$AM$7+'TUSD BF'!$AM$7+'TUSD CVA'!$AM$7)*1*(1-0.03)</f>
        <v>99.799749520056594</v>
      </c>
      <c r="AA19" s="54">
        <f>('TE BE'!$AB$5+'TE BF'!$AB$5+'TE CVA'!$AB$5)*1*(1-0.03)</f>
        <v>197.28126009827187</v>
      </c>
      <c r="AB19" s="4">
        <f>$K$19*$V$19</f>
        <v>6459.9243999999999</v>
      </c>
      <c r="AC19" s="4">
        <f>$M$19*$W$19</f>
        <v>485.08658639999999</v>
      </c>
      <c r="AD19" s="4">
        <f>$O$19*$X$19</f>
        <v>1699.5759299999997</v>
      </c>
      <c r="AE19" s="4">
        <f ca="1">$K$19*$Y$19</f>
        <v>7836.1412847116526</v>
      </c>
      <c r="AF19" s="4">
        <f ca="1">$M$19*$Z$19</f>
        <v>723.94738301849054</v>
      </c>
      <c r="AG19" s="4">
        <f>$O$19*$AA$19</f>
        <v>1431.078260752864</v>
      </c>
    </row>
    <row r="20" spans="1:33" ht="11.25" customHeight="1" x14ac:dyDescent="0.25">
      <c r="A20" s="3" t="s">
        <v>21</v>
      </c>
      <c r="B20" s="3" t="s">
        <v>35</v>
      </c>
      <c r="C20" s="3" t="s">
        <v>48</v>
      </c>
      <c r="D20" s="3" t="s">
        <v>46</v>
      </c>
      <c r="E20" s="3" t="s">
        <v>47</v>
      </c>
      <c r="F20" s="3" t="s">
        <v>25</v>
      </c>
      <c r="G20" s="3" t="s">
        <v>25</v>
      </c>
      <c r="H20" s="3" t="s">
        <v>37</v>
      </c>
      <c r="I20" s="6">
        <v>44621</v>
      </c>
      <c r="J20" s="4">
        <v>121</v>
      </c>
      <c r="K20" s="53">
        <v>121</v>
      </c>
      <c r="L20" s="4">
        <v>7.9989999999999997</v>
      </c>
      <c r="M20" s="54">
        <v>7.9989999999999997</v>
      </c>
      <c r="N20" s="4">
        <v>7.9989999999999997</v>
      </c>
      <c r="O20" s="54">
        <v>7.9989999999999997</v>
      </c>
      <c r="P20" s="4">
        <v>0</v>
      </c>
      <c r="Q20" s="3" t="s">
        <v>26</v>
      </c>
      <c r="R20" s="3">
        <v>0</v>
      </c>
      <c r="S20" s="4">
        <v>8</v>
      </c>
      <c r="T20" s="4">
        <v>14</v>
      </c>
      <c r="U20" s="4">
        <v>77</v>
      </c>
      <c r="V20" s="54">
        <f>IF(ISERROR(VLOOKUP($S$20,'TAR FIN'!$A$1:$O$91,15,0)),0,VLOOKUP($S$20,'TAR FIN'!$A$1:$O$91,15,0))*(1-0.06)</f>
        <v>52.950199999999995</v>
      </c>
      <c r="W20" s="54">
        <f>IF(ISERROR(VLOOKUP($T$20,'TAR FIN'!$A$1:$O$91,15,0)),0,VLOOKUP($T$20,'TAR FIN'!$A$1:$O$91,15,0))*(1-0.06)</f>
        <v>66.871600000000001</v>
      </c>
      <c r="X20" s="54">
        <f>IF(ISERROR(VLOOKUP($U$20,'TAR FIN'!$A$1:$O$91,15,0)),0,VLOOKUP($U$20,'TAR FIN'!$A$1:$O$91,15,0))*(1-0.06)</f>
        <v>234.29499999999999</v>
      </c>
      <c r="Y20" s="54">
        <f ca="1">('TUSD BE'!$AM$5+'TUSD BF'!$AM$5+'TUSD CVA'!$AM$5)*1*(1-0.03)</f>
        <v>64.230666268128303</v>
      </c>
      <c r="Z20" s="54">
        <f ca="1">('TUSD BE'!$AM$7+'TUSD BF'!$AM$7+'TUSD CVA'!$AM$7)*1*(1-0.03)</f>
        <v>99.799749520056594</v>
      </c>
      <c r="AA20" s="54">
        <f>('TE BE'!$AB$5+'TE BF'!$AB$5+'TE CVA'!$AB$5)*1*(1-0.03)</f>
        <v>197.28126009827187</v>
      </c>
      <c r="AB20" s="4">
        <f>$K$20*$V$20</f>
        <v>6406.9741999999997</v>
      </c>
      <c r="AC20" s="4">
        <f>$M$20*$W$20</f>
        <v>534.90592839999999</v>
      </c>
      <c r="AD20" s="4">
        <f>$O$20*$X$20</f>
        <v>1874.1257049999999</v>
      </c>
      <c r="AE20" s="4">
        <f ca="1">$K$20*$Y$20</f>
        <v>7771.910618443525</v>
      </c>
      <c r="AF20" s="4">
        <f ca="1">$M$20*$Z$20</f>
        <v>798.29819641093263</v>
      </c>
      <c r="AG20" s="4">
        <f>$O$20*$AA$20</f>
        <v>1578.0527995260766</v>
      </c>
    </row>
    <row r="21" spans="1:33" ht="11.25" customHeight="1" x14ac:dyDescent="0.25">
      <c r="A21" s="3" t="s">
        <v>21</v>
      </c>
      <c r="B21" s="3" t="s">
        <v>35</v>
      </c>
      <c r="C21" s="3" t="s">
        <v>48</v>
      </c>
      <c r="D21" s="3" t="s">
        <v>46</v>
      </c>
      <c r="E21" s="3" t="s">
        <v>47</v>
      </c>
      <c r="F21" s="3" t="s">
        <v>25</v>
      </c>
      <c r="G21" s="3" t="s">
        <v>25</v>
      </c>
      <c r="H21" s="3" t="s">
        <v>37</v>
      </c>
      <c r="I21" s="6">
        <v>44652</v>
      </c>
      <c r="J21" s="4">
        <v>119</v>
      </c>
      <c r="K21" s="53">
        <v>119</v>
      </c>
      <c r="L21" s="4">
        <v>7.383</v>
      </c>
      <c r="M21" s="54">
        <v>7.383</v>
      </c>
      <c r="N21" s="4">
        <v>7.383</v>
      </c>
      <c r="O21" s="54">
        <v>7.383</v>
      </c>
      <c r="P21" s="4">
        <v>0</v>
      </c>
      <c r="Q21" s="3" t="s">
        <v>26</v>
      </c>
      <c r="R21" s="3">
        <v>0</v>
      </c>
      <c r="S21" s="4">
        <v>8</v>
      </c>
      <c r="T21" s="4">
        <v>14</v>
      </c>
      <c r="U21" s="4">
        <v>77</v>
      </c>
      <c r="V21" s="54">
        <f>IF(ISERROR(VLOOKUP($S$21,'TAR FIN'!$A$1:$O$91,15,0)),0,VLOOKUP($S$21,'TAR FIN'!$A$1:$O$91,15,0))*(1-0.06)</f>
        <v>52.950199999999995</v>
      </c>
      <c r="W21" s="54">
        <f>IF(ISERROR(VLOOKUP($T$21,'TAR FIN'!$A$1:$O$91,15,0)),0,VLOOKUP($T$21,'TAR FIN'!$A$1:$O$91,15,0))*(1-0.06)</f>
        <v>66.871600000000001</v>
      </c>
      <c r="X21" s="54">
        <f>IF(ISERROR(VLOOKUP($U$21,'TAR FIN'!$A$1:$O$91,15,0)),0,VLOOKUP($U$21,'TAR FIN'!$A$1:$O$91,15,0))*(1-0.06)</f>
        <v>234.29499999999999</v>
      </c>
      <c r="Y21" s="54">
        <f ca="1">('TUSD BE'!$AM$5+'TUSD BF'!$AM$5+'TUSD CVA'!$AM$5)*1*(1-0.03)</f>
        <v>64.230666268128303</v>
      </c>
      <c r="Z21" s="54">
        <f ca="1">('TUSD BE'!$AM$7+'TUSD BF'!$AM$7+'TUSD CVA'!$AM$7)*1*(1-0.03)</f>
        <v>99.799749520056594</v>
      </c>
      <c r="AA21" s="54">
        <f>('TE BE'!$AB$5+'TE BF'!$AB$5+'TE CVA'!$AB$5)*1*(1-0.03)</f>
        <v>197.28126009827187</v>
      </c>
      <c r="AB21" s="4">
        <f>$K$21*$V$21</f>
        <v>6301.0737999999992</v>
      </c>
      <c r="AC21" s="4">
        <f>$M$21*$W$21</f>
        <v>493.71302280000003</v>
      </c>
      <c r="AD21" s="4">
        <f>$O$21*$X$21</f>
        <v>1729.7999849999999</v>
      </c>
      <c r="AE21" s="4">
        <f ca="1">$K$21*$Y$21</f>
        <v>7643.4492859072679</v>
      </c>
      <c r="AF21" s="4">
        <f ca="1">$M$21*$Z$21</f>
        <v>736.8215507065778</v>
      </c>
      <c r="AG21" s="4">
        <f>$O$21*$AA$21</f>
        <v>1456.5275433055413</v>
      </c>
    </row>
    <row r="22" spans="1:33" ht="11.25" customHeight="1" x14ac:dyDescent="0.25">
      <c r="A22" s="3" t="s">
        <v>21</v>
      </c>
      <c r="B22" s="3" t="s">
        <v>35</v>
      </c>
      <c r="C22" s="3" t="s">
        <v>48</v>
      </c>
      <c r="D22" s="3" t="s">
        <v>46</v>
      </c>
      <c r="E22" s="3" t="s">
        <v>47</v>
      </c>
      <c r="F22" s="3" t="s">
        <v>25</v>
      </c>
      <c r="G22" s="3" t="s">
        <v>25</v>
      </c>
      <c r="H22" s="3" t="s">
        <v>37</v>
      </c>
      <c r="I22" s="6">
        <v>44682</v>
      </c>
      <c r="J22" s="4">
        <v>134</v>
      </c>
      <c r="K22" s="53">
        <v>134</v>
      </c>
      <c r="L22" s="4">
        <v>7.6139999999999999</v>
      </c>
      <c r="M22" s="54">
        <v>7.6139999999999999</v>
      </c>
      <c r="N22" s="4">
        <v>7.6139999999999999</v>
      </c>
      <c r="O22" s="54">
        <v>7.6139999999999999</v>
      </c>
      <c r="P22" s="4">
        <v>0</v>
      </c>
      <c r="Q22" s="3" t="s">
        <v>26</v>
      </c>
      <c r="R22" s="3">
        <v>0</v>
      </c>
      <c r="S22" s="4">
        <v>8</v>
      </c>
      <c r="T22" s="4">
        <v>14</v>
      </c>
      <c r="U22" s="4">
        <v>77</v>
      </c>
      <c r="V22" s="54">
        <f>IF(ISERROR(VLOOKUP($S$22,'TAR FIN'!$A$1:$O$91,15,0)),0,VLOOKUP($S$22,'TAR FIN'!$A$1:$O$91,15,0))*(1-0.06)</f>
        <v>52.950199999999995</v>
      </c>
      <c r="W22" s="54">
        <f>IF(ISERROR(VLOOKUP($T$22,'TAR FIN'!$A$1:$O$91,15,0)),0,VLOOKUP($T$22,'TAR FIN'!$A$1:$O$91,15,0))*(1-0.06)</f>
        <v>66.871600000000001</v>
      </c>
      <c r="X22" s="54">
        <f>IF(ISERROR(VLOOKUP($U$22,'TAR FIN'!$A$1:$O$91,15,0)),0,VLOOKUP($U$22,'TAR FIN'!$A$1:$O$91,15,0))*(1-0.06)</f>
        <v>234.29499999999999</v>
      </c>
      <c r="Y22" s="54">
        <f ca="1">('TUSD BE'!$AM$5+'TUSD BF'!$AM$5+'TUSD CVA'!$AM$5)*1*(1-0.03)</f>
        <v>64.230666268128303</v>
      </c>
      <c r="Z22" s="54">
        <f ca="1">('TUSD BE'!$AM$7+'TUSD BF'!$AM$7+'TUSD CVA'!$AM$7)*1*(1-0.03)</f>
        <v>99.799749520056594</v>
      </c>
      <c r="AA22" s="54">
        <f>('TE BE'!$AB$5+'TE BF'!$AB$5+'TE CVA'!$AB$5)*1*(1-0.03)</f>
        <v>197.28126009827187</v>
      </c>
      <c r="AB22" s="4">
        <f>$K$22*$V$22</f>
        <v>7095.3267999999989</v>
      </c>
      <c r="AC22" s="4">
        <f>$M$22*$W$22</f>
        <v>509.1603624</v>
      </c>
      <c r="AD22" s="4">
        <f>$O$22*$X$22</f>
        <v>1783.9221299999999</v>
      </c>
      <c r="AE22" s="4">
        <f ca="1">$K$22*$Y$22</f>
        <v>8606.9092799291921</v>
      </c>
      <c r="AF22" s="4">
        <f ca="1">$M$22*$Z$22</f>
        <v>759.87529284571087</v>
      </c>
      <c r="AG22" s="4">
        <f>$O$22*$AA$22</f>
        <v>1502.0995143882419</v>
      </c>
    </row>
    <row r="23" spans="1:33" ht="11.25" customHeight="1" x14ac:dyDescent="0.25">
      <c r="A23" s="3" t="s">
        <v>21</v>
      </c>
      <c r="B23" s="3" t="s">
        <v>35</v>
      </c>
      <c r="C23" s="3" t="s">
        <v>48</v>
      </c>
      <c r="D23" s="3" t="s">
        <v>46</v>
      </c>
      <c r="E23" s="3" t="s">
        <v>47</v>
      </c>
      <c r="F23" s="3" t="s">
        <v>25</v>
      </c>
      <c r="G23" s="3" t="s">
        <v>25</v>
      </c>
      <c r="H23" s="3" t="s">
        <v>37</v>
      </c>
      <c r="I23" s="6">
        <v>44713</v>
      </c>
      <c r="J23" s="4">
        <v>119</v>
      </c>
      <c r="K23" s="53">
        <v>119</v>
      </c>
      <c r="L23" s="4">
        <v>7.6159999999999997</v>
      </c>
      <c r="M23" s="54">
        <v>7.6159999999999997</v>
      </c>
      <c r="N23" s="4">
        <v>7.6159999999999997</v>
      </c>
      <c r="O23" s="54">
        <v>7.6159999999999997</v>
      </c>
      <c r="P23" s="4">
        <v>0</v>
      </c>
      <c r="Q23" s="3" t="s">
        <v>26</v>
      </c>
      <c r="R23" s="3">
        <v>0</v>
      </c>
      <c r="S23" s="4">
        <v>8</v>
      </c>
      <c r="T23" s="4">
        <v>14</v>
      </c>
      <c r="U23" s="4">
        <v>77</v>
      </c>
      <c r="V23" s="54">
        <f>IF(ISERROR(VLOOKUP($S$23,'TAR FIN'!$A$1:$O$91,15,0)),0,VLOOKUP($S$23,'TAR FIN'!$A$1:$O$91,15,0))*(1-0.06)</f>
        <v>52.950199999999995</v>
      </c>
      <c r="W23" s="54">
        <f>IF(ISERROR(VLOOKUP($T$23,'TAR FIN'!$A$1:$O$91,15,0)),0,VLOOKUP($T$23,'TAR FIN'!$A$1:$O$91,15,0))*(1-0.06)</f>
        <v>66.871600000000001</v>
      </c>
      <c r="X23" s="54">
        <f>IF(ISERROR(VLOOKUP($U$23,'TAR FIN'!$A$1:$O$91,15,0)),0,VLOOKUP($U$23,'TAR FIN'!$A$1:$O$91,15,0))*(1-0.06)</f>
        <v>234.29499999999999</v>
      </c>
      <c r="Y23" s="54">
        <f ca="1">('TUSD BE'!$AM$5+'TUSD BF'!$AM$5+'TUSD CVA'!$AM$5)*1*(1-0.03)</f>
        <v>64.230666268128303</v>
      </c>
      <c r="Z23" s="54">
        <f ca="1">('TUSD BE'!$AM$7+'TUSD BF'!$AM$7+'TUSD CVA'!$AM$7)*1*(1-0.03)</f>
        <v>99.799749520056594</v>
      </c>
      <c r="AA23" s="54">
        <f>('TE BE'!$AB$5+'TE BF'!$AB$5+'TE CVA'!$AB$5)*1*(1-0.03)</f>
        <v>197.28126009827187</v>
      </c>
      <c r="AB23" s="4">
        <f>$K$23*$V$23</f>
        <v>6301.0737999999992</v>
      </c>
      <c r="AC23" s="4">
        <f>$M$23*$W$23</f>
        <v>509.29410559999997</v>
      </c>
      <c r="AD23" s="4">
        <f>$O$23*$X$23</f>
        <v>1784.3907199999999</v>
      </c>
      <c r="AE23" s="4">
        <f ca="1">$K$23*$Y$23</f>
        <v>7643.4492859072679</v>
      </c>
      <c r="AF23" s="4">
        <f ca="1">$M$23*$Z$23</f>
        <v>760.07489234475099</v>
      </c>
      <c r="AG23" s="4">
        <f>$O$23*$AA$23</f>
        <v>1502.4940769084385</v>
      </c>
    </row>
    <row r="24" spans="1:33" ht="11.25" customHeight="1" x14ac:dyDescent="0.25">
      <c r="A24" s="3" t="s">
        <v>21</v>
      </c>
      <c r="B24" s="3" t="s">
        <v>35</v>
      </c>
      <c r="C24" s="3" t="s">
        <v>48</v>
      </c>
      <c r="D24" s="3" t="s">
        <v>46</v>
      </c>
      <c r="E24" s="3" t="s">
        <v>47</v>
      </c>
      <c r="F24" s="3" t="s">
        <v>25</v>
      </c>
      <c r="G24" s="3" t="s">
        <v>25</v>
      </c>
      <c r="H24" s="3" t="s">
        <v>37</v>
      </c>
      <c r="I24" s="6">
        <v>44743</v>
      </c>
      <c r="J24" s="4">
        <v>119</v>
      </c>
      <c r="K24" s="53">
        <v>119</v>
      </c>
      <c r="L24" s="4">
        <v>7.0119999999999996</v>
      </c>
      <c r="M24" s="54">
        <v>7.0119999999999996</v>
      </c>
      <c r="N24" s="4">
        <v>7.0119999999999996</v>
      </c>
      <c r="O24" s="54">
        <v>7.0119999999999996</v>
      </c>
      <c r="P24" s="4">
        <v>0</v>
      </c>
      <c r="Q24" s="3" t="s">
        <v>26</v>
      </c>
      <c r="R24" s="3">
        <v>0</v>
      </c>
      <c r="S24" s="4">
        <v>8</v>
      </c>
      <c r="T24" s="4">
        <v>14</v>
      </c>
      <c r="U24" s="4">
        <v>77</v>
      </c>
      <c r="V24" s="54">
        <f>IF(ISERROR(VLOOKUP($S$24,'TAR FIN'!$A$1:$O$91,15,0)),0,VLOOKUP($S$24,'TAR FIN'!$A$1:$O$91,15,0))*(1-0.06)</f>
        <v>52.950199999999995</v>
      </c>
      <c r="W24" s="54">
        <f>IF(ISERROR(VLOOKUP($T$24,'TAR FIN'!$A$1:$O$91,15,0)),0,VLOOKUP($T$24,'TAR FIN'!$A$1:$O$91,15,0))*(1-0.06)</f>
        <v>66.871600000000001</v>
      </c>
      <c r="X24" s="54">
        <f>IF(ISERROR(VLOOKUP($U$24,'TAR FIN'!$A$1:$O$91,15,0)),0,VLOOKUP($U$24,'TAR FIN'!$A$1:$O$91,15,0))*(1-0.06)</f>
        <v>234.29499999999999</v>
      </c>
      <c r="Y24" s="54">
        <f ca="1">('TUSD BE'!$AM$5+'TUSD BF'!$AM$5+'TUSD CVA'!$AM$5)*1*(1-0.03)</f>
        <v>64.230666268128303</v>
      </c>
      <c r="Z24" s="54">
        <f ca="1">('TUSD BE'!$AM$7+'TUSD BF'!$AM$7+'TUSD CVA'!$AM$7)*1*(1-0.03)</f>
        <v>99.799749520056594</v>
      </c>
      <c r="AA24" s="54">
        <f>('TE BE'!$AB$5+'TE BF'!$AB$5+'TE CVA'!$AB$5)*1*(1-0.03)</f>
        <v>197.28126009827187</v>
      </c>
      <c r="AB24" s="4">
        <f>$K$24*$V$24</f>
        <v>6301.0737999999992</v>
      </c>
      <c r="AC24" s="4">
        <f>$M$24*$W$24</f>
        <v>468.90365919999999</v>
      </c>
      <c r="AD24" s="4">
        <f>$O$24*$X$24</f>
        <v>1642.8765399999997</v>
      </c>
      <c r="AE24" s="4">
        <f ca="1">$K$24*$Y$24</f>
        <v>7643.4492859072679</v>
      </c>
      <c r="AF24" s="4">
        <f ca="1">$M$24*$Z$24</f>
        <v>699.79584363463675</v>
      </c>
      <c r="AG24" s="4">
        <f>$O$24*$AA$24</f>
        <v>1383.3361958090823</v>
      </c>
    </row>
    <row r="25" spans="1:33" ht="11.25" customHeight="1" x14ac:dyDescent="0.25">
      <c r="A25" s="3" t="s">
        <v>21</v>
      </c>
      <c r="B25" s="3" t="s">
        <v>35</v>
      </c>
      <c r="C25" s="3" t="s">
        <v>48</v>
      </c>
      <c r="D25" s="3" t="s">
        <v>46</v>
      </c>
      <c r="E25" s="3" t="s">
        <v>47</v>
      </c>
      <c r="F25" s="3" t="s">
        <v>25</v>
      </c>
      <c r="G25" s="3" t="s">
        <v>25</v>
      </c>
      <c r="H25" s="3" t="s">
        <v>37</v>
      </c>
      <c r="I25" s="6">
        <v>44774</v>
      </c>
      <c r="J25" s="4">
        <v>122</v>
      </c>
      <c r="K25" s="53">
        <v>122</v>
      </c>
      <c r="L25" s="4">
        <v>7.9409999999999998</v>
      </c>
      <c r="M25" s="54">
        <v>7.9409999999999998</v>
      </c>
      <c r="N25" s="4">
        <v>7.9409999999999998</v>
      </c>
      <c r="O25" s="54">
        <v>7.9409999999999998</v>
      </c>
      <c r="P25" s="4">
        <v>0</v>
      </c>
      <c r="Q25" s="3" t="s">
        <v>26</v>
      </c>
      <c r="R25" s="3">
        <v>0</v>
      </c>
      <c r="S25" s="4">
        <v>8</v>
      </c>
      <c r="T25" s="4">
        <v>14</v>
      </c>
      <c r="U25" s="4">
        <v>77</v>
      </c>
      <c r="V25" s="54">
        <f>IF(ISERROR(VLOOKUP($S$25,'TAR FIN'!$A$1:$O$91,15,0)),0,VLOOKUP($S$25,'TAR FIN'!$A$1:$O$91,15,0))*(1-0.06)</f>
        <v>52.950199999999995</v>
      </c>
      <c r="W25" s="54">
        <f>IF(ISERROR(VLOOKUP($T$25,'TAR FIN'!$A$1:$O$91,15,0)),0,VLOOKUP($T$25,'TAR FIN'!$A$1:$O$91,15,0))*(1-0.06)</f>
        <v>66.871600000000001</v>
      </c>
      <c r="X25" s="54">
        <f>IF(ISERROR(VLOOKUP($U$25,'TAR FIN'!$A$1:$O$91,15,0)),0,VLOOKUP($U$25,'TAR FIN'!$A$1:$O$91,15,0))*(1-0.06)</f>
        <v>234.29499999999999</v>
      </c>
      <c r="Y25" s="54">
        <f ca="1">('TUSD BE'!$AM$5+'TUSD BF'!$AM$5+'TUSD CVA'!$AM$5)*1*(1-0.03)</f>
        <v>64.230666268128303</v>
      </c>
      <c r="Z25" s="54">
        <f ca="1">('TUSD BE'!$AM$7+'TUSD BF'!$AM$7+'TUSD CVA'!$AM$7)*1*(1-0.03)</f>
        <v>99.799749520056594</v>
      </c>
      <c r="AA25" s="54">
        <f>('TE BE'!$AB$5+'TE BF'!$AB$5+'TE CVA'!$AB$5)*1*(1-0.03)</f>
        <v>197.28126009827187</v>
      </c>
      <c r="AB25" s="4">
        <f>$K$25*$V$25</f>
        <v>6459.9243999999999</v>
      </c>
      <c r="AC25" s="4">
        <f>$M$25*$W$25</f>
        <v>531.02737560000003</v>
      </c>
      <c r="AD25" s="4">
        <f>$O$25*$X$25</f>
        <v>1860.5365949999998</v>
      </c>
      <c r="AE25" s="4">
        <f ca="1">$K$25*$Y$25</f>
        <v>7836.1412847116526</v>
      </c>
      <c r="AF25" s="4">
        <f ca="1">$M$25*$Z$25</f>
        <v>792.50981093876942</v>
      </c>
      <c r="AG25" s="4">
        <f>$O$25*$AA$25</f>
        <v>1566.6104864403769</v>
      </c>
    </row>
    <row r="26" spans="1:33" ht="11.25" customHeight="1" x14ac:dyDescent="0.25">
      <c r="A26" s="3" t="s">
        <v>21</v>
      </c>
      <c r="B26" s="3" t="s">
        <v>35</v>
      </c>
      <c r="C26" s="3" t="s">
        <v>56</v>
      </c>
      <c r="D26" s="3" t="s">
        <v>25</v>
      </c>
      <c r="E26" s="3" t="s">
        <v>25</v>
      </c>
      <c r="F26" s="3" t="s">
        <v>57</v>
      </c>
      <c r="G26" s="3" t="s">
        <v>58</v>
      </c>
      <c r="H26" s="3" t="s">
        <v>38</v>
      </c>
      <c r="I26" s="6">
        <v>44440</v>
      </c>
      <c r="J26" s="4">
        <v>2500</v>
      </c>
      <c r="K26" s="34">
        <f>J26*(1-SUMIFS(CUSTOS!$T$40:$T$100,CUSTOS!$O$40:$O$100,EFEITO!G26,CUSTOS!$S$40:$S$100,EFEITO!B26,CUSTOS!$R$40:$R$100,"Potência"))</f>
        <v>2500</v>
      </c>
      <c r="L26" s="4">
        <v>481.97800000000001</v>
      </c>
      <c r="M26" s="34">
        <f>L26*(1-SUMIFS(CUSTOS!$T$40:$T$100,CUSTOS!$O$40:$O$100,EFEITO!G26,CUSTOS!$S$40:$S$100,EFEITO!B26,CUSTOS!$R$40:$R$100,"Potência"))</f>
        <v>481.97800000000001</v>
      </c>
      <c r="N26" s="4">
        <v>0</v>
      </c>
      <c r="O26" s="34">
        <f>N26*(1-SUMIFS(CUSTOS!$T$40:$T$100,CUSTOS!$O$40:$O$100,EFEITO!G26,CUSTOS!$S$40:$S$100,EFEITO!B26,CUSTOS!$R$40:$R$100,"Energia"))</f>
        <v>0</v>
      </c>
      <c r="P26" s="4">
        <v>0</v>
      </c>
      <c r="Q26" s="3" t="s">
        <v>59</v>
      </c>
      <c r="R26" s="3">
        <v>5351</v>
      </c>
      <c r="S26" s="4">
        <v>6</v>
      </c>
      <c r="T26" s="4">
        <v>1</v>
      </c>
      <c r="U26" s="4">
        <v>0</v>
      </c>
      <c r="V26" s="4">
        <f>IF(ISERROR(VLOOKUP($S$26,'TAR FIN'!$A$1:$O$91,15,0)),0,VLOOKUP($S$26,'TAR FIN'!$A$1:$O$91,15,0))</f>
        <v>14.44</v>
      </c>
      <c r="W26" s="4">
        <f>IF(ISERROR(VLOOKUP($T$26,'TAR FIN'!$A$1:$O$91,15,0)),0,VLOOKUP($T$26,'TAR FIN'!$A$1:$O$91,15,0))</f>
        <v>10.52</v>
      </c>
      <c r="X26" s="4">
        <f>IF(ISERROR(VLOOKUP($U$26,'TAR FIN'!$A$1:$O$91,15,0)),0,VLOOKUP($U$26,'TAR FIN'!$A$1:$O$91,15,0))</f>
        <v>0</v>
      </c>
      <c r="Y26" s="4">
        <f ca="1">('TUSD BE'!$AM$10+'TUSD BF'!$AM$10+'TUSD CVA'!$AM$10)*1</f>
        <v>16.859088917825055</v>
      </c>
      <c r="Z26" s="4">
        <f ca="1">('TUSD BE'!$AM$11+'TUSD BF'!$AM$11+'TUSD CVA'!$AM$11)*1</f>
        <v>8.9251920173408053</v>
      </c>
      <c r="AA26" s="4">
        <f>('TE BE'!$AB$8+'TE BF'!$AB$8+'TE CVA'!$AB$8)*1</f>
        <v>203.47604618827933</v>
      </c>
      <c r="AB26" s="4">
        <f>$K$26*$V$26</f>
        <v>36100</v>
      </c>
      <c r="AC26" s="4">
        <f>$M$26*$W$26</f>
        <v>5070.4085599999999</v>
      </c>
      <c r="AD26" s="4">
        <f>$O$26*$X$26</f>
        <v>0</v>
      </c>
      <c r="AE26" s="4">
        <f ca="1">$K$26*$Y$26</f>
        <v>42147.722294562634</v>
      </c>
      <c r="AF26" s="4">
        <f ca="1">$M$26*$Z$26</f>
        <v>4301.7461981338865</v>
      </c>
      <c r="AG26" s="4">
        <f>$O$26*$AA$26</f>
        <v>0</v>
      </c>
    </row>
    <row r="27" spans="1:33" ht="11.25" customHeight="1" x14ac:dyDescent="0.25">
      <c r="A27" s="3" t="s">
        <v>21</v>
      </c>
      <c r="B27" s="3" t="s">
        <v>35</v>
      </c>
      <c r="C27" s="3" t="s">
        <v>56</v>
      </c>
      <c r="D27" s="3" t="s">
        <v>25</v>
      </c>
      <c r="E27" s="3" t="s">
        <v>25</v>
      </c>
      <c r="F27" s="3" t="s">
        <v>57</v>
      </c>
      <c r="G27" s="3" t="s">
        <v>58</v>
      </c>
      <c r="H27" s="3" t="s">
        <v>38</v>
      </c>
      <c r="I27" s="6">
        <v>44470</v>
      </c>
      <c r="J27" s="4">
        <v>2500</v>
      </c>
      <c r="K27" s="34">
        <f>J27*(1-SUMIFS(CUSTOS!$T$40:$T$100,CUSTOS!$O$40:$O$100,EFEITO!G27,CUSTOS!$S$40:$S$100,EFEITO!B27,CUSTOS!$R$40:$R$100,"Potência"))</f>
        <v>2500</v>
      </c>
      <c r="L27" s="4">
        <v>292.416</v>
      </c>
      <c r="M27" s="34">
        <f>L27*(1-SUMIFS(CUSTOS!$T$40:$T$100,CUSTOS!$O$40:$O$100,EFEITO!G27,CUSTOS!$S$40:$S$100,EFEITO!B27,CUSTOS!$R$40:$R$100,"Potência"))</f>
        <v>292.416</v>
      </c>
      <c r="N27" s="4">
        <v>0</v>
      </c>
      <c r="O27" s="34">
        <f>N27*(1-SUMIFS(CUSTOS!$T$40:$T$100,CUSTOS!$O$40:$O$100,EFEITO!G27,CUSTOS!$S$40:$S$100,EFEITO!B27,CUSTOS!$R$40:$R$100,"Energia"))</f>
        <v>0</v>
      </c>
      <c r="P27" s="4">
        <v>0</v>
      </c>
      <c r="Q27" s="3" t="s">
        <v>59</v>
      </c>
      <c r="R27" s="3">
        <v>5351</v>
      </c>
      <c r="S27" s="4">
        <v>6</v>
      </c>
      <c r="T27" s="4">
        <v>1</v>
      </c>
      <c r="U27" s="4">
        <v>0</v>
      </c>
      <c r="V27" s="4">
        <f>IF(ISERROR(VLOOKUP($S$27,'TAR FIN'!$A$1:$O$91,15,0)),0,VLOOKUP($S$27,'TAR FIN'!$A$1:$O$91,15,0))</f>
        <v>14.44</v>
      </c>
      <c r="W27" s="4">
        <f>IF(ISERROR(VLOOKUP($T$27,'TAR FIN'!$A$1:$O$91,15,0)),0,VLOOKUP($T$27,'TAR FIN'!$A$1:$O$91,15,0))</f>
        <v>10.52</v>
      </c>
      <c r="X27" s="4">
        <f>IF(ISERROR(VLOOKUP($U$27,'TAR FIN'!$A$1:$O$91,15,0)),0,VLOOKUP($U$27,'TAR FIN'!$A$1:$O$91,15,0))</f>
        <v>0</v>
      </c>
      <c r="Y27" s="4">
        <f ca="1">('TUSD BE'!$AM$10+'TUSD BF'!$AM$10+'TUSD CVA'!$AM$10)*1</f>
        <v>16.859088917825055</v>
      </c>
      <c r="Z27" s="4">
        <f ca="1">('TUSD BE'!$AM$11+'TUSD BF'!$AM$11+'TUSD CVA'!$AM$11)*1</f>
        <v>8.9251920173408053</v>
      </c>
      <c r="AA27" s="4">
        <f>('TE BE'!$AB$8+'TE BF'!$AB$8+'TE CVA'!$AB$8)*1</f>
        <v>203.47604618827933</v>
      </c>
      <c r="AB27" s="4">
        <f>$K$27*$V$27</f>
        <v>36100</v>
      </c>
      <c r="AC27" s="4">
        <f>$M$27*$W$27</f>
        <v>3076.21632</v>
      </c>
      <c r="AD27" s="4">
        <f>$O$27*$X$27</f>
        <v>0</v>
      </c>
      <c r="AE27" s="4">
        <f ca="1">$K$27*$Y$27</f>
        <v>42147.722294562634</v>
      </c>
      <c r="AF27" s="4">
        <f ca="1">$M$27*$Z$27</f>
        <v>2609.8689489427288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35</v>
      </c>
      <c r="C28" s="3" t="s">
        <v>56</v>
      </c>
      <c r="D28" s="3" t="s">
        <v>25</v>
      </c>
      <c r="E28" s="3" t="s">
        <v>25</v>
      </c>
      <c r="F28" s="3" t="s">
        <v>57</v>
      </c>
      <c r="G28" s="3" t="s">
        <v>58</v>
      </c>
      <c r="H28" s="3" t="s">
        <v>38</v>
      </c>
      <c r="I28" s="6">
        <v>44501</v>
      </c>
      <c r="J28" s="4">
        <v>2500</v>
      </c>
      <c r="K28" s="34">
        <f>J28*(1-SUMIFS(CUSTOS!$T$40:$T$100,CUSTOS!$O$40:$O$100,EFEITO!G28,CUSTOS!$S$40:$S$100,EFEITO!B28,CUSTOS!$R$40:$R$100,"Potência"))</f>
        <v>2500</v>
      </c>
      <c r="L28" s="4">
        <v>342.30599999999998</v>
      </c>
      <c r="M28" s="34">
        <f>L28*(1-SUMIFS(CUSTOS!$T$40:$T$100,CUSTOS!$O$40:$O$100,EFEITO!G28,CUSTOS!$S$40:$S$100,EFEITO!B28,CUSTOS!$R$40:$R$100,"Potência"))</f>
        <v>342.30599999999998</v>
      </c>
      <c r="N28" s="4">
        <v>0</v>
      </c>
      <c r="O28" s="34">
        <f>N28*(1-SUMIFS(CUSTOS!$T$40:$T$100,CUSTOS!$O$40:$O$100,EFEITO!G28,CUSTOS!$S$40:$S$100,EFEITO!B28,CUSTOS!$R$40:$R$100,"Energia"))</f>
        <v>0</v>
      </c>
      <c r="P28" s="4">
        <v>0</v>
      </c>
      <c r="Q28" s="3" t="s">
        <v>59</v>
      </c>
      <c r="R28" s="3">
        <v>5351</v>
      </c>
      <c r="S28" s="4">
        <v>6</v>
      </c>
      <c r="T28" s="4">
        <v>1</v>
      </c>
      <c r="U28" s="4">
        <v>0</v>
      </c>
      <c r="V28" s="4">
        <f>IF(ISERROR(VLOOKUP($S$28,'TAR FIN'!$A$1:$O$91,15,0)),0,VLOOKUP($S$28,'TAR FIN'!$A$1:$O$91,15,0))</f>
        <v>14.44</v>
      </c>
      <c r="W28" s="4">
        <f>IF(ISERROR(VLOOKUP($T$28,'TAR FIN'!$A$1:$O$91,15,0)),0,VLOOKUP($T$28,'TAR FIN'!$A$1:$O$91,15,0))</f>
        <v>10.52</v>
      </c>
      <c r="X28" s="4">
        <f>IF(ISERROR(VLOOKUP($U$28,'TAR FIN'!$A$1:$O$91,15,0)),0,VLOOKUP($U$28,'TAR FIN'!$A$1:$O$91,15,0))</f>
        <v>0</v>
      </c>
      <c r="Y28" s="4">
        <f ca="1">('TUSD BE'!$AM$10+'TUSD BF'!$AM$10+'TUSD CVA'!$AM$10)*1</f>
        <v>16.859088917825055</v>
      </c>
      <c r="Z28" s="4">
        <f ca="1">('TUSD BE'!$AM$11+'TUSD BF'!$AM$11+'TUSD CVA'!$AM$11)*1</f>
        <v>8.9251920173408053</v>
      </c>
      <c r="AA28" s="4">
        <f>('TE BE'!$AB$8+'TE BF'!$AB$8+'TE CVA'!$AB$8)*1</f>
        <v>203.47604618827933</v>
      </c>
      <c r="AB28" s="4">
        <f>$K$28*$V$28</f>
        <v>36100</v>
      </c>
      <c r="AC28" s="4">
        <f>$M$28*$W$28</f>
        <v>3601.0591199999999</v>
      </c>
      <c r="AD28" s="4">
        <f>$O$28*$X$28</f>
        <v>0</v>
      </c>
      <c r="AE28" s="4">
        <f ca="1">$K$28*$Y$28</f>
        <v>42147.722294562634</v>
      </c>
      <c r="AF28" s="4">
        <f ca="1">$M$28*$Z$28</f>
        <v>3055.1467786878616</v>
      </c>
      <c r="AG28" s="4">
        <f>$O$28*$AA$28</f>
        <v>0</v>
      </c>
    </row>
    <row r="29" spans="1:33" ht="11.25" customHeight="1" x14ac:dyDescent="0.25">
      <c r="A29" s="3" t="s">
        <v>21</v>
      </c>
      <c r="B29" s="3" t="s">
        <v>35</v>
      </c>
      <c r="C29" s="3" t="s">
        <v>56</v>
      </c>
      <c r="D29" s="3" t="s">
        <v>25</v>
      </c>
      <c r="E29" s="3" t="s">
        <v>25</v>
      </c>
      <c r="F29" s="3" t="s">
        <v>57</v>
      </c>
      <c r="G29" s="3" t="s">
        <v>58</v>
      </c>
      <c r="H29" s="3" t="s">
        <v>38</v>
      </c>
      <c r="I29" s="6">
        <v>44531</v>
      </c>
      <c r="J29" s="4">
        <v>2550</v>
      </c>
      <c r="K29" s="34">
        <f>J29*(1-SUMIFS(CUSTOS!$T$40:$T$100,CUSTOS!$O$40:$O$100,EFEITO!G29,CUSTOS!$S$40:$S$100,EFEITO!B29,CUSTOS!$R$40:$R$100,"Potência"))</f>
        <v>2550</v>
      </c>
      <c r="L29" s="4">
        <v>379.07299999999998</v>
      </c>
      <c r="M29" s="34">
        <f>L29*(1-SUMIFS(CUSTOS!$T$40:$T$100,CUSTOS!$O$40:$O$100,EFEITO!G29,CUSTOS!$S$40:$S$100,EFEITO!B29,CUSTOS!$R$40:$R$100,"Potência"))</f>
        <v>379.07299999999998</v>
      </c>
      <c r="N29" s="4">
        <v>0</v>
      </c>
      <c r="O29" s="34">
        <f>N29*(1-SUMIFS(CUSTOS!$T$40:$T$100,CUSTOS!$O$40:$O$100,EFEITO!G29,CUSTOS!$S$40:$S$100,EFEITO!B29,CUSTOS!$R$40:$R$100,"Energia"))</f>
        <v>0</v>
      </c>
      <c r="P29" s="4">
        <v>0</v>
      </c>
      <c r="Q29" s="3" t="s">
        <v>59</v>
      </c>
      <c r="R29" s="3">
        <v>5351</v>
      </c>
      <c r="S29" s="4">
        <v>6</v>
      </c>
      <c r="T29" s="4">
        <v>1</v>
      </c>
      <c r="U29" s="4">
        <v>0</v>
      </c>
      <c r="V29" s="4">
        <f>IF(ISERROR(VLOOKUP($S$29,'TAR FIN'!$A$1:$O$91,15,0)),0,VLOOKUP($S$29,'TAR FIN'!$A$1:$O$91,15,0))</f>
        <v>14.44</v>
      </c>
      <c r="W29" s="4">
        <f>IF(ISERROR(VLOOKUP($T$29,'TAR FIN'!$A$1:$O$91,15,0)),0,VLOOKUP($T$29,'TAR FIN'!$A$1:$O$91,15,0))</f>
        <v>10.52</v>
      </c>
      <c r="X29" s="4">
        <f>IF(ISERROR(VLOOKUP($U$29,'TAR FIN'!$A$1:$O$91,15,0)),0,VLOOKUP($U$29,'TAR FIN'!$A$1:$O$91,15,0))</f>
        <v>0</v>
      </c>
      <c r="Y29" s="4">
        <f ca="1">('TUSD BE'!$AM$10+'TUSD BF'!$AM$10+'TUSD CVA'!$AM$10)*1</f>
        <v>16.859088917825055</v>
      </c>
      <c r="Z29" s="4">
        <f ca="1">('TUSD BE'!$AM$11+'TUSD BF'!$AM$11+'TUSD CVA'!$AM$11)*1</f>
        <v>8.9251920173408053</v>
      </c>
      <c r="AA29" s="4">
        <f>('TE BE'!$AB$8+'TE BF'!$AB$8+'TE CVA'!$AB$8)*1</f>
        <v>203.47604618827933</v>
      </c>
      <c r="AB29" s="4">
        <f>$K$29*$V$29</f>
        <v>36822</v>
      </c>
      <c r="AC29" s="4">
        <f>$M$29*$W$29</f>
        <v>3987.8479599999996</v>
      </c>
      <c r="AD29" s="4">
        <f>$O$29*$X$29</f>
        <v>0</v>
      </c>
      <c r="AE29" s="4">
        <f ca="1">$K$29*$Y$29</f>
        <v>42990.676740453891</v>
      </c>
      <c r="AF29" s="4">
        <f ca="1">$M$29*$Z$29</f>
        <v>3383.2993135894308</v>
      </c>
      <c r="AG29" s="4">
        <f>$O$29*$AA$29</f>
        <v>0</v>
      </c>
    </row>
    <row r="30" spans="1:33" ht="11.25" customHeight="1" x14ac:dyDescent="0.25">
      <c r="A30" s="3" t="s">
        <v>21</v>
      </c>
      <c r="B30" s="3" t="s">
        <v>35</v>
      </c>
      <c r="C30" s="3" t="s">
        <v>56</v>
      </c>
      <c r="D30" s="3" t="s">
        <v>25</v>
      </c>
      <c r="E30" s="3" t="s">
        <v>25</v>
      </c>
      <c r="F30" s="3" t="s">
        <v>57</v>
      </c>
      <c r="G30" s="3" t="s">
        <v>58</v>
      </c>
      <c r="H30" s="3" t="s">
        <v>38</v>
      </c>
      <c r="I30" s="6">
        <v>44562</v>
      </c>
      <c r="J30" s="4">
        <v>2550</v>
      </c>
      <c r="K30" s="34">
        <f>J30*(1-SUMIFS(CUSTOS!$T$40:$T$100,CUSTOS!$O$40:$O$100,EFEITO!G30,CUSTOS!$S$40:$S$100,EFEITO!B30,CUSTOS!$R$40:$R$100,"Potência"))</f>
        <v>2550</v>
      </c>
      <c r="L30" s="4">
        <v>538.346</v>
      </c>
      <c r="M30" s="34">
        <f>L30*(1-SUMIFS(CUSTOS!$T$40:$T$100,CUSTOS!$O$40:$O$100,EFEITO!G30,CUSTOS!$S$40:$S$100,EFEITO!B30,CUSTOS!$R$40:$R$100,"Potência"))</f>
        <v>538.346</v>
      </c>
      <c r="N30" s="4">
        <v>0</v>
      </c>
      <c r="O30" s="34">
        <f>N30*(1-SUMIFS(CUSTOS!$T$40:$T$100,CUSTOS!$O$40:$O$100,EFEITO!G30,CUSTOS!$S$40:$S$100,EFEITO!B30,CUSTOS!$R$40:$R$100,"Energia"))</f>
        <v>0</v>
      </c>
      <c r="P30" s="4">
        <v>0</v>
      </c>
      <c r="Q30" s="3" t="s">
        <v>59</v>
      </c>
      <c r="R30" s="3">
        <v>5351</v>
      </c>
      <c r="S30" s="4">
        <v>6</v>
      </c>
      <c r="T30" s="4">
        <v>1</v>
      </c>
      <c r="U30" s="4">
        <v>0</v>
      </c>
      <c r="V30" s="4">
        <f>IF(ISERROR(VLOOKUP($S$30,'TAR FIN'!$A$1:$O$91,15,0)),0,VLOOKUP($S$30,'TAR FIN'!$A$1:$O$91,15,0))</f>
        <v>14.44</v>
      </c>
      <c r="W30" s="4">
        <f>IF(ISERROR(VLOOKUP($T$30,'TAR FIN'!$A$1:$O$91,15,0)),0,VLOOKUP($T$30,'TAR FIN'!$A$1:$O$91,15,0))</f>
        <v>10.52</v>
      </c>
      <c r="X30" s="4">
        <f>IF(ISERROR(VLOOKUP($U$30,'TAR FIN'!$A$1:$O$91,15,0)),0,VLOOKUP($U$30,'TAR FIN'!$A$1:$O$91,15,0))</f>
        <v>0</v>
      </c>
      <c r="Y30" s="4">
        <f ca="1">('TUSD BE'!$AM$10+'TUSD BF'!$AM$10+'TUSD CVA'!$AM$10)*1</f>
        <v>16.859088917825055</v>
      </c>
      <c r="Z30" s="4">
        <f ca="1">('TUSD BE'!$AM$11+'TUSD BF'!$AM$11+'TUSD CVA'!$AM$11)*1</f>
        <v>8.9251920173408053</v>
      </c>
      <c r="AA30" s="4">
        <f>('TE BE'!$AB$8+'TE BF'!$AB$8+'TE CVA'!$AB$8)*1</f>
        <v>203.47604618827933</v>
      </c>
      <c r="AB30" s="4">
        <f>$K$30*$V$30</f>
        <v>36822</v>
      </c>
      <c r="AC30" s="4">
        <f>$M$30*$W$30</f>
        <v>5663.3999199999998</v>
      </c>
      <c r="AD30" s="4">
        <f>$O$30*$X$30</f>
        <v>0</v>
      </c>
      <c r="AE30" s="4">
        <f ca="1">$K$30*$Y$30</f>
        <v>42990.676740453891</v>
      </c>
      <c r="AF30" s="4">
        <f ca="1">$M$30*$Z$30</f>
        <v>4804.8414217673535</v>
      </c>
      <c r="AG30" s="4">
        <f>$O$30*$AA$30</f>
        <v>0</v>
      </c>
    </row>
    <row r="31" spans="1:33" ht="11.25" customHeight="1" x14ac:dyDescent="0.25">
      <c r="A31" s="3" t="s">
        <v>21</v>
      </c>
      <c r="B31" s="3" t="s">
        <v>35</v>
      </c>
      <c r="C31" s="3" t="s">
        <v>56</v>
      </c>
      <c r="D31" s="3" t="s">
        <v>25</v>
      </c>
      <c r="E31" s="3" t="s">
        <v>25</v>
      </c>
      <c r="F31" s="3" t="s">
        <v>57</v>
      </c>
      <c r="G31" s="3" t="s">
        <v>58</v>
      </c>
      <c r="H31" s="3" t="s">
        <v>38</v>
      </c>
      <c r="I31" s="6">
        <v>44593</v>
      </c>
      <c r="J31" s="4">
        <v>2550</v>
      </c>
      <c r="K31" s="34">
        <f>J31*(1-SUMIFS(CUSTOS!$T$40:$T$100,CUSTOS!$O$40:$O$100,EFEITO!G31,CUSTOS!$S$40:$S$100,EFEITO!B31,CUSTOS!$R$40:$R$100,"Potência"))</f>
        <v>2550</v>
      </c>
      <c r="L31" s="4">
        <v>463.702</v>
      </c>
      <c r="M31" s="34">
        <f>L31*(1-SUMIFS(CUSTOS!$T$40:$T$100,CUSTOS!$O$40:$O$100,EFEITO!G31,CUSTOS!$S$40:$S$100,EFEITO!B31,CUSTOS!$R$40:$R$100,"Potência"))</f>
        <v>463.702</v>
      </c>
      <c r="N31" s="4">
        <v>0</v>
      </c>
      <c r="O31" s="34">
        <f>N31*(1-SUMIFS(CUSTOS!$T$40:$T$100,CUSTOS!$O$40:$O$100,EFEITO!G31,CUSTOS!$S$40:$S$100,EFEITO!B31,CUSTOS!$R$40:$R$100,"Energia"))</f>
        <v>0</v>
      </c>
      <c r="P31" s="4">
        <v>0</v>
      </c>
      <c r="Q31" s="3" t="s">
        <v>59</v>
      </c>
      <c r="R31" s="3">
        <v>5351</v>
      </c>
      <c r="S31" s="4">
        <v>6</v>
      </c>
      <c r="T31" s="4">
        <v>1</v>
      </c>
      <c r="U31" s="4">
        <v>0</v>
      </c>
      <c r="V31" s="4">
        <f>IF(ISERROR(VLOOKUP($S$31,'TAR FIN'!$A$1:$O$91,15,0)),0,VLOOKUP($S$31,'TAR FIN'!$A$1:$O$91,15,0))</f>
        <v>14.44</v>
      </c>
      <c r="W31" s="4">
        <f>IF(ISERROR(VLOOKUP($T$31,'TAR FIN'!$A$1:$O$91,15,0)),0,VLOOKUP($T$31,'TAR FIN'!$A$1:$O$91,15,0))</f>
        <v>10.52</v>
      </c>
      <c r="X31" s="4">
        <f>IF(ISERROR(VLOOKUP($U$31,'TAR FIN'!$A$1:$O$91,15,0)),0,VLOOKUP($U$31,'TAR FIN'!$A$1:$O$91,15,0))</f>
        <v>0</v>
      </c>
      <c r="Y31" s="4">
        <f ca="1">('TUSD BE'!$AM$10+'TUSD BF'!$AM$10+'TUSD CVA'!$AM$10)*1</f>
        <v>16.859088917825055</v>
      </c>
      <c r="Z31" s="4">
        <f ca="1">('TUSD BE'!$AM$11+'TUSD BF'!$AM$11+'TUSD CVA'!$AM$11)*1</f>
        <v>8.9251920173408053</v>
      </c>
      <c r="AA31" s="4">
        <f>('TE BE'!$AB$8+'TE BF'!$AB$8+'TE CVA'!$AB$8)*1</f>
        <v>203.47604618827933</v>
      </c>
      <c r="AB31" s="4">
        <f>$K$31*$V$31</f>
        <v>36822</v>
      </c>
      <c r="AC31" s="4">
        <f>$M$31*$W$31</f>
        <v>4878.1450399999994</v>
      </c>
      <c r="AD31" s="4">
        <f>$O$31*$X$31</f>
        <v>0</v>
      </c>
      <c r="AE31" s="4">
        <f ca="1">$K$31*$Y$31</f>
        <v>42990.676740453891</v>
      </c>
      <c r="AF31" s="4">
        <f ca="1">$M$31*$Z$31</f>
        <v>4138.6293888249656</v>
      </c>
      <c r="AG31" s="4">
        <f>$O$31*$AA$31</f>
        <v>0</v>
      </c>
    </row>
    <row r="32" spans="1:33" ht="11.25" customHeight="1" x14ac:dyDescent="0.25">
      <c r="A32" s="3" t="s">
        <v>21</v>
      </c>
      <c r="B32" s="3" t="s">
        <v>35</v>
      </c>
      <c r="C32" s="3" t="s">
        <v>56</v>
      </c>
      <c r="D32" s="3" t="s">
        <v>25</v>
      </c>
      <c r="E32" s="3" t="s">
        <v>25</v>
      </c>
      <c r="F32" s="3" t="s">
        <v>57</v>
      </c>
      <c r="G32" s="3" t="s">
        <v>58</v>
      </c>
      <c r="H32" s="3" t="s">
        <v>38</v>
      </c>
      <c r="I32" s="6">
        <v>44621</v>
      </c>
      <c r="J32" s="4">
        <v>2809</v>
      </c>
      <c r="K32" s="34">
        <f>J32*(1-SUMIFS(CUSTOS!$T$40:$T$100,CUSTOS!$O$40:$O$100,EFEITO!G32,CUSTOS!$S$40:$S$100,EFEITO!B32,CUSTOS!$R$40:$R$100,"Potência"))</f>
        <v>2809</v>
      </c>
      <c r="L32" s="4">
        <v>449.02300000000002</v>
      </c>
      <c r="M32" s="34">
        <f>L32*(1-SUMIFS(CUSTOS!$T$40:$T$100,CUSTOS!$O$40:$O$100,EFEITO!G32,CUSTOS!$S$40:$S$100,EFEITO!B32,CUSTOS!$R$40:$R$100,"Potência"))</f>
        <v>449.02300000000002</v>
      </c>
      <c r="N32" s="4">
        <v>0</v>
      </c>
      <c r="O32" s="34">
        <f>N32*(1-SUMIFS(CUSTOS!$T$40:$T$100,CUSTOS!$O$40:$O$100,EFEITO!G32,CUSTOS!$S$40:$S$100,EFEITO!B32,CUSTOS!$R$40:$R$100,"Energia"))</f>
        <v>0</v>
      </c>
      <c r="P32" s="4">
        <v>0</v>
      </c>
      <c r="Q32" s="3" t="s">
        <v>59</v>
      </c>
      <c r="R32" s="3">
        <v>5351</v>
      </c>
      <c r="S32" s="4">
        <v>6</v>
      </c>
      <c r="T32" s="4">
        <v>1</v>
      </c>
      <c r="U32" s="4">
        <v>0</v>
      </c>
      <c r="V32" s="4">
        <f>IF(ISERROR(VLOOKUP($S$32,'TAR FIN'!$A$1:$O$91,15,0)),0,VLOOKUP($S$32,'TAR FIN'!$A$1:$O$91,15,0))</f>
        <v>14.44</v>
      </c>
      <c r="W32" s="4">
        <f>IF(ISERROR(VLOOKUP($T$32,'TAR FIN'!$A$1:$O$91,15,0)),0,VLOOKUP($T$32,'TAR FIN'!$A$1:$O$91,15,0))</f>
        <v>10.52</v>
      </c>
      <c r="X32" s="4">
        <f>IF(ISERROR(VLOOKUP($U$32,'TAR FIN'!$A$1:$O$91,15,0)),0,VLOOKUP($U$32,'TAR FIN'!$A$1:$O$91,15,0))</f>
        <v>0</v>
      </c>
      <c r="Y32" s="4">
        <f ca="1">('TUSD BE'!$AM$10+'TUSD BF'!$AM$10+'TUSD CVA'!$AM$10)*1</f>
        <v>16.859088917825055</v>
      </c>
      <c r="Z32" s="4">
        <f ca="1">('TUSD BE'!$AM$11+'TUSD BF'!$AM$11+'TUSD CVA'!$AM$11)*1</f>
        <v>8.9251920173408053</v>
      </c>
      <c r="AA32" s="4">
        <f>('TE BE'!$AB$8+'TE BF'!$AB$8+'TE CVA'!$AB$8)*1</f>
        <v>203.47604618827933</v>
      </c>
      <c r="AB32" s="4">
        <f>$K$32*$V$32</f>
        <v>40561.96</v>
      </c>
      <c r="AC32" s="4">
        <f>$M$32*$W$32</f>
        <v>4723.7219599999999</v>
      </c>
      <c r="AD32" s="4">
        <f>$O$32*$X$32</f>
        <v>0</v>
      </c>
      <c r="AE32" s="4">
        <f ca="1">$K$32*$Y$32</f>
        <v>47357.180770170577</v>
      </c>
      <c r="AF32" s="4">
        <f ca="1">$M$32*$Z$32</f>
        <v>4007.6164952024205</v>
      </c>
      <c r="AG32" s="4">
        <f>$O$32*$AA$32</f>
        <v>0</v>
      </c>
    </row>
    <row r="33" spans="1:33" ht="11.25" customHeight="1" x14ac:dyDescent="0.25">
      <c r="A33" s="3" t="s">
        <v>21</v>
      </c>
      <c r="B33" s="3" t="s">
        <v>35</v>
      </c>
      <c r="C33" s="3" t="s">
        <v>56</v>
      </c>
      <c r="D33" s="3" t="s">
        <v>25</v>
      </c>
      <c r="E33" s="3" t="s">
        <v>25</v>
      </c>
      <c r="F33" s="3" t="s">
        <v>57</v>
      </c>
      <c r="G33" s="3" t="s">
        <v>58</v>
      </c>
      <c r="H33" s="3" t="s">
        <v>38</v>
      </c>
      <c r="I33" s="6">
        <v>44652</v>
      </c>
      <c r="J33" s="4">
        <v>2832</v>
      </c>
      <c r="K33" s="34">
        <f>J33*(1-SUMIFS(CUSTOS!$T$40:$T$100,CUSTOS!$O$40:$O$100,EFEITO!G33,CUSTOS!$S$40:$S$100,EFEITO!B33,CUSTOS!$R$40:$R$100,"Potência"))</f>
        <v>2832</v>
      </c>
      <c r="L33" s="4">
        <v>396.52499999999998</v>
      </c>
      <c r="M33" s="34">
        <f>L33*(1-SUMIFS(CUSTOS!$T$40:$T$100,CUSTOS!$O$40:$O$100,EFEITO!G33,CUSTOS!$S$40:$S$100,EFEITO!B33,CUSTOS!$R$40:$R$100,"Potência"))</f>
        <v>396.52499999999998</v>
      </c>
      <c r="N33" s="4">
        <v>0</v>
      </c>
      <c r="O33" s="34">
        <f>N33*(1-SUMIFS(CUSTOS!$T$40:$T$100,CUSTOS!$O$40:$O$100,EFEITO!G33,CUSTOS!$S$40:$S$100,EFEITO!B33,CUSTOS!$R$40:$R$100,"Energia"))</f>
        <v>0</v>
      </c>
      <c r="P33" s="4">
        <v>0</v>
      </c>
      <c r="Q33" s="3" t="s">
        <v>59</v>
      </c>
      <c r="R33" s="3">
        <v>5351</v>
      </c>
      <c r="S33" s="4">
        <v>6</v>
      </c>
      <c r="T33" s="4">
        <v>1</v>
      </c>
      <c r="U33" s="4">
        <v>0</v>
      </c>
      <c r="V33" s="4">
        <f>IF(ISERROR(VLOOKUP($S$33,'TAR FIN'!$A$1:$O$91,15,0)),0,VLOOKUP($S$33,'TAR FIN'!$A$1:$O$91,15,0))</f>
        <v>14.44</v>
      </c>
      <c r="W33" s="4">
        <f>IF(ISERROR(VLOOKUP($T$33,'TAR FIN'!$A$1:$O$91,15,0)),0,VLOOKUP($T$33,'TAR FIN'!$A$1:$O$91,15,0))</f>
        <v>10.52</v>
      </c>
      <c r="X33" s="4">
        <f>IF(ISERROR(VLOOKUP($U$33,'TAR FIN'!$A$1:$O$91,15,0)),0,VLOOKUP($U$33,'TAR FIN'!$A$1:$O$91,15,0))</f>
        <v>0</v>
      </c>
      <c r="Y33" s="4">
        <f ca="1">('TUSD BE'!$AM$10+'TUSD BF'!$AM$10+'TUSD CVA'!$AM$10)*1</f>
        <v>16.859088917825055</v>
      </c>
      <c r="Z33" s="4">
        <f ca="1">('TUSD BE'!$AM$11+'TUSD BF'!$AM$11+'TUSD CVA'!$AM$11)*1</f>
        <v>8.9251920173408053</v>
      </c>
      <c r="AA33" s="4">
        <f>('TE BE'!$AB$8+'TE BF'!$AB$8+'TE CVA'!$AB$8)*1</f>
        <v>203.47604618827933</v>
      </c>
      <c r="AB33" s="4">
        <f>$K$33*$V$33</f>
        <v>40894.080000000002</v>
      </c>
      <c r="AC33" s="4">
        <f>$M$33*$W$33</f>
        <v>4171.4429999999993</v>
      </c>
      <c r="AD33" s="4">
        <f>$O$33*$X$33</f>
        <v>0</v>
      </c>
      <c r="AE33" s="4">
        <f ca="1">$K$33*$Y$33</f>
        <v>47744.939815280559</v>
      </c>
      <c r="AF33" s="4">
        <f ca="1">$M$33*$Z$33</f>
        <v>3539.0617646760625</v>
      </c>
      <c r="AG33" s="4">
        <f>$O$33*$AA$33</f>
        <v>0</v>
      </c>
    </row>
    <row r="34" spans="1:33" ht="11.25" customHeight="1" x14ac:dyDescent="0.25">
      <c r="A34" s="3" t="s">
        <v>21</v>
      </c>
      <c r="B34" s="3" t="s">
        <v>35</v>
      </c>
      <c r="C34" s="3" t="s">
        <v>56</v>
      </c>
      <c r="D34" s="3" t="s">
        <v>25</v>
      </c>
      <c r="E34" s="3" t="s">
        <v>25</v>
      </c>
      <c r="F34" s="3" t="s">
        <v>57</v>
      </c>
      <c r="G34" s="3" t="s">
        <v>58</v>
      </c>
      <c r="H34" s="3" t="s">
        <v>38</v>
      </c>
      <c r="I34" s="6">
        <v>44682</v>
      </c>
      <c r="J34" s="4">
        <v>2778</v>
      </c>
      <c r="K34" s="34">
        <f>J34*(1-SUMIFS(CUSTOS!$T$40:$T$100,CUSTOS!$O$40:$O$100,EFEITO!G34,CUSTOS!$S$40:$S$100,EFEITO!B34,CUSTOS!$R$40:$R$100,"Potência"))</f>
        <v>2778</v>
      </c>
      <c r="L34" s="4">
        <v>459.20699999999999</v>
      </c>
      <c r="M34" s="34">
        <f>L34*(1-SUMIFS(CUSTOS!$T$40:$T$100,CUSTOS!$O$40:$O$100,EFEITO!G34,CUSTOS!$S$40:$S$100,EFEITO!B34,CUSTOS!$R$40:$R$100,"Potência"))</f>
        <v>459.20699999999999</v>
      </c>
      <c r="N34" s="4">
        <v>0</v>
      </c>
      <c r="O34" s="34">
        <f>N34*(1-SUMIFS(CUSTOS!$T$40:$T$100,CUSTOS!$O$40:$O$100,EFEITO!G34,CUSTOS!$S$40:$S$100,EFEITO!B34,CUSTOS!$R$40:$R$100,"Energia"))</f>
        <v>0</v>
      </c>
      <c r="P34" s="4">
        <v>0</v>
      </c>
      <c r="Q34" s="3" t="s">
        <v>59</v>
      </c>
      <c r="R34" s="3">
        <v>5351</v>
      </c>
      <c r="S34" s="4">
        <v>6</v>
      </c>
      <c r="T34" s="4">
        <v>1</v>
      </c>
      <c r="U34" s="4">
        <v>0</v>
      </c>
      <c r="V34" s="4">
        <f>IF(ISERROR(VLOOKUP($S$34,'TAR FIN'!$A$1:$O$91,15,0)),0,VLOOKUP($S$34,'TAR FIN'!$A$1:$O$91,15,0))</f>
        <v>14.44</v>
      </c>
      <c r="W34" s="4">
        <f>IF(ISERROR(VLOOKUP($T$34,'TAR FIN'!$A$1:$O$91,15,0)),0,VLOOKUP($T$34,'TAR FIN'!$A$1:$O$91,15,0))</f>
        <v>10.52</v>
      </c>
      <c r="X34" s="4">
        <f>IF(ISERROR(VLOOKUP($U$34,'TAR FIN'!$A$1:$O$91,15,0)),0,VLOOKUP($U$34,'TAR FIN'!$A$1:$O$91,15,0))</f>
        <v>0</v>
      </c>
      <c r="Y34" s="4">
        <f ca="1">('TUSD BE'!$AM$10+'TUSD BF'!$AM$10+'TUSD CVA'!$AM$10)*1</f>
        <v>16.859088917825055</v>
      </c>
      <c r="Z34" s="4">
        <f ca="1">('TUSD BE'!$AM$11+'TUSD BF'!$AM$11+'TUSD CVA'!$AM$11)*1</f>
        <v>8.9251920173408053</v>
      </c>
      <c r="AA34" s="4">
        <f>('TE BE'!$AB$8+'TE BF'!$AB$8+'TE CVA'!$AB$8)*1</f>
        <v>203.47604618827933</v>
      </c>
      <c r="AB34" s="4">
        <f>$K$34*$V$34</f>
        <v>40114.32</v>
      </c>
      <c r="AC34" s="4">
        <f>$M$34*$W$34</f>
        <v>4830.8576400000002</v>
      </c>
      <c r="AD34" s="4">
        <f>$O$34*$X$34</f>
        <v>0</v>
      </c>
      <c r="AE34" s="4">
        <f ca="1">$K$34*$Y$34</f>
        <v>46834.549013718002</v>
      </c>
      <c r="AF34" s="4">
        <f ca="1">$M$34*$Z$34</f>
        <v>4098.5106507070195</v>
      </c>
      <c r="AG34" s="4">
        <f>$O$34*$AA$34</f>
        <v>0</v>
      </c>
    </row>
    <row r="35" spans="1:33" ht="11.25" customHeight="1" x14ac:dyDescent="0.25">
      <c r="A35" s="3" t="s">
        <v>21</v>
      </c>
      <c r="B35" s="3" t="s">
        <v>35</v>
      </c>
      <c r="C35" s="3" t="s">
        <v>56</v>
      </c>
      <c r="D35" s="3" t="s">
        <v>25</v>
      </c>
      <c r="E35" s="3" t="s">
        <v>25</v>
      </c>
      <c r="F35" s="3" t="s">
        <v>57</v>
      </c>
      <c r="G35" s="3" t="s">
        <v>58</v>
      </c>
      <c r="H35" s="3" t="s">
        <v>38</v>
      </c>
      <c r="I35" s="6">
        <v>44713</v>
      </c>
      <c r="J35" s="4">
        <v>2876</v>
      </c>
      <c r="K35" s="34">
        <f>J35*(1-SUMIFS(CUSTOS!$T$40:$T$100,CUSTOS!$O$40:$O$100,EFEITO!G35,CUSTOS!$S$40:$S$100,EFEITO!B35,CUSTOS!$R$40:$R$100,"Potência"))</f>
        <v>2876</v>
      </c>
      <c r="L35" s="4">
        <v>480.66399999999999</v>
      </c>
      <c r="M35" s="34">
        <f>L35*(1-SUMIFS(CUSTOS!$T$40:$T$100,CUSTOS!$O$40:$O$100,EFEITO!G35,CUSTOS!$S$40:$S$100,EFEITO!B35,CUSTOS!$R$40:$R$100,"Potência"))</f>
        <v>480.66399999999999</v>
      </c>
      <c r="N35" s="4">
        <v>0</v>
      </c>
      <c r="O35" s="34">
        <f>N35*(1-SUMIFS(CUSTOS!$T$40:$T$100,CUSTOS!$O$40:$O$100,EFEITO!G35,CUSTOS!$S$40:$S$100,EFEITO!B35,CUSTOS!$R$40:$R$100,"Energia"))</f>
        <v>0</v>
      </c>
      <c r="P35" s="4">
        <v>0</v>
      </c>
      <c r="Q35" s="3" t="s">
        <v>59</v>
      </c>
      <c r="R35" s="3">
        <v>5351</v>
      </c>
      <c r="S35" s="4">
        <v>6</v>
      </c>
      <c r="T35" s="4">
        <v>1</v>
      </c>
      <c r="U35" s="4">
        <v>0</v>
      </c>
      <c r="V35" s="4">
        <f>IF(ISERROR(VLOOKUP($S$35,'TAR FIN'!$A$1:$O$91,15,0)),0,VLOOKUP($S$35,'TAR FIN'!$A$1:$O$91,15,0))</f>
        <v>14.44</v>
      </c>
      <c r="W35" s="4">
        <f>IF(ISERROR(VLOOKUP($T$35,'TAR FIN'!$A$1:$O$91,15,0)),0,VLOOKUP($T$35,'TAR FIN'!$A$1:$O$91,15,0))</f>
        <v>10.52</v>
      </c>
      <c r="X35" s="4">
        <f>IF(ISERROR(VLOOKUP($U$35,'TAR FIN'!$A$1:$O$91,15,0)),0,VLOOKUP($U$35,'TAR FIN'!$A$1:$O$91,15,0))</f>
        <v>0</v>
      </c>
      <c r="Y35" s="4">
        <f ca="1">('TUSD BE'!$AM$10+'TUSD BF'!$AM$10+'TUSD CVA'!$AM$10)*1</f>
        <v>16.859088917825055</v>
      </c>
      <c r="Z35" s="4">
        <f ca="1">('TUSD BE'!$AM$11+'TUSD BF'!$AM$11+'TUSD CVA'!$AM$11)*1</f>
        <v>8.9251920173408053</v>
      </c>
      <c r="AA35" s="4">
        <f>('TE BE'!$AB$8+'TE BF'!$AB$8+'TE CVA'!$AB$8)*1</f>
        <v>203.47604618827933</v>
      </c>
      <c r="AB35" s="4">
        <f>$K$35*$V$35</f>
        <v>41529.439999999995</v>
      </c>
      <c r="AC35" s="4">
        <f>$M$35*$W$35</f>
        <v>5056.5852799999993</v>
      </c>
      <c r="AD35" s="4">
        <f>$O$35*$X$35</f>
        <v>0</v>
      </c>
      <c r="AE35" s="4">
        <f ca="1">$K$35*$Y$35</f>
        <v>48486.739727664855</v>
      </c>
      <c r="AF35" s="4">
        <f ca="1">$M$35*$Z$35</f>
        <v>4290.0184958231011</v>
      </c>
      <c r="AG35" s="4">
        <f>$O$35*$AA$35</f>
        <v>0</v>
      </c>
    </row>
    <row r="36" spans="1:33" ht="11.25" customHeight="1" x14ac:dyDescent="0.25">
      <c r="A36" s="3" t="s">
        <v>21</v>
      </c>
      <c r="B36" s="3" t="s">
        <v>35</v>
      </c>
      <c r="C36" s="3" t="s">
        <v>56</v>
      </c>
      <c r="D36" s="3" t="s">
        <v>25</v>
      </c>
      <c r="E36" s="3" t="s">
        <v>25</v>
      </c>
      <c r="F36" s="3" t="s">
        <v>57</v>
      </c>
      <c r="G36" s="3" t="s">
        <v>58</v>
      </c>
      <c r="H36" s="3" t="s">
        <v>38</v>
      </c>
      <c r="I36" s="6">
        <v>44743</v>
      </c>
      <c r="J36" s="4">
        <v>2550</v>
      </c>
      <c r="K36" s="34">
        <f>J36*(1-SUMIFS(CUSTOS!$T$40:$T$100,CUSTOS!$O$40:$O$100,EFEITO!G36,CUSTOS!$S$40:$S$100,EFEITO!B36,CUSTOS!$R$40:$R$100,"Potência"))</f>
        <v>2550</v>
      </c>
      <c r="L36" s="4">
        <v>400.822</v>
      </c>
      <c r="M36" s="34">
        <f>L36*(1-SUMIFS(CUSTOS!$T$40:$T$100,CUSTOS!$O$40:$O$100,EFEITO!G36,CUSTOS!$S$40:$S$100,EFEITO!B36,CUSTOS!$R$40:$R$100,"Potência"))</f>
        <v>400.822</v>
      </c>
      <c r="N36" s="4">
        <v>0</v>
      </c>
      <c r="O36" s="34">
        <f>N36*(1-SUMIFS(CUSTOS!$T$40:$T$100,CUSTOS!$O$40:$O$100,EFEITO!G36,CUSTOS!$S$40:$S$100,EFEITO!B36,CUSTOS!$R$40:$R$100,"Energia"))</f>
        <v>0</v>
      </c>
      <c r="P36" s="4">
        <v>0</v>
      </c>
      <c r="Q36" s="3" t="s">
        <v>59</v>
      </c>
      <c r="R36" s="3">
        <v>5351</v>
      </c>
      <c r="S36" s="4">
        <v>6</v>
      </c>
      <c r="T36" s="4">
        <v>1</v>
      </c>
      <c r="U36" s="4">
        <v>0</v>
      </c>
      <c r="V36" s="4">
        <f>IF(ISERROR(VLOOKUP($S$36,'TAR FIN'!$A$1:$O$91,15,0)),0,VLOOKUP($S$36,'TAR FIN'!$A$1:$O$91,15,0))</f>
        <v>14.44</v>
      </c>
      <c r="W36" s="4">
        <f>IF(ISERROR(VLOOKUP($T$36,'TAR FIN'!$A$1:$O$91,15,0)),0,VLOOKUP($T$36,'TAR FIN'!$A$1:$O$91,15,0))</f>
        <v>10.52</v>
      </c>
      <c r="X36" s="4">
        <f>IF(ISERROR(VLOOKUP($U$36,'TAR FIN'!$A$1:$O$91,15,0)),0,VLOOKUP($U$36,'TAR FIN'!$A$1:$O$91,15,0))</f>
        <v>0</v>
      </c>
      <c r="Y36" s="4">
        <f ca="1">('TUSD BE'!$AM$10+'TUSD BF'!$AM$10+'TUSD CVA'!$AM$10)*1</f>
        <v>16.859088917825055</v>
      </c>
      <c r="Z36" s="4">
        <f ca="1">('TUSD BE'!$AM$11+'TUSD BF'!$AM$11+'TUSD CVA'!$AM$11)*1</f>
        <v>8.9251920173408053</v>
      </c>
      <c r="AA36" s="4">
        <f>('TE BE'!$AB$8+'TE BF'!$AB$8+'TE CVA'!$AB$8)*1</f>
        <v>203.47604618827933</v>
      </c>
      <c r="AB36" s="4">
        <f>$K$36*$V$36</f>
        <v>36822</v>
      </c>
      <c r="AC36" s="4">
        <f>$M$36*$W$36</f>
        <v>4216.6474399999997</v>
      </c>
      <c r="AD36" s="4">
        <f>$O$36*$X$36</f>
        <v>0</v>
      </c>
      <c r="AE36" s="4">
        <f ca="1">$K$36*$Y$36</f>
        <v>42990.676740453891</v>
      </c>
      <c r="AF36" s="4">
        <f ca="1">$M$36*$Z$36</f>
        <v>3577.4133147745761</v>
      </c>
      <c r="AG36" s="4">
        <f>$O$36*$AA$36</f>
        <v>0</v>
      </c>
    </row>
    <row r="37" spans="1:33" ht="11.25" customHeight="1" x14ac:dyDescent="0.25">
      <c r="A37" s="3" t="s">
        <v>21</v>
      </c>
      <c r="B37" s="3" t="s">
        <v>35</v>
      </c>
      <c r="C37" s="3" t="s">
        <v>56</v>
      </c>
      <c r="D37" s="3" t="s">
        <v>25</v>
      </c>
      <c r="E37" s="3" t="s">
        <v>25</v>
      </c>
      <c r="F37" s="3" t="s">
        <v>57</v>
      </c>
      <c r="G37" s="3" t="s">
        <v>58</v>
      </c>
      <c r="H37" s="3" t="s">
        <v>38</v>
      </c>
      <c r="I37" s="6">
        <v>44774</v>
      </c>
      <c r="J37" s="4">
        <v>3195</v>
      </c>
      <c r="K37" s="34">
        <f>J37*(1-SUMIFS(CUSTOS!$T$40:$T$100,CUSTOS!$O$40:$O$100,EFEITO!G37,CUSTOS!$S$40:$S$100,EFEITO!B37,CUSTOS!$R$40:$R$100,"Potência"))</f>
        <v>3195</v>
      </c>
      <c r="L37" s="4">
        <v>487.95299999999997</v>
      </c>
      <c r="M37" s="34">
        <f>L37*(1-SUMIFS(CUSTOS!$T$40:$T$100,CUSTOS!$O$40:$O$100,EFEITO!G37,CUSTOS!$S$40:$S$100,EFEITO!B37,CUSTOS!$R$40:$R$100,"Potência"))</f>
        <v>487.95299999999997</v>
      </c>
      <c r="N37" s="4">
        <v>0</v>
      </c>
      <c r="O37" s="34">
        <f>N37*(1-SUMIFS(CUSTOS!$T$40:$T$100,CUSTOS!$O$40:$O$100,EFEITO!G37,CUSTOS!$S$40:$S$100,EFEITO!B37,CUSTOS!$R$40:$R$100,"Energia"))</f>
        <v>0</v>
      </c>
      <c r="P37" s="4">
        <v>0</v>
      </c>
      <c r="Q37" s="3" t="s">
        <v>59</v>
      </c>
      <c r="R37" s="3">
        <v>5351</v>
      </c>
      <c r="S37" s="4">
        <v>6</v>
      </c>
      <c r="T37" s="4">
        <v>1</v>
      </c>
      <c r="U37" s="4">
        <v>0</v>
      </c>
      <c r="V37" s="4">
        <f>IF(ISERROR(VLOOKUP($S$37,'TAR FIN'!$A$1:$O$91,15,0)),0,VLOOKUP($S$37,'TAR FIN'!$A$1:$O$91,15,0))</f>
        <v>14.44</v>
      </c>
      <c r="W37" s="4">
        <f>IF(ISERROR(VLOOKUP($T$37,'TAR FIN'!$A$1:$O$91,15,0)),0,VLOOKUP($T$37,'TAR FIN'!$A$1:$O$91,15,0))</f>
        <v>10.52</v>
      </c>
      <c r="X37" s="4">
        <f>IF(ISERROR(VLOOKUP($U$37,'TAR FIN'!$A$1:$O$91,15,0)),0,VLOOKUP($U$37,'TAR FIN'!$A$1:$O$91,15,0))</f>
        <v>0</v>
      </c>
      <c r="Y37" s="4">
        <f ca="1">('TUSD BE'!$AM$10+'TUSD BF'!$AM$10+'TUSD CVA'!$AM$10)*1</f>
        <v>16.859088917825055</v>
      </c>
      <c r="Z37" s="4">
        <f ca="1">('TUSD BE'!$AM$11+'TUSD BF'!$AM$11+'TUSD CVA'!$AM$11)*1</f>
        <v>8.9251920173408053</v>
      </c>
      <c r="AA37" s="4">
        <f>('TE BE'!$AB$8+'TE BF'!$AB$8+'TE CVA'!$AB$8)*1</f>
        <v>203.47604618827933</v>
      </c>
      <c r="AB37" s="4">
        <f>$K$37*$V$37</f>
        <v>46135.799999999996</v>
      </c>
      <c r="AC37" s="4">
        <f>$M$37*$W$37</f>
        <v>5133.2655599999998</v>
      </c>
      <c r="AD37" s="4">
        <f>$O$37*$X$37</f>
        <v>0</v>
      </c>
      <c r="AE37" s="4">
        <f ca="1">$K$37*$Y$37</f>
        <v>53864.78909245105</v>
      </c>
      <c r="AF37" s="4">
        <f ca="1">$M$37*$Z$37</f>
        <v>4355.0742204374974</v>
      </c>
      <c r="AG37" s="4">
        <f>$O$37*$AA$37</f>
        <v>0</v>
      </c>
    </row>
    <row r="38" spans="1:33" ht="11.25" customHeight="1" x14ac:dyDescent="0.25">
      <c r="A38" s="3" t="s">
        <v>21</v>
      </c>
      <c r="B38" s="3" t="s">
        <v>35</v>
      </c>
      <c r="C38" s="3" t="s">
        <v>56</v>
      </c>
      <c r="D38" s="3" t="s">
        <v>25</v>
      </c>
      <c r="E38" s="3" t="s">
        <v>25</v>
      </c>
      <c r="F38" s="3" t="s">
        <v>57</v>
      </c>
      <c r="G38" s="3" t="s">
        <v>58</v>
      </c>
      <c r="H38" s="3" t="s">
        <v>25</v>
      </c>
      <c r="I38" s="6">
        <v>44440</v>
      </c>
      <c r="J38" s="4">
        <v>0</v>
      </c>
      <c r="K38" s="34">
        <f>J38*(1-SUMIFS(CUSTOS!$T$40:$T$100,CUSTOS!$O$40:$O$100,EFEITO!G38,CUSTOS!$S$40:$S$100,EFEITO!B38,CUSTOS!$R$40:$R$100,"Potência"))</f>
        <v>0</v>
      </c>
      <c r="L38" s="4">
        <v>0</v>
      </c>
      <c r="M38" s="34">
        <f>L38*(1-SUMIFS(CUSTOS!$T$40:$T$100,CUSTOS!$O$40:$O$100,EFEITO!G38,CUSTOS!$S$40:$S$100,EFEITO!B38,CUSTOS!$R$40:$R$100,"Potência"))</f>
        <v>0</v>
      </c>
      <c r="N38" s="4">
        <v>1076.577</v>
      </c>
      <c r="O38" s="34">
        <f>N38*(1-SUMIFS(CUSTOS!$T$40:$T$100,CUSTOS!$O$40:$O$100,EFEITO!G38,CUSTOS!$S$40:$S$100,EFEITO!B38,CUSTOS!$R$40:$R$100,"Energia"))</f>
        <v>1076.577</v>
      </c>
      <c r="P38" s="4">
        <v>0</v>
      </c>
      <c r="Q38" s="3" t="s">
        <v>59</v>
      </c>
      <c r="R38" s="3">
        <v>5351</v>
      </c>
      <c r="S38" s="4">
        <v>0</v>
      </c>
      <c r="T38" s="4">
        <v>0</v>
      </c>
      <c r="U38" s="4">
        <v>78</v>
      </c>
      <c r="V38" s="4">
        <f>IF(ISERROR(VLOOKUP($S$38,'TAR FIN'!$A$1:$O$91,15,0)),0,VLOOKUP($S$38,'TAR FIN'!$A$1:$O$91,15,0))</f>
        <v>0</v>
      </c>
      <c r="W38" s="4">
        <f>IF(ISERROR(VLOOKUP($T$38,'TAR FIN'!$A$1:$O$91,15,0)),0,VLOOKUP($T$38,'TAR FIN'!$A$1:$O$91,15,0))</f>
        <v>0</v>
      </c>
      <c r="X38" s="4">
        <f>IF(ISERROR(VLOOKUP($U$38,'TAR FIN'!$A$1:$O$91,15,0)),0,VLOOKUP($U$38,'TAR FIN'!$A$1:$O$91,15,0))</f>
        <v>248.68</v>
      </c>
      <c r="Y38" s="4">
        <f ca="1">0.72*('TUSD BE'!$AM$9+'TUSD BF'!$AM$9+'TUSD CVA'!$AM$9)*1+('TUSD BE'!$AM$10+'TUSD BF'!$AM$10+'TUSD CVA'!$AM$10)*1</f>
        <v>53.149182930504139</v>
      </c>
      <c r="Z38" s="4">
        <f ca="1">('TUSD BE'!$AM$11+'TUSD BF'!$AM$11+'TUSD CVA'!$AM$11)*1</f>
        <v>8.9251920173408053</v>
      </c>
      <c r="AA38" s="4">
        <f>('TE BE'!$AB$8+'TE BF'!$AB$8+'TE CVA'!$AB$8)*1</f>
        <v>203.47604618827933</v>
      </c>
      <c r="AB38" s="4">
        <f>$K$38*$V$38</f>
        <v>0</v>
      </c>
      <c r="AC38" s="4">
        <f>$M$38*$W$38</f>
        <v>0</v>
      </c>
      <c r="AD38" s="4">
        <f>$O$38*$X$38</f>
        <v>267723.16836000001</v>
      </c>
      <c r="AE38" s="4">
        <f ca="1">$K$38*$Y$38</f>
        <v>0</v>
      </c>
      <c r="AF38" s="4">
        <f ca="1">$M$38*$Z$38</f>
        <v>0</v>
      </c>
      <c r="AG38" s="4">
        <f>$O$38*$AA$38</f>
        <v>219057.63137723919</v>
      </c>
    </row>
    <row r="39" spans="1:33" ht="11.25" customHeight="1" x14ac:dyDescent="0.25">
      <c r="A39" s="3" t="s">
        <v>21</v>
      </c>
      <c r="B39" s="3" t="s">
        <v>35</v>
      </c>
      <c r="C39" s="3" t="s">
        <v>56</v>
      </c>
      <c r="D39" s="3" t="s">
        <v>25</v>
      </c>
      <c r="E39" s="3" t="s">
        <v>25</v>
      </c>
      <c r="F39" s="3" t="s">
        <v>57</v>
      </c>
      <c r="G39" s="3" t="s">
        <v>58</v>
      </c>
      <c r="H39" s="3" t="s">
        <v>25</v>
      </c>
      <c r="I39" s="6">
        <v>44470</v>
      </c>
      <c r="J39" s="4">
        <v>0</v>
      </c>
      <c r="K39" s="34">
        <f>J39*(1-SUMIFS(CUSTOS!$T$40:$T$100,CUSTOS!$O$40:$O$100,EFEITO!G39,CUSTOS!$S$40:$S$100,EFEITO!B39,CUSTOS!$R$40:$R$100,"Potência"))</f>
        <v>0</v>
      </c>
      <c r="L39" s="4">
        <v>0</v>
      </c>
      <c r="M39" s="34">
        <f>L39*(1-SUMIFS(CUSTOS!$T$40:$T$100,CUSTOS!$O$40:$O$100,EFEITO!G39,CUSTOS!$S$40:$S$100,EFEITO!B39,CUSTOS!$R$40:$R$100,"Potência"))</f>
        <v>0</v>
      </c>
      <c r="N39" s="4">
        <v>1112.021</v>
      </c>
      <c r="O39" s="34">
        <f>N39*(1-SUMIFS(CUSTOS!$T$40:$T$100,CUSTOS!$O$40:$O$100,EFEITO!G39,CUSTOS!$S$40:$S$100,EFEITO!B39,CUSTOS!$R$40:$R$100,"Energia"))</f>
        <v>1112.021</v>
      </c>
      <c r="P39" s="4">
        <v>0</v>
      </c>
      <c r="Q39" s="3" t="s">
        <v>59</v>
      </c>
      <c r="R39" s="3">
        <v>5351</v>
      </c>
      <c r="S39" s="4">
        <v>0</v>
      </c>
      <c r="T39" s="4">
        <v>0</v>
      </c>
      <c r="U39" s="4">
        <v>78</v>
      </c>
      <c r="V39" s="4">
        <f>IF(ISERROR(VLOOKUP($S$39,'TAR FIN'!$A$1:$O$91,15,0)),0,VLOOKUP($S$39,'TAR FIN'!$A$1:$O$91,15,0))</f>
        <v>0</v>
      </c>
      <c r="W39" s="4">
        <f>IF(ISERROR(VLOOKUP($T$39,'TAR FIN'!$A$1:$O$91,15,0)),0,VLOOKUP($T$39,'TAR FIN'!$A$1:$O$91,15,0))</f>
        <v>0</v>
      </c>
      <c r="X39" s="4">
        <f>IF(ISERROR(VLOOKUP($U$39,'TAR FIN'!$A$1:$O$91,15,0)),0,VLOOKUP($U$39,'TAR FIN'!$A$1:$O$91,15,0))</f>
        <v>248.68</v>
      </c>
      <c r="Y39" s="4">
        <f ca="1">0.72*('TUSD BE'!$AM$9+'TUSD BF'!$AM$9+'TUSD CVA'!$AM$9)*1+('TUSD BE'!$AM$10+'TUSD BF'!$AM$10+'TUSD CVA'!$AM$10)*1</f>
        <v>53.149182930504139</v>
      </c>
      <c r="Z39" s="4">
        <f ca="1">('TUSD BE'!$AM$11+'TUSD BF'!$AM$11+'TUSD CVA'!$AM$11)*1</f>
        <v>8.9251920173408053</v>
      </c>
      <c r="AA39" s="4">
        <f>('TE BE'!$AB$8+'TE BF'!$AB$8+'TE CVA'!$AB$8)*1</f>
        <v>203.47604618827933</v>
      </c>
      <c r="AB39" s="4">
        <f>$K$39*$V$39</f>
        <v>0</v>
      </c>
      <c r="AC39" s="4">
        <f>$M$39*$W$39</f>
        <v>0</v>
      </c>
      <c r="AD39" s="4">
        <f>$O$39*$X$39</f>
        <v>276537.38228000002</v>
      </c>
      <c r="AE39" s="4">
        <f ca="1">$K$39*$Y$39</f>
        <v>0</v>
      </c>
      <c r="AF39" s="4">
        <f ca="1">$M$39*$Z$39</f>
        <v>0</v>
      </c>
      <c r="AG39" s="4">
        <f>$O$39*$AA$39</f>
        <v>226269.63635833655</v>
      </c>
    </row>
    <row r="40" spans="1:33" ht="11.25" customHeight="1" x14ac:dyDescent="0.25">
      <c r="A40" s="3" t="s">
        <v>21</v>
      </c>
      <c r="B40" s="3" t="s">
        <v>35</v>
      </c>
      <c r="C40" s="3" t="s">
        <v>56</v>
      </c>
      <c r="D40" s="3" t="s">
        <v>25</v>
      </c>
      <c r="E40" s="3" t="s">
        <v>25</v>
      </c>
      <c r="F40" s="3" t="s">
        <v>57</v>
      </c>
      <c r="G40" s="3" t="s">
        <v>58</v>
      </c>
      <c r="H40" s="3" t="s">
        <v>25</v>
      </c>
      <c r="I40" s="6">
        <v>44501</v>
      </c>
      <c r="J40" s="4">
        <v>0</v>
      </c>
      <c r="K40" s="34">
        <f>J40*(1-SUMIFS(CUSTOS!$T$40:$T$100,CUSTOS!$O$40:$O$100,EFEITO!G40,CUSTOS!$S$40:$S$100,EFEITO!B40,CUSTOS!$R$40:$R$100,"Potência"))</f>
        <v>0</v>
      </c>
      <c r="L40" s="4">
        <v>0</v>
      </c>
      <c r="M40" s="34">
        <f>L40*(1-SUMIFS(CUSTOS!$T$40:$T$100,CUSTOS!$O$40:$O$100,EFEITO!G40,CUSTOS!$S$40:$S$100,EFEITO!B40,CUSTOS!$R$40:$R$100,"Potência"))</f>
        <v>0</v>
      </c>
      <c r="N40" s="4">
        <v>1103.4000000000001</v>
      </c>
      <c r="O40" s="34">
        <f>N40*(1-SUMIFS(CUSTOS!$T$40:$T$100,CUSTOS!$O$40:$O$100,EFEITO!G40,CUSTOS!$S$40:$S$100,EFEITO!B40,CUSTOS!$R$40:$R$100,"Energia"))</f>
        <v>1103.4000000000001</v>
      </c>
      <c r="P40" s="4">
        <v>0</v>
      </c>
      <c r="Q40" s="3" t="s">
        <v>59</v>
      </c>
      <c r="R40" s="3">
        <v>5351</v>
      </c>
      <c r="S40" s="4">
        <v>0</v>
      </c>
      <c r="T40" s="4">
        <v>0</v>
      </c>
      <c r="U40" s="4">
        <v>78</v>
      </c>
      <c r="V40" s="4">
        <f>IF(ISERROR(VLOOKUP($S$40,'TAR FIN'!$A$1:$O$91,15,0)),0,VLOOKUP($S$40,'TAR FIN'!$A$1:$O$91,15,0))</f>
        <v>0</v>
      </c>
      <c r="W40" s="4">
        <f>IF(ISERROR(VLOOKUP($T$40,'TAR FIN'!$A$1:$O$91,15,0)),0,VLOOKUP($T$40,'TAR FIN'!$A$1:$O$91,15,0))</f>
        <v>0</v>
      </c>
      <c r="X40" s="4">
        <f>IF(ISERROR(VLOOKUP($U$40,'TAR FIN'!$A$1:$O$91,15,0)),0,VLOOKUP($U$40,'TAR FIN'!$A$1:$O$91,15,0))</f>
        <v>248.68</v>
      </c>
      <c r="Y40" s="4">
        <f ca="1">0.72*('TUSD BE'!$AM$9+'TUSD BF'!$AM$9+'TUSD CVA'!$AM$9)*1+('TUSD BE'!$AM$10+'TUSD BF'!$AM$10+'TUSD CVA'!$AM$10)*1</f>
        <v>53.149182930504139</v>
      </c>
      <c r="Z40" s="4">
        <f ca="1">('TUSD BE'!$AM$11+'TUSD BF'!$AM$11+'TUSD CVA'!$AM$11)*1</f>
        <v>8.9251920173408053</v>
      </c>
      <c r="AA40" s="4">
        <f>('TE BE'!$AB$8+'TE BF'!$AB$8+'TE CVA'!$AB$8)*1</f>
        <v>203.47604618827933</v>
      </c>
      <c r="AB40" s="4">
        <f>$K$40*$V$40</f>
        <v>0</v>
      </c>
      <c r="AC40" s="4">
        <f>$M$40*$W$40</f>
        <v>0</v>
      </c>
      <c r="AD40" s="4">
        <f>$O$40*$X$40</f>
        <v>274393.51200000005</v>
      </c>
      <c r="AE40" s="4">
        <f ca="1">$K$40*$Y$40</f>
        <v>0</v>
      </c>
      <c r="AF40" s="4">
        <f ca="1">$M$40*$Z$40</f>
        <v>0</v>
      </c>
      <c r="AG40" s="4">
        <f>$O$40*$AA$40</f>
        <v>224515.46936414743</v>
      </c>
    </row>
    <row r="41" spans="1:33" ht="11.25" customHeight="1" x14ac:dyDescent="0.25">
      <c r="A41" s="3" t="s">
        <v>21</v>
      </c>
      <c r="B41" s="3" t="s">
        <v>35</v>
      </c>
      <c r="C41" s="3" t="s">
        <v>56</v>
      </c>
      <c r="D41" s="3" t="s">
        <v>25</v>
      </c>
      <c r="E41" s="3" t="s">
        <v>25</v>
      </c>
      <c r="F41" s="3" t="s">
        <v>57</v>
      </c>
      <c r="G41" s="3" t="s">
        <v>58</v>
      </c>
      <c r="H41" s="3" t="s">
        <v>25</v>
      </c>
      <c r="I41" s="6">
        <v>44531</v>
      </c>
      <c r="J41" s="4">
        <v>0</v>
      </c>
      <c r="K41" s="34">
        <f>J41*(1-SUMIFS(CUSTOS!$T$40:$T$100,CUSTOS!$O$40:$O$100,EFEITO!G41,CUSTOS!$S$40:$S$100,EFEITO!B41,CUSTOS!$R$40:$R$100,"Potência"))</f>
        <v>0</v>
      </c>
      <c r="L41" s="4">
        <v>0</v>
      </c>
      <c r="M41" s="34">
        <f>L41*(1-SUMIFS(CUSTOS!$T$40:$T$100,CUSTOS!$O$40:$O$100,EFEITO!G41,CUSTOS!$S$40:$S$100,EFEITO!B41,CUSTOS!$R$40:$R$100,"Potência"))</f>
        <v>0</v>
      </c>
      <c r="N41" s="4">
        <v>1146.7660000000001</v>
      </c>
      <c r="O41" s="34">
        <f>N41*(1-SUMIFS(CUSTOS!$T$40:$T$100,CUSTOS!$O$40:$O$100,EFEITO!G41,CUSTOS!$S$40:$S$100,EFEITO!B41,CUSTOS!$R$40:$R$100,"Energia"))</f>
        <v>1146.7660000000001</v>
      </c>
      <c r="P41" s="4">
        <v>0</v>
      </c>
      <c r="Q41" s="3" t="s">
        <v>59</v>
      </c>
      <c r="R41" s="3">
        <v>5351</v>
      </c>
      <c r="S41" s="4">
        <v>0</v>
      </c>
      <c r="T41" s="4">
        <v>0</v>
      </c>
      <c r="U41" s="4">
        <v>78</v>
      </c>
      <c r="V41" s="4">
        <f>IF(ISERROR(VLOOKUP($S$41,'TAR FIN'!$A$1:$O$91,15,0)),0,VLOOKUP($S$41,'TAR FIN'!$A$1:$O$91,15,0))</f>
        <v>0</v>
      </c>
      <c r="W41" s="4">
        <f>IF(ISERROR(VLOOKUP($T$41,'TAR FIN'!$A$1:$O$91,15,0)),0,VLOOKUP($T$41,'TAR FIN'!$A$1:$O$91,15,0))</f>
        <v>0</v>
      </c>
      <c r="X41" s="4">
        <f>IF(ISERROR(VLOOKUP($U$41,'TAR FIN'!$A$1:$O$91,15,0)),0,VLOOKUP($U$41,'TAR FIN'!$A$1:$O$91,15,0))</f>
        <v>248.68</v>
      </c>
      <c r="Y41" s="4">
        <f ca="1">0.72*('TUSD BE'!$AM$9+'TUSD BF'!$AM$9+'TUSD CVA'!$AM$9)*1+('TUSD BE'!$AM$10+'TUSD BF'!$AM$10+'TUSD CVA'!$AM$10)*1</f>
        <v>53.149182930504139</v>
      </c>
      <c r="Z41" s="4">
        <f ca="1">('TUSD BE'!$AM$11+'TUSD BF'!$AM$11+'TUSD CVA'!$AM$11)*1</f>
        <v>8.9251920173408053</v>
      </c>
      <c r="AA41" s="4">
        <f>('TE BE'!$AB$8+'TE BF'!$AB$8+'TE CVA'!$AB$8)*1</f>
        <v>203.47604618827933</v>
      </c>
      <c r="AB41" s="4">
        <f>$K$41*$V$41</f>
        <v>0</v>
      </c>
      <c r="AC41" s="4">
        <f>$M$41*$W$41</f>
        <v>0</v>
      </c>
      <c r="AD41" s="4">
        <f>$O$41*$X$41</f>
        <v>285177.76888000005</v>
      </c>
      <c r="AE41" s="4">
        <f ca="1">$K$41*$Y$41</f>
        <v>0</v>
      </c>
      <c r="AF41" s="4">
        <f ca="1">$M$41*$Z$41</f>
        <v>0</v>
      </c>
      <c r="AG41" s="4">
        <f>$O$41*$AA$41</f>
        <v>233339.41158314835</v>
      </c>
    </row>
    <row r="42" spans="1:33" ht="11.25" customHeight="1" x14ac:dyDescent="0.25">
      <c r="A42" s="3" t="s">
        <v>21</v>
      </c>
      <c r="B42" s="3" t="s">
        <v>35</v>
      </c>
      <c r="C42" s="3" t="s">
        <v>56</v>
      </c>
      <c r="D42" s="3" t="s">
        <v>25</v>
      </c>
      <c r="E42" s="3" t="s">
        <v>25</v>
      </c>
      <c r="F42" s="3" t="s">
        <v>57</v>
      </c>
      <c r="G42" s="3" t="s">
        <v>58</v>
      </c>
      <c r="H42" s="3" t="s">
        <v>25</v>
      </c>
      <c r="I42" s="6">
        <v>44562</v>
      </c>
      <c r="J42" s="4">
        <v>0</v>
      </c>
      <c r="K42" s="34">
        <f>J42*(1-SUMIFS(CUSTOS!$T$40:$T$100,CUSTOS!$O$40:$O$100,EFEITO!G42,CUSTOS!$S$40:$S$100,EFEITO!B42,CUSTOS!$R$40:$R$100,"Potência"))</f>
        <v>0</v>
      </c>
      <c r="L42" s="4">
        <v>0</v>
      </c>
      <c r="M42" s="34">
        <f>L42*(1-SUMIFS(CUSTOS!$T$40:$T$100,CUSTOS!$O$40:$O$100,EFEITO!G42,CUSTOS!$S$40:$S$100,EFEITO!B42,CUSTOS!$R$40:$R$100,"Potência"))</f>
        <v>0</v>
      </c>
      <c r="N42" s="4">
        <v>1261.893</v>
      </c>
      <c r="O42" s="34">
        <f>N42*(1-SUMIFS(CUSTOS!$T$40:$T$100,CUSTOS!$O$40:$O$100,EFEITO!G42,CUSTOS!$S$40:$S$100,EFEITO!B42,CUSTOS!$R$40:$R$100,"Energia"))</f>
        <v>1261.893</v>
      </c>
      <c r="P42" s="4">
        <v>0</v>
      </c>
      <c r="Q42" s="3" t="s">
        <v>59</v>
      </c>
      <c r="R42" s="3">
        <v>5351</v>
      </c>
      <c r="S42" s="4">
        <v>0</v>
      </c>
      <c r="T42" s="4">
        <v>0</v>
      </c>
      <c r="U42" s="4">
        <v>78</v>
      </c>
      <c r="V42" s="4">
        <f>IF(ISERROR(VLOOKUP($S$42,'TAR FIN'!$A$1:$O$91,15,0)),0,VLOOKUP($S$42,'TAR FIN'!$A$1:$O$91,15,0))</f>
        <v>0</v>
      </c>
      <c r="W42" s="4">
        <f>IF(ISERROR(VLOOKUP($T$42,'TAR FIN'!$A$1:$O$91,15,0)),0,VLOOKUP($T$42,'TAR FIN'!$A$1:$O$91,15,0))</f>
        <v>0</v>
      </c>
      <c r="X42" s="4">
        <f>IF(ISERROR(VLOOKUP($U$42,'TAR FIN'!$A$1:$O$91,15,0)),0,VLOOKUP($U$42,'TAR FIN'!$A$1:$O$91,15,0))</f>
        <v>248.68</v>
      </c>
      <c r="Y42" s="4">
        <f ca="1">0.72*('TUSD BE'!$AM$9+'TUSD BF'!$AM$9+'TUSD CVA'!$AM$9)*1+('TUSD BE'!$AM$10+'TUSD BF'!$AM$10+'TUSD CVA'!$AM$10)*1</f>
        <v>53.149182930504139</v>
      </c>
      <c r="Z42" s="4">
        <f ca="1">('TUSD BE'!$AM$11+'TUSD BF'!$AM$11+'TUSD CVA'!$AM$11)*1</f>
        <v>8.9251920173408053</v>
      </c>
      <c r="AA42" s="4">
        <f>('TE BE'!$AB$8+'TE BF'!$AB$8+'TE CVA'!$AB$8)*1</f>
        <v>203.47604618827933</v>
      </c>
      <c r="AB42" s="4">
        <f>$K$42*$V$42</f>
        <v>0</v>
      </c>
      <c r="AC42" s="4">
        <f>$M$42*$W$42</f>
        <v>0</v>
      </c>
      <c r="AD42" s="4">
        <f>$O$42*$X$42</f>
        <v>313807.55124</v>
      </c>
      <c r="AE42" s="4">
        <f ca="1">$K$42*$Y$42</f>
        <v>0</v>
      </c>
      <c r="AF42" s="4">
        <f ca="1">$M$42*$Z$42</f>
        <v>0</v>
      </c>
      <c r="AG42" s="4">
        <f>$O$42*$AA$42</f>
        <v>256764.99835266636</v>
      </c>
    </row>
    <row r="43" spans="1:33" ht="11.25" customHeight="1" x14ac:dyDescent="0.25">
      <c r="A43" s="3" t="s">
        <v>21</v>
      </c>
      <c r="B43" s="3" t="s">
        <v>35</v>
      </c>
      <c r="C43" s="3" t="s">
        <v>56</v>
      </c>
      <c r="D43" s="3" t="s">
        <v>25</v>
      </c>
      <c r="E43" s="3" t="s">
        <v>25</v>
      </c>
      <c r="F43" s="3" t="s">
        <v>57</v>
      </c>
      <c r="G43" s="3" t="s">
        <v>58</v>
      </c>
      <c r="H43" s="3" t="s">
        <v>25</v>
      </c>
      <c r="I43" s="6">
        <v>44593</v>
      </c>
      <c r="J43" s="4">
        <v>0</v>
      </c>
      <c r="K43" s="34">
        <f>J43*(1-SUMIFS(CUSTOS!$T$40:$T$100,CUSTOS!$O$40:$O$100,EFEITO!G43,CUSTOS!$S$40:$S$100,EFEITO!B43,CUSTOS!$R$40:$R$100,"Potência"))</f>
        <v>0</v>
      </c>
      <c r="L43" s="4">
        <v>0</v>
      </c>
      <c r="M43" s="34">
        <f>L43*(1-SUMIFS(CUSTOS!$T$40:$T$100,CUSTOS!$O$40:$O$100,EFEITO!G43,CUSTOS!$S$40:$S$100,EFEITO!B43,CUSTOS!$R$40:$R$100,"Potência"))</f>
        <v>0</v>
      </c>
      <c r="N43" s="4">
        <v>1131.1489999999999</v>
      </c>
      <c r="O43" s="34">
        <f>N43*(1-SUMIFS(CUSTOS!$T$40:$T$100,CUSTOS!$O$40:$O$100,EFEITO!G43,CUSTOS!$S$40:$S$100,EFEITO!B43,CUSTOS!$R$40:$R$100,"Energia"))</f>
        <v>1131.1489999999999</v>
      </c>
      <c r="P43" s="4">
        <v>0</v>
      </c>
      <c r="Q43" s="3" t="s">
        <v>59</v>
      </c>
      <c r="R43" s="3">
        <v>5351</v>
      </c>
      <c r="S43" s="4">
        <v>0</v>
      </c>
      <c r="T43" s="4">
        <v>0</v>
      </c>
      <c r="U43" s="4">
        <v>78</v>
      </c>
      <c r="V43" s="4">
        <f>IF(ISERROR(VLOOKUP($S$43,'TAR FIN'!$A$1:$O$91,15,0)),0,VLOOKUP($S$43,'TAR FIN'!$A$1:$O$91,15,0))</f>
        <v>0</v>
      </c>
      <c r="W43" s="4">
        <f>IF(ISERROR(VLOOKUP($T$43,'TAR FIN'!$A$1:$O$91,15,0)),0,VLOOKUP($T$43,'TAR FIN'!$A$1:$O$91,15,0))</f>
        <v>0</v>
      </c>
      <c r="X43" s="4">
        <f>IF(ISERROR(VLOOKUP($U$43,'TAR FIN'!$A$1:$O$91,15,0)),0,VLOOKUP($U$43,'TAR FIN'!$A$1:$O$91,15,0))</f>
        <v>248.68</v>
      </c>
      <c r="Y43" s="4">
        <f ca="1">0.72*('TUSD BE'!$AM$9+'TUSD BF'!$AM$9+'TUSD CVA'!$AM$9)*1+('TUSD BE'!$AM$10+'TUSD BF'!$AM$10+'TUSD CVA'!$AM$10)*1</f>
        <v>53.149182930504139</v>
      </c>
      <c r="Z43" s="4">
        <f ca="1">('TUSD BE'!$AM$11+'TUSD BF'!$AM$11+'TUSD CVA'!$AM$11)*1</f>
        <v>8.9251920173408053</v>
      </c>
      <c r="AA43" s="4">
        <f>('TE BE'!$AB$8+'TE BF'!$AB$8+'TE CVA'!$AB$8)*1</f>
        <v>203.47604618827933</v>
      </c>
      <c r="AB43" s="4">
        <f>$K$43*$V$43</f>
        <v>0</v>
      </c>
      <c r="AC43" s="4">
        <f>$M$43*$W$43</f>
        <v>0</v>
      </c>
      <c r="AD43" s="4">
        <f>$O$43*$X$43</f>
        <v>281294.13331999996</v>
      </c>
      <c r="AE43" s="4">
        <f ca="1">$K$43*$Y$43</f>
        <v>0</v>
      </c>
      <c r="AF43" s="4">
        <f ca="1">$M$43*$Z$43</f>
        <v>0</v>
      </c>
      <c r="AG43" s="4">
        <f>$O$43*$AA$43</f>
        <v>230161.72616982594</v>
      </c>
    </row>
    <row r="44" spans="1:33" ht="11.25" customHeight="1" x14ac:dyDescent="0.25">
      <c r="A44" s="3" t="s">
        <v>21</v>
      </c>
      <c r="B44" s="3" t="s">
        <v>35</v>
      </c>
      <c r="C44" s="3" t="s">
        <v>56</v>
      </c>
      <c r="D44" s="3" t="s">
        <v>25</v>
      </c>
      <c r="E44" s="3" t="s">
        <v>25</v>
      </c>
      <c r="F44" s="3" t="s">
        <v>57</v>
      </c>
      <c r="G44" s="3" t="s">
        <v>58</v>
      </c>
      <c r="H44" s="3" t="s">
        <v>25</v>
      </c>
      <c r="I44" s="6">
        <v>44621</v>
      </c>
      <c r="J44" s="4">
        <v>0</v>
      </c>
      <c r="K44" s="34">
        <f>J44*(1-SUMIFS(CUSTOS!$T$40:$T$100,CUSTOS!$O$40:$O$100,EFEITO!G44,CUSTOS!$S$40:$S$100,EFEITO!B44,CUSTOS!$R$40:$R$100,"Potência"))</f>
        <v>0</v>
      </c>
      <c r="L44" s="4">
        <v>0</v>
      </c>
      <c r="M44" s="34">
        <f>L44*(1-SUMIFS(CUSTOS!$T$40:$T$100,CUSTOS!$O$40:$O$100,EFEITO!G44,CUSTOS!$S$40:$S$100,EFEITO!B44,CUSTOS!$R$40:$R$100,"Potência"))</f>
        <v>0</v>
      </c>
      <c r="N44" s="4">
        <v>1232.3889999999999</v>
      </c>
      <c r="O44" s="34">
        <f>N44*(1-SUMIFS(CUSTOS!$T$40:$T$100,CUSTOS!$O$40:$O$100,EFEITO!G44,CUSTOS!$S$40:$S$100,EFEITO!B44,CUSTOS!$R$40:$R$100,"Energia"))</f>
        <v>1232.3889999999999</v>
      </c>
      <c r="P44" s="4">
        <v>0</v>
      </c>
      <c r="Q44" s="3" t="s">
        <v>59</v>
      </c>
      <c r="R44" s="3">
        <v>5351</v>
      </c>
      <c r="S44" s="4">
        <v>0</v>
      </c>
      <c r="T44" s="4">
        <v>0</v>
      </c>
      <c r="U44" s="4">
        <v>78</v>
      </c>
      <c r="V44" s="4">
        <f>IF(ISERROR(VLOOKUP($S$44,'TAR FIN'!$A$1:$O$91,15,0)),0,VLOOKUP($S$44,'TAR FIN'!$A$1:$O$91,15,0))</f>
        <v>0</v>
      </c>
      <c r="W44" s="4">
        <f>IF(ISERROR(VLOOKUP($T$44,'TAR FIN'!$A$1:$O$91,15,0)),0,VLOOKUP($T$44,'TAR FIN'!$A$1:$O$91,15,0))</f>
        <v>0</v>
      </c>
      <c r="X44" s="4">
        <f>IF(ISERROR(VLOOKUP($U$44,'TAR FIN'!$A$1:$O$91,15,0)),0,VLOOKUP($U$44,'TAR FIN'!$A$1:$O$91,15,0))</f>
        <v>248.68</v>
      </c>
      <c r="Y44" s="4">
        <f ca="1">0.72*('TUSD BE'!$AM$9+'TUSD BF'!$AM$9+'TUSD CVA'!$AM$9)*1+('TUSD BE'!$AM$10+'TUSD BF'!$AM$10+'TUSD CVA'!$AM$10)*1</f>
        <v>53.149182930504139</v>
      </c>
      <c r="Z44" s="4">
        <f ca="1">('TUSD BE'!$AM$11+'TUSD BF'!$AM$11+'TUSD CVA'!$AM$11)*1</f>
        <v>8.9251920173408053</v>
      </c>
      <c r="AA44" s="4">
        <f>('TE BE'!$AB$8+'TE BF'!$AB$8+'TE CVA'!$AB$8)*1</f>
        <v>203.47604618827933</v>
      </c>
      <c r="AB44" s="4">
        <f>$K$44*$V$44</f>
        <v>0</v>
      </c>
      <c r="AC44" s="4">
        <f>$M$44*$W$44</f>
        <v>0</v>
      </c>
      <c r="AD44" s="4">
        <f>$O$44*$X$44</f>
        <v>306470.49651999999</v>
      </c>
      <c r="AE44" s="4">
        <f ca="1">$K$44*$Y$44</f>
        <v>0</v>
      </c>
      <c r="AF44" s="4">
        <f ca="1">$M$44*$Z$44</f>
        <v>0</v>
      </c>
      <c r="AG44" s="4">
        <f>$O$44*$AA$44</f>
        <v>250761.64108592735</v>
      </c>
    </row>
    <row r="45" spans="1:33" ht="11.25" customHeight="1" x14ac:dyDescent="0.25">
      <c r="A45" s="3" t="s">
        <v>21</v>
      </c>
      <c r="B45" s="3" t="s">
        <v>35</v>
      </c>
      <c r="C45" s="3" t="s">
        <v>56</v>
      </c>
      <c r="D45" s="3" t="s">
        <v>25</v>
      </c>
      <c r="E45" s="3" t="s">
        <v>25</v>
      </c>
      <c r="F45" s="3" t="s">
        <v>57</v>
      </c>
      <c r="G45" s="3" t="s">
        <v>58</v>
      </c>
      <c r="H45" s="3" t="s">
        <v>25</v>
      </c>
      <c r="I45" s="6">
        <v>44652</v>
      </c>
      <c r="J45" s="4">
        <v>0</v>
      </c>
      <c r="K45" s="34">
        <f>J45*(1-SUMIFS(CUSTOS!$T$40:$T$100,CUSTOS!$O$40:$O$100,EFEITO!G45,CUSTOS!$S$40:$S$100,EFEITO!B45,CUSTOS!$R$40:$R$100,"Potência"))</f>
        <v>0</v>
      </c>
      <c r="L45" s="4">
        <v>0</v>
      </c>
      <c r="M45" s="34">
        <f>L45*(1-SUMIFS(CUSTOS!$T$40:$T$100,CUSTOS!$O$40:$O$100,EFEITO!G45,CUSTOS!$S$40:$S$100,EFEITO!B45,CUSTOS!$R$40:$R$100,"Potência"))</f>
        <v>0</v>
      </c>
      <c r="N45" s="4">
        <v>1130.751</v>
      </c>
      <c r="O45" s="34">
        <f>N45*(1-SUMIFS(CUSTOS!$T$40:$T$100,CUSTOS!$O$40:$O$100,EFEITO!G45,CUSTOS!$S$40:$S$100,EFEITO!B45,CUSTOS!$R$40:$R$100,"Energia"))</f>
        <v>1130.751</v>
      </c>
      <c r="P45" s="4">
        <v>0</v>
      </c>
      <c r="Q45" s="3" t="s">
        <v>59</v>
      </c>
      <c r="R45" s="3">
        <v>5351</v>
      </c>
      <c r="S45" s="4">
        <v>0</v>
      </c>
      <c r="T45" s="4">
        <v>0</v>
      </c>
      <c r="U45" s="4">
        <v>78</v>
      </c>
      <c r="V45" s="4">
        <f>IF(ISERROR(VLOOKUP($S$45,'TAR FIN'!$A$1:$O$91,15,0)),0,VLOOKUP($S$45,'TAR FIN'!$A$1:$O$91,15,0))</f>
        <v>0</v>
      </c>
      <c r="W45" s="4">
        <f>IF(ISERROR(VLOOKUP($T$45,'TAR FIN'!$A$1:$O$91,15,0)),0,VLOOKUP($T$45,'TAR FIN'!$A$1:$O$91,15,0))</f>
        <v>0</v>
      </c>
      <c r="X45" s="4">
        <f>IF(ISERROR(VLOOKUP($U$45,'TAR FIN'!$A$1:$O$91,15,0)),0,VLOOKUP($U$45,'TAR FIN'!$A$1:$O$91,15,0))</f>
        <v>248.68</v>
      </c>
      <c r="Y45" s="4">
        <f ca="1">0.72*('TUSD BE'!$AM$9+'TUSD BF'!$AM$9+'TUSD CVA'!$AM$9)*1+('TUSD BE'!$AM$10+'TUSD BF'!$AM$10+'TUSD CVA'!$AM$10)*1</f>
        <v>53.149182930504139</v>
      </c>
      <c r="Z45" s="4">
        <f ca="1">('TUSD BE'!$AM$11+'TUSD BF'!$AM$11+'TUSD CVA'!$AM$11)*1</f>
        <v>8.9251920173408053</v>
      </c>
      <c r="AA45" s="4">
        <f>('TE BE'!$AB$8+'TE BF'!$AB$8+'TE CVA'!$AB$8)*1</f>
        <v>203.47604618827933</v>
      </c>
      <c r="AB45" s="4">
        <f>$K$45*$V$45</f>
        <v>0</v>
      </c>
      <c r="AC45" s="4">
        <f>$M$45*$W$45</f>
        <v>0</v>
      </c>
      <c r="AD45" s="4">
        <f>$O$45*$X$45</f>
        <v>281195.15867999999</v>
      </c>
      <c r="AE45" s="4">
        <f ca="1">$K$45*$Y$45</f>
        <v>0</v>
      </c>
      <c r="AF45" s="4">
        <f ca="1">$M$45*$Z$45</f>
        <v>0</v>
      </c>
      <c r="AG45" s="4">
        <f>$O$45*$AA$45</f>
        <v>230080.74270344304</v>
      </c>
    </row>
    <row r="46" spans="1:33" ht="11.25" customHeight="1" x14ac:dyDescent="0.25">
      <c r="A46" s="3" t="s">
        <v>21</v>
      </c>
      <c r="B46" s="3" t="s">
        <v>35</v>
      </c>
      <c r="C46" s="3" t="s">
        <v>56</v>
      </c>
      <c r="D46" s="3" t="s">
        <v>25</v>
      </c>
      <c r="E46" s="3" t="s">
        <v>25</v>
      </c>
      <c r="F46" s="3" t="s">
        <v>57</v>
      </c>
      <c r="G46" s="3" t="s">
        <v>58</v>
      </c>
      <c r="H46" s="3" t="s">
        <v>25</v>
      </c>
      <c r="I46" s="6">
        <v>44682</v>
      </c>
      <c r="J46" s="4">
        <v>0</v>
      </c>
      <c r="K46" s="34">
        <f>J46*(1-SUMIFS(CUSTOS!$T$40:$T$100,CUSTOS!$O$40:$O$100,EFEITO!G46,CUSTOS!$S$40:$S$100,EFEITO!B46,CUSTOS!$R$40:$R$100,"Potência"))</f>
        <v>0</v>
      </c>
      <c r="L46" s="4">
        <v>0</v>
      </c>
      <c r="M46" s="34">
        <f>L46*(1-SUMIFS(CUSTOS!$T$40:$T$100,CUSTOS!$O$40:$O$100,EFEITO!G46,CUSTOS!$S$40:$S$100,EFEITO!B46,CUSTOS!$R$40:$R$100,"Potência"))</f>
        <v>0</v>
      </c>
      <c r="N46" s="4">
        <v>1104.546</v>
      </c>
      <c r="O46" s="34">
        <f>N46*(1-SUMIFS(CUSTOS!$T$40:$T$100,CUSTOS!$O$40:$O$100,EFEITO!G46,CUSTOS!$S$40:$S$100,EFEITO!B46,CUSTOS!$R$40:$R$100,"Energia"))</f>
        <v>1104.546</v>
      </c>
      <c r="P46" s="4">
        <v>0</v>
      </c>
      <c r="Q46" s="3" t="s">
        <v>59</v>
      </c>
      <c r="R46" s="3">
        <v>5351</v>
      </c>
      <c r="S46" s="4">
        <v>0</v>
      </c>
      <c r="T46" s="4">
        <v>0</v>
      </c>
      <c r="U46" s="4">
        <v>78</v>
      </c>
      <c r="V46" s="4">
        <f>IF(ISERROR(VLOOKUP($S$46,'TAR FIN'!$A$1:$O$91,15,0)),0,VLOOKUP($S$46,'TAR FIN'!$A$1:$O$91,15,0))</f>
        <v>0</v>
      </c>
      <c r="W46" s="4">
        <f>IF(ISERROR(VLOOKUP($T$46,'TAR FIN'!$A$1:$O$91,15,0)),0,VLOOKUP($T$46,'TAR FIN'!$A$1:$O$91,15,0))</f>
        <v>0</v>
      </c>
      <c r="X46" s="4">
        <f>IF(ISERROR(VLOOKUP($U$46,'TAR FIN'!$A$1:$O$91,15,0)),0,VLOOKUP($U$46,'TAR FIN'!$A$1:$O$91,15,0))</f>
        <v>248.68</v>
      </c>
      <c r="Y46" s="4">
        <f ca="1">0.72*('TUSD BE'!$AM$9+'TUSD BF'!$AM$9+'TUSD CVA'!$AM$9)*1+('TUSD BE'!$AM$10+'TUSD BF'!$AM$10+'TUSD CVA'!$AM$10)*1</f>
        <v>53.149182930504139</v>
      </c>
      <c r="Z46" s="4">
        <f ca="1">('TUSD BE'!$AM$11+'TUSD BF'!$AM$11+'TUSD CVA'!$AM$11)*1</f>
        <v>8.9251920173408053</v>
      </c>
      <c r="AA46" s="4">
        <f>('TE BE'!$AB$8+'TE BF'!$AB$8+'TE CVA'!$AB$8)*1</f>
        <v>203.47604618827933</v>
      </c>
      <c r="AB46" s="4">
        <f>$K$46*$V$46</f>
        <v>0</v>
      </c>
      <c r="AC46" s="4">
        <f>$M$46*$W$46</f>
        <v>0</v>
      </c>
      <c r="AD46" s="4">
        <f>$O$46*$X$46</f>
        <v>274678.49928000005</v>
      </c>
      <c r="AE46" s="4">
        <f ca="1">$K$46*$Y$46</f>
        <v>0</v>
      </c>
      <c r="AF46" s="4">
        <f ca="1">$M$46*$Z$46</f>
        <v>0</v>
      </c>
      <c r="AG46" s="4">
        <f>$O$46*$AA$46</f>
        <v>224748.65291307919</v>
      </c>
    </row>
    <row r="47" spans="1:33" ht="11.25" customHeight="1" x14ac:dyDescent="0.25">
      <c r="A47" s="3" t="s">
        <v>21</v>
      </c>
      <c r="B47" s="3" t="s">
        <v>35</v>
      </c>
      <c r="C47" s="3" t="s">
        <v>56</v>
      </c>
      <c r="D47" s="3" t="s">
        <v>25</v>
      </c>
      <c r="E47" s="3" t="s">
        <v>25</v>
      </c>
      <c r="F47" s="3" t="s">
        <v>57</v>
      </c>
      <c r="G47" s="3" t="s">
        <v>58</v>
      </c>
      <c r="H47" s="3" t="s">
        <v>25</v>
      </c>
      <c r="I47" s="6">
        <v>44713</v>
      </c>
      <c r="J47" s="4">
        <v>0</v>
      </c>
      <c r="K47" s="34">
        <f>J47*(1-SUMIFS(CUSTOS!$T$40:$T$100,CUSTOS!$O$40:$O$100,EFEITO!G47,CUSTOS!$S$40:$S$100,EFEITO!B47,CUSTOS!$R$40:$R$100,"Potência"))</f>
        <v>0</v>
      </c>
      <c r="L47" s="4">
        <v>0</v>
      </c>
      <c r="M47" s="34">
        <f>L47*(1-SUMIFS(CUSTOS!$T$40:$T$100,CUSTOS!$O$40:$O$100,EFEITO!G47,CUSTOS!$S$40:$S$100,EFEITO!B47,CUSTOS!$R$40:$R$100,"Potência"))</f>
        <v>0</v>
      </c>
      <c r="N47" s="4">
        <v>1194.6420000000001</v>
      </c>
      <c r="O47" s="34">
        <f>N47*(1-SUMIFS(CUSTOS!$T$40:$T$100,CUSTOS!$O$40:$O$100,EFEITO!G47,CUSTOS!$S$40:$S$100,EFEITO!B47,CUSTOS!$R$40:$R$100,"Energia"))</f>
        <v>1194.6420000000001</v>
      </c>
      <c r="P47" s="4">
        <v>0</v>
      </c>
      <c r="Q47" s="3" t="s">
        <v>59</v>
      </c>
      <c r="R47" s="3">
        <v>5351</v>
      </c>
      <c r="S47" s="4">
        <v>0</v>
      </c>
      <c r="T47" s="4">
        <v>0</v>
      </c>
      <c r="U47" s="4">
        <v>78</v>
      </c>
      <c r="V47" s="4">
        <f>IF(ISERROR(VLOOKUP($S$47,'TAR FIN'!$A$1:$O$91,15,0)),0,VLOOKUP($S$47,'TAR FIN'!$A$1:$O$91,15,0))</f>
        <v>0</v>
      </c>
      <c r="W47" s="4">
        <f>IF(ISERROR(VLOOKUP($T$47,'TAR FIN'!$A$1:$O$91,15,0)),0,VLOOKUP($T$47,'TAR FIN'!$A$1:$O$91,15,0))</f>
        <v>0</v>
      </c>
      <c r="X47" s="4">
        <f>IF(ISERROR(VLOOKUP($U$47,'TAR FIN'!$A$1:$O$91,15,0)),0,VLOOKUP($U$47,'TAR FIN'!$A$1:$O$91,15,0))</f>
        <v>248.68</v>
      </c>
      <c r="Y47" s="4">
        <f ca="1">0.72*('TUSD BE'!$AM$9+'TUSD BF'!$AM$9+'TUSD CVA'!$AM$9)*1+('TUSD BE'!$AM$10+'TUSD BF'!$AM$10+'TUSD CVA'!$AM$10)*1</f>
        <v>53.149182930504139</v>
      </c>
      <c r="Z47" s="4">
        <f ca="1">('TUSD BE'!$AM$11+'TUSD BF'!$AM$11+'TUSD CVA'!$AM$11)*1</f>
        <v>8.9251920173408053</v>
      </c>
      <c r="AA47" s="4">
        <f>('TE BE'!$AB$8+'TE BF'!$AB$8+'TE CVA'!$AB$8)*1</f>
        <v>203.47604618827933</v>
      </c>
      <c r="AB47" s="4">
        <f>$K$47*$V$47</f>
        <v>0</v>
      </c>
      <c r="AC47" s="4">
        <f>$M$47*$W$47</f>
        <v>0</v>
      </c>
      <c r="AD47" s="4">
        <f>$O$47*$X$47</f>
        <v>297083.57256</v>
      </c>
      <c r="AE47" s="4">
        <f ca="1">$K$47*$Y$47</f>
        <v>0</v>
      </c>
      <c r="AF47" s="4">
        <f ca="1">$M$47*$Z$47</f>
        <v>0</v>
      </c>
      <c r="AG47" s="4">
        <f>$O$47*$AA$47</f>
        <v>243081.0307704584</v>
      </c>
    </row>
    <row r="48" spans="1:33" ht="11.25" customHeight="1" x14ac:dyDescent="0.25">
      <c r="A48" s="3" t="s">
        <v>21</v>
      </c>
      <c r="B48" s="3" t="s">
        <v>35</v>
      </c>
      <c r="C48" s="3" t="s">
        <v>56</v>
      </c>
      <c r="D48" s="3" t="s">
        <v>25</v>
      </c>
      <c r="E48" s="3" t="s">
        <v>25</v>
      </c>
      <c r="F48" s="3" t="s">
        <v>57</v>
      </c>
      <c r="G48" s="3" t="s">
        <v>58</v>
      </c>
      <c r="H48" s="3" t="s">
        <v>25</v>
      </c>
      <c r="I48" s="6">
        <v>44743</v>
      </c>
      <c r="J48" s="4">
        <v>0</v>
      </c>
      <c r="K48" s="34">
        <f>J48*(1-SUMIFS(CUSTOS!$T$40:$T$100,CUSTOS!$O$40:$O$100,EFEITO!G48,CUSTOS!$S$40:$S$100,EFEITO!B48,CUSTOS!$R$40:$R$100,"Potência"))</f>
        <v>0</v>
      </c>
      <c r="L48" s="4">
        <v>0</v>
      </c>
      <c r="M48" s="34">
        <f>L48*(1-SUMIFS(CUSTOS!$T$40:$T$100,CUSTOS!$O$40:$O$100,EFEITO!G48,CUSTOS!$S$40:$S$100,EFEITO!B48,CUSTOS!$R$40:$R$100,"Potência"))</f>
        <v>0</v>
      </c>
      <c r="N48" s="4">
        <v>1172.8879999999999</v>
      </c>
      <c r="O48" s="34">
        <f>N48*(1-SUMIFS(CUSTOS!$T$40:$T$100,CUSTOS!$O$40:$O$100,EFEITO!G48,CUSTOS!$S$40:$S$100,EFEITO!B48,CUSTOS!$R$40:$R$100,"Energia"))</f>
        <v>1172.8879999999999</v>
      </c>
      <c r="P48" s="4">
        <v>0</v>
      </c>
      <c r="Q48" s="3" t="s">
        <v>59</v>
      </c>
      <c r="R48" s="3">
        <v>5351</v>
      </c>
      <c r="S48" s="4">
        <v>0</v>
      </c>
      <c r="T48" s="4">
        <v>0</v>
      </c>
      <c r="U48" s="4">
        <v>78</v>
      </c>
      <c r="V48" s="4">
        <f>IF(ISERROR(VLOOKUP($S$48,'TAR FIN'!$A$1:$O$91,15,0)),0,VLOOKUP($S$48,'TAR FIN'!$A$1:$O$91,15,0))</f>
        <v>0</v>
      </c>
      <c r="W48" s="4">
        <f>IF(ISERROR(VLOOKUP($T$48,'TAR FIN'!$A$1:$O$91,15,0)),0,VLOOKUP($T$48,'TAR FIN'!$A$1:$O$91,15,0))</f>
        <v>0</v>
      </c>
      <c r="X48" s="4">
        <f>IF(ISERROR(VLOOKUP($U$48,'TAR FIN'!$A$1:$O$91,15,0)),0,VLOOKUP($U$48,'TAR FIN'!$A$1:$O$91,15,0))</f>
        <v>248.68</v>
      </c>
      <c r="Y48" s="4">
        <f ca="1">0.72*('TUSD BE'!$AM$9+'TUSD BF'!$AM$9+'TUSD CVA'!$AM$9)*1+('TUSD BE'!$AM$10+'TUSD BF'!$AM$10+'TUSD CVA'!$AM$10)*1</f>
        <v>53.149182930504139</v>
      </c>
      <c r="Z48" s="4">
        <f ca="1">('TUSD BE'!$AM$11+'TUSD BF'!$AM$11+'TUSD CVA'!$AM$11)*1</f>
        <v>8.9251920173408053</v>
      </c>
      <c r="AA48" s="4">
        <f>('TE BE'!$AB$8+'TE BF'!$AB$8+'TE CVA'!$AB$8)*1</f>
        <v>203.47604618827933</v>
      </c>
      <c r="AB48" s="4">
        <f>$K$48*$V$48</f>
        <v>0</v>
      </c>
      <c r="AC48" s="4">
        <f>$M$48*$W$48</f>
        <v>0</v>
      </c>
      <c r="AD48" s="4">
        <f>$O$48*$X$48</f>
        <v>291673.78784</v>
      </c>
      <c r="AE48" s="4">
        <f ca="1">$K$48*$Y$48</f>
        <v>0</v>
      </c>
      <c r="AF48" s="4">
        <f ca="1">$M$48*$Z$48</f>
        <v>0</v>
      </c>
      <c r="AG48" s="4">
        <f>$O$48*$AA$48</f>
        <v>238654.61286167856</v>
      </c>
    </row>
    <row r="49" spans="1:33" ht="11.25" customHeight="1" x14ac:dyDescent="0.25">
      <c r="A49" s="3" t="s">
        <v>21</v>
      </c>
      <c r="B49" s="3" t="s">
        <v>35</v>
      </c>
      <c r="C49" s="3" t="s">
        <v>56</v>
      </c>
      <c r="D49" s="3" t="s">
        <v>25</v>
      </c>
      <c r="E49" s="3" t="s">
        <v>25</v>
      </c>
      <c r="F49" s="3" t="s">
        <v>57</v>
      </c>
      <c r="G49" s="3" t="s">
        <v>58</v>
      </c>
      <c r="H49" s="3" t="s">
        <v>25</v>
      </c>
      <c r="I49" s="6">
        <v>44774</v>
      </c>
      <c r="J49" s="4">
        <v>0</v>
      </c>
      <c r="K49" s="34">
        <f>J49*(1-SUMIFS(CUSTOS!$T$40:$T$100,CUSTOS!$O$40:$O$100,EFEITO!G49,CUSTOS!$S$40:$S$100,EFEITO!B49,CUSTOS!$R$40:$R$100,"Potência"))</f>
        <v>0</v>
      </c>
      <c r="L49" s="4">
        <v>0</v>
      </c>
      <c r="M49" s="34">
        <f>L49*(1-SUMIFS(CUSTOS!$T$40:$T$100,CUSTOS!$O$40:$O$100,EFEITO!G49,CUSTOS!$S$40:$S$100,EFEITO!B49,CUSTOS!$R$40:$R$100,"Potência"))</f>
        <v>0</v>
      </c>
      <c r="N49" s="4">
        <v>1179.9749999999999</v>
      </c>
      <c r="O49" s="34">
        <f>N49*(1-SUMIFS(CUSTOS!$T$40:$T$100,CUSTOS!$O$40:$O$100,EFEITO!G49,CUSTOS!$S$40:$S$100,EFEITO!B49,CUSTOS!$R$40:$R$100,"Energia"))</f>
        <v>1179.9749999999999</v>
      </c>
      <c r="P49" s="4">
        <v>0</v>
      </c>
      <c r="Q49" s="3" t="s">
        <v>59</v>
      </c>
      <c r="R49" s="3">
        <v>5351</v>
      </c>
      <c r="S49" s="4">
        <v>0</v>
      </c>
      <c r="T49" s="4">
        <v>0</v>
      </c>
      <c r="U49" s="4">
        <v>78</v>
      </c>
      <c r="V49" s="4">
        <f>IF(ISERROR(VLOOKUP($S$49,'TAR FIN'!$A$1:$O$91,15,0)),0,VLOOKUP($S$49,'TAR FIN'!$A$1:$O$91,15,0))</f>
        <v>0</v>
      </c>
      <c r="W49" s="4">
        <f>IF(ISERROR(VLOOKUP($T$49,'TAR FIN'!$A$1:$O$91,15,0)),0,VLOOKUP($T$49,'TAR FIN'!$A$1:$O$91,15,0))</f>
        <v>0</v>
      </c>
      <c r="X49" s="4">
        <f>IF(ISERROR(VLOOKUP($U$49,'TAR FIN'!$A$1:$O$91,15,0)),0,VLOOKUP($U$49,'TAR FIN'!$A$1:$O$91,15,0))</f>
        <v>248.68</v>
      </c>
      <c r="Y49" s="4">
        <f ca="1">0.72*('TUSD BE'!$AM$9+'TUSD BF'!$AM$9+'TUSD CVA'!$AM$9)*1+('TUSD BE'!$AM$10+'TUSD BF'!$AM$10+'TUSD CVA'!$AM$10)*1</f>
        <v>53.149182930504139</v>
      </c>
      <c r="Z49" s="4">
        <f ca="1">('TUSD BE'!$AM$11+'TUSD BF'!$AM$11+'TUSD CVA'!$AM$11)*1</f>
        <v>8.9251920173408053</v>
      </c>
      <c r="AA49" s="4">
        <f>('TE BE'!$AB$8+'TE BF'!$AB$8+'TE CVA'!$AB$8)*1</f>
        <v>203.47604618827933</v>
      </c>
      <c r="AB49" s="4">
        <f>$K$49*$V$49</f>
        <v>0</v>
      </c>
      <c r="AC49" s="4">
        <f>$M$49*$W$49</f>
        <v>0</v>
      </c>
      <c r="AD49" s="4">
        <f>$O$49*$X$49</f>
        <v>293436.18299999996</v>
      </c>
      <c r="AE49" s="4">
        <f ca="1">$K$49*$Y$49</f>
        <v>0</v>
      </c>
      <c r="AF49" s="4">
        <f ca="1">$M$49*$Z$49</f>
        <v>0</v>
      </c>
      <c r="AG49" s="4">
        <f>$O$49*$AA$49</f>
        <v>240096.64760101488</v>
      </c>
    </row>
    <row r="50" spans="1:33" ht="11.25" customHeight="1" x14ac:dyDescent="0.25">
      <c r="A50" s="3" t="s">
        <v>21</v>
      </c>
      <c r="B50" s="3" t="s">
        <v>35</v>
      </c>
      <c r="C50" s="3" t="s">
        <v>56</v>
      </c>
      <c r="D50" s="3" t="s">
        <v>25</v>
      </c>
      <c r="E50" s="3" t="s">
        <v>25</v>
      </c>
      <c r="F50" s="3" t="s">
        <v>57</v>
      </c>
      <c r="G50" s="3" t="s">
        <v>58</v>
      </c>
      <c r="H50" s="3" t="s">
        <v>37</v>
      </c>
      <c r="I50" s="6">
        <v>44440</v>
      </c>
      <c r="J50" s="4">
        <v>2450</v>
      </c>
      <c r="K50" s="34">
        <f>J50*(1-SUMIFS(CUSTOS!$T$40:$T$100,CUSTOS!$O$40:$O$100,EFEITO!G50,CUSTOS!$S$40:$S$100,EFEITO!B50,CUSTOS!$R$40:$R$100,"Potência"))</f>
        <v>2450</v>
      </c>
      <c r="L50" s="4">
        <v>91.91</v>
      </c>
      <c r="M50" s="34">
        <f>L50*(1-SUMIFS(CUSTOS!$T$40:$T$100,CUSTOS!$O$40:$O$100,EFEITO!G50,CUSTOS!$S$40:$S$100,EFEITO!B50,CUSTOS!$R$40:$R$100,"Potência"))</f>
        <v>91.91</v>
      </c>
      <c r="N50" s="4">
        <v>0</v>
      </c>
      <c r="O50" s="34">
        <f>N50*(1-SUMIFS(CUSTOS!$T$40:$T$100,CUSTOS!$O$40:$O$100,EFEITO!G50,CUSTOS!$S$40:$S$100,EFEITO!B50,CUSTOS!$R$40:$R$100,"Energia"))</f>
        <v>0</v>
      </c>
      <c r="P50" s="4">
        <v>0</v>
      </c>
      <c r="Q50" s="3" t="s">
        <v>59</v>
      </c>
      <c r="R50" s="3">
        <v>5351</v>
      </c>
      <c r="S50" s="4">
        <v>15</v>
      </c>
      <c r="T50" s="4">
        <v>1</v>
      </c>
      <c r="U50" s="4">
        <v>0</v>
      </c>
      <c r="V50" s="4">
        <f>IF(ISERROR(VLOOKUP($S$50,'TAR FIN'!$A$1:$O$91,15,0)),0,VLOOKUP($S$50,'TAR FIN'!$A$1:$O$91,15,0))</f>
        <v>43.03</v>
      </c>
      <c r="W50" s="4">
        <f>IF(ISERROR(VLOOKUP($T$50,'TAR FIN'!$A$1:$O$91,15,0)),0,VLOOKUP($T$50,'TAR FIN'!$A$1:$O$91,15,0))</f>
        <v>10.52</v>
      </c>
      <c r="X50" s="4">
        <f>IF(ISERROR(VLOOKUP($U$50,'TAR FIN'!$A$1:$O$91,15,0)),0,VLOOKUP($U$50,'TAR FIN'!$A$1:$O$91,15,0))</f>
        <v>0</v>
      </c>
      <c r="Y50" s="4">
        <f ca="1">('TUSD BE'!$AM$9+'TUSD BF'!$AM$9+'TUSD CVA'!$AM$9)*1</f>
        <v>50.402908350943179</v>
      </c>
      <c r="Z50" s="4">
        <f ca="1">('TUSD BE'!$AM$11+'TUSD BF'!$AM$11+'TUSD CVA'!$AM$11)*1</f>
        <v>8.9251920173408053</v>
      </c>
      <c r="AA50" s="4">
        <f>('TE BE'!$AB$8+'TE BF'!$AB$8+'TE CVA'!$AB$8)*1</f>
        <v>203.47604618827933</v>
      </c>
      <c r="AB50" s="4">
        <f>$K$50*$V$50</f>
        <v>105423.5</v>
      </c>
      <c r="AC50" s="4">
        <f>$M$50*$W$50</f>
        <v>966.89319999999998</v>
      </c>
      <c r="AD50" s="4">
        <f>$O$50*$X$50</f>
        <v>0</v>
      </c>
      <c r="AE50" s="4">
        <f ca="1">$K$50*$Y$50</f>
        <v>123487.12545981079</v>
      </c>
      <c r="AF50" s="4">
        <f ca="1">$M$50*$Z$50</f>
        <v>820.31439831379339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35</v>
      </c>
      <c r="C51" s="3" t="s">
        <v>56</v>
      </c>
      <c r="D51" s="3" t="s">
        <v>25</v>
      </c>
      <c r="E51" s="3" t="s">
        <v>25</v>
      </c>
      <c r="F51" s="3" t="s">
        <v>57</v>
      </c>
      <c r="G51" s="3" t="s">
        <v>58</v>
      </c>
      <c r="H51" s="3" t="s">
        <v>37</v>
      </c>
      <c r="I51" s="6">
        <v>44470</v>
      </c>
      <c r="J51" s="4">
        <v>2450</v>
      </c>
      <c r="K51" s="34">
        <f>J51*(1-SUMIFS(CUSTOS!$T$40:$T$100,CUSTOS!$O$40:$O$100,EFEITO!G51,CUSTOS!$S$40:$S$100,EFEITO!B51,CUSTOS!$R$40:$R$100,"Potência"))</f>
        <v>2450</v>
      </c>
      <c r="L51" s="4">
        <v>70.344999999999999</v>
      </c>
      <c r="M51" s="34">
        <f>L51*(1-SUMIFS(CUSTOS!$T$40:$T$100,CUSTOS!$O$40:$O$100,EFEITO!G51,CUSTOS!$S$40:$S$100,EFEITO!B51,CUSTOS!$R$40:$R$100,"Potência"))</f>
        <v>70.344999999999999</v>
      </c>
      <c r="N51" s="4">
        <v>0</v>
      </c>
      <c r="O51" s="34">
        <f>N51*(1-SUMIFS(CUSTOS!$T$40:$T$100,CUSTOS!$O$40:$O$100,EFEITO!G51,CUSTOS!$S$40:$S$100,EFEITO!B51,CUSTOS!$R$40:$R$100,"Energia"))</f>
        <v>0</v>
      </c>
      <c r="P51" s="4">
        <v>0</v>
      </c>
      <c r="Q51" s="3" t="s">
        <v>59</v>
      </c>
      <c r="R51" s="3">
        <v>5351</v>
      </c>
      <c r="S51" s="4">
        <v>15</v>
      </c>
      <c r="T51" s="4">
        <v>1</v>
      </c>
      <c r="U51" s="4">
        <v>0</v>
      </c>
      <c r="V51" s="4">
        <f>IF(ISERROR(VLOOKUP($S$51,'TAR FIN'!$A$1:$O$91,15,0)),0,VLOOKUP($S$51,'TAR FIN'!$A$1:$O$91,15,0))</f>
        <v>43.03</v>
      </c>
      <c r="W51" s="4">
        <f>IF(ISERROR(VLOOKUP($T$51,'TAR FIN'!$A$1:$O$91,15,0)),0,VLOOKUP($T$51,'TAR FIN'!$A$1:$O$91,15,0))</f>
        <v>10.52</v>
      </c>
      <c r="X51" s="4">
        <f>IF(ISERROR(VLOOKUP($U$51,'TAR FIN'!$A$1:$O$91,15,0)),0,VLOOKUP($U$51,'TAR FIN'!$A$1:$O$91,15,0))</f>
        <v>0</v>
      </c>
      <c r="Y51" s="4">
        <f ca="1">('TUSD BE'!$AM$9+'TUSD BF'!$AM$9+'TUSD CVA'!$AM$9)*1</f>
        <v>50.402908350943179</v>
      </c>
      <c r="Z51" s="4">
        <f ca="1">('TUSD BE'!$AM$11+'TUSD BF'!$AM$11+'TUSD CVA'!$AM$11)*1</f>
        <v>8.9251920173408053</v>
      </c>
      <c r="AA51" s="4">
        <f>('TE BE'!$AB$8+'TE BF'!$AB$8+'TE CVA'!$AB$8)*1</f>
        <v>203.47604618827933</v>
      </c>
      <c r="AB51" s="4">
        <f>$K$51*$V$51</f>
        <v>105423.5</v>
      </c>
      <c r="AC51" s="4">
        <f>$M$51*$W$51</f>
        <v>740.02940000000001</v>
      </c>
      <c r="AD51" s="4">
        <f>$O$51*$X$51</f>
        <v>0</v>
      </c>
      <c r="AE51" s="4">
        <f ca="1">$K$51*$Y$51</f>
        <v>123487.12545981079</v>
      </c>
      <c r="AF51" s="4">
        <f ca="1">$M$51*$Z$51</f>
        <v>627.84263245983891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35</v>
      </c>
      <c r="C52" s="3" t="s">
        <v>56</v>
      </c>
      <c r="D52" s="3" t="s">
        <v>25</v>
      </c>
      <c r="E52" s="3" t="s">
        <v>25</v>
      </c>
      <c r="F52" s="3" t="s">
        <v>57</v>
      </c>
      <c r="G52" s="3" t="s">
        <v>58</v>
      </c>
      <c r="H52" s="3" t="s">
        <v>37</v>
      </c>
      <c r="I52" s="6">
        <v>44501</v>
      </c>
      <c r="J52" s="4">
        <v>2450</v>
      </c>
      <c r="K52" s="34">
        <f>J52*(1-SUMIFS(CUSTOS!$T$40:$T$100,CUSTOS!$O$40:$O$100,EFEITO!G52,CUSTOS!$S$40:$S$100,EFEITO!B52,CUSTOS!$R$40:$R$100,"Potência"))</f>
        <v>2450</v>
      </c>
      <c r="L52" s="4">
        <v>75.930999999999997</v>
      </c>
      <c r="M52" s="34">
        <f>L52*(1-SUMIFS(CUSTOS!$T$40:$T$100,CUSTOS!$O$40:$O$100,EFEITO!G52,CUSTOS!$S$40:$S$100,EFEITO!B52,CUSTOS!$R$40:$R$100,"Potência"))</f>
        <v>75.930999999999997</v>
      </c>
      <c r="N52" s="4">
        <v>0</v>
      </c>
      <c r="O52" s="34">
        <f>N52*(1-SUMIFS(CUSTOS!$T$40:$T$100,CUSTOS!$O$40:$O$100,EFEITO!G52,CUSTOS!$S$40:$S$100,EFEITO!B52,CUSTOS!$R$40:$R$100,"Energia"))</f>
        <v>0</v>
      </c>
      <c r="P52" s="4">
        <v>0</v>
      </c>
      <c r="Q52" s="3" t="s">
        <v>59</v>
      </c>
      <c r="R52" s="3">
        <v>5351</v>
      </c>
      <c r="S52" s="4">
        <v>15</v>
      </c>
      <c r="T52" s="4">
        <v>1</v>
      </c>
      <c r="U52" s="4">
        <v>0</v>
      </c>
      <c r="V52" s="4">
        <f>IF(ISERROR(VLOOKUP($S$52,'TAR FIN'!$A$1:$O$91,15,0)),0,VLOOKUP($S$52,'TAR FIN'!$A$1:$O$91,15,0))</f>
        <v>43.03</v>
      </c>
      <c r="W52" s="4">
        <f>IF(ISERROR(VLOOKUP($T$52,'TAR FIN'!$A$1:$O$91,15,0)),0,VLOOKUP($T$52,'TAR FIN'!$A$1:$O$91,15,0))</f>
        <v>10.52</v>
      </c>
      <c r="X52" s="4">
        <f>IF(ISERROR(VLOOKUP($U$52,'TAR FIN'!$A$1:$O$91,15,0)),0,VLOOKUP($U$52,'TAR FIN'!$A$1:$O$91,15,0))</f>
        <v>0</v>
      </c>
      <c r="Y52" s="4">
        <f ca="1">('TUSD BE'!$AM$9+'TUSD BF'!$AM$9+'TUSD CVA'!$AM$9)*1</f>
        <v>50.402908350943179</v>
      </c>
      <c r="Z52" s="4">
        <f ca="1">('TUSD BE'!$AM$11+'TUSD BF'!$AM$11+'TUSD CVA'!$AM$11)*1</f>
        <v>8.9251920173408053</v>
      </c>
      <c r="AA52" s="4">
        <f>('TE BE'!$AB$8+'TE BF'!$AB$8+'TE CVA'!$AB$8)*1</f>
        <v>203.47604618827933</v>
      </c>
      <c r="AB52" s="4">
        <f>$K$52*$V$52</f>
        <v>105423.5</v>
      </c>
      <c r="AC52" s="4">
        <f>$M$52*$W$52</f>
        <v>798.79411999999991</v>
      </c>
      <c r="AD52" s="4">
        <f>$O$52*$X$52</f>
        <v>0</v>
      </c>
      <c r="AE52" s="4">
        <f ca="1">$K$52*$Y$52</f>
        <v>123487.12545981079</v>
      </c>
      <c r="AF52" s="4">
        <f ca="1">$M$52*$Z$52</f>
        <v>677.69875506870471</v>
      </c>
      <c r="AG52" s="4">
        <f>$O$52*$AA$52</f>
        <v>0</v>
      </c>
    </row>
    <row r="53" spans="1:33" ht="11.25" customHeight="1" x14ac:dyDescent="0.25">
      <c r="A53" s="3" t="s">
        <v>21</v>
      </c>
      <c r="B53" s="3" t="s">
        <v>35</v>
      </c>
      <c r="C53" s="3" t="s">
        <v>56</v>
      </c>
      <c r="D53" s="3" t="s">
        <v>25</v>
      </c>
      <c r="E53" s="3" t="s">
        <v>25</v>
      </c>
      <c r="F53" s="3" t="s">
        <v>57</v>
      </c>
      <c r="G53" s="3" t="s">
        <v>58</v>
      </c>
      <c r="H53" s="3" t="s">
        <v>37</v>
      </c>
      <c r="I53" s="6">
        <v>44531</v>
      </c>
      <c r="J53" s="4">
        <v>2450</v>
      </c>
      <c r="K53" s="34">
        <f>J53*(1-SUMIFS(CUSTOS!$T$40:$T$100,CUSTOS!$O$40:$O$100,EFEITO!G53,CUSTOS!$S$40:$S$100,EFEITO!B53,CUSTOS!$R$40:$R$100,"Potência"))</f>
        <v>2450</v>
      </c>
      <c r="L53" s="4">
        <v>90.515000000000001</v>
      </c>
      <c r="M53" s="34">
        <f>L53*(1-SUMIFS(CUSTOS!$T$40:$T$100,CUSTOS!$O$40:$O$100,EFEITO!G53,CUSTOS!$S$40:$S$100,EFEITO!B53,CUSTOS!$R$40:$R$100,"Potência"))</f>
        <v>90.515000000000001</v>
      </c>
      <c r="N53" s="4">
        <v>0</v>
      </c>
      <c r="O53" s="34">
        <f>N53*(1-SUMIFS(CUSTOS!$T$40:$T$100,CUSTOS!$O$40:$O$100,EFEITO!G53,CUSTOS!$S$40:$S$100,EFEITO!B53,CUSTOS!$R$40:$R$100,"Energia"))</f>
        <v>0</v>
      </c>
      <c r="P53" s="4">
        <v>0</v>
      </c>
      <c r="Q53" s="3" t="s">
        <v>59</v>
      </c>
      <c r="R53" s="3">
        <v>5351</v>
      </c>
      <c r="S53" s="4">
        <v>15</v>
      </c>
      <c r="T53" s="4">
        <v>1</v>
      </c>
      <c r="U53" s="4">
        <v>0</v>
      </c>
      <c r="V53" s="4">
        <f>IF(ISERROR(VLOOKUP($S$53,'TAR FIN'!$A$1:$O$91,15,0)),0,VLOOKUP($S$53,'TAR FIN'!$A$1:$O$91,15,0))</f>
        <v>43.03</v>
      </c>
      <c r="W53" s="4">
        <f>IF(ISERROR(VLOOKUP($T$53,'TAR FIN'!$A$1:$O$91,15,0)),0,VLOOKUP($T$53,'TAR FIN'!$A$1:$O$91,15,0))</f>
        <v>10.52</v>
      </c>
      <c r="X53" s="4">
        <f>IF(ISERROR(VLOOKUP($U$53,'TAR FIN'!$A$1:$O$91,15,0)),0,VLOOKUP($U$53,'TAR FIN'!$A$1:$O$91,15,0))</f>
        <v>0</v>
      </c>
      <c r="Y53" s="4">
        <f ca="1">('TUSD BE'!$AM$9+'TUSD BF'!$AM$9+'TUSD CVA'!$AM$9)*1</f>
        <v>50.402908350943179</v>
      </c>
      <c r="Z53" s="4">
        <f ca="1">('TUSD BE'!$AM$11+'TUSD BF'!$AM$11+'TUSD CVA'!$AM$11)*1</f>
        <v>8.9251920173408053</v>
      </c>
      <c r="AA53" s="4">
        <f>('TE BE'!$AB$8+'TE BF'!$AB$8+'TE CVA'!$AB$8)*1</f>
        <v>203.47604618827933</v>
      </c>
      <c r="AB53" s="4">
        <f>$K$53*$V$53</f>
        <v>105423.5</v>
      </c>
      <c r="AC53" s="4">
        <f>$M$53*$W$53</f>
        <v>952.21780000000001</v>
      </c>
      <c r="AD53" s="4">
        <f>$O$53*$X$53</f>
        <v>0</v>
      </c>
      <c r="AE53" s="4">
        <f ca="1">$K$53*$Y$53</f>
        <v>123487.12545981079</v>
      </c>
      <c r="AF53" s="4">
        <f ca="1">$M$53*$Z$53</f>
        <v>807.86375544960299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35</v>
      </c>
      <c r="C54" s="3" t="s">
        <v>56</v>
      </c>
      <c r="D54" s="3" t="s">
        <v>25</v>
      </c>
      <c r="E54" s="3" t="s">
        <v>25</v>
      </c>
      <c r="F54" s="3" t="s">
        <v>57</v>
      </c>
      <c r="G54" s="3" t="s">
        <v>58</v>
      </c>
      <c r="H54" s="3" t="s">
        <v>37</v>
      </c>
      <c r="I54" s="6">
        <v>44562</v>
      </c>
      <c r="J54" s="4">
        <v>2450</v>
      </c>
      <c r="K54" s="34">
        <f>J54*(1-SUMIFS(CUSTOS!$T$40:$T$100,CUSTOS!$O$40:$O$100,EFEITO!G54,CUSTOS!$S$40:$S$100,EFEITO!B54,CUSTOS!$R$40:$R$100,"Potência"))</f>
        <v>2450</v>
      </c>
      <c r="L54" s="4">
        <v>93.067999999999998</v>
      </c>
      <c r="M54" s="34">
        <f>L54*(1-SUMIFS(CUSTOS!$T$40:$T$100,CUSTOS!$O$40:$O$100,EFEITO!G54,CUSTOS!$S$40:$S$100,EFEITO!B54,CUSTOS!$R$40:$R$100,"Potência"))</f>
        <v>93.067999999999998</v>
      </c>
      <c r="N54" s="4">
        <v>0</v>
      </c>
      <c r="O54" s="34">
        <f>N54*(1-SUMIFS(CUSTOS!$T$40:$T$100,CUSTOS!$O$40:$O$100,EFEITO!G54,CUSTOS!$S$40:$S$100,EFEITO!B54,CUSTOS!$R$40:$R$100,"Energia"))</f>
        <v>0</v>
      </c>
      <c r="P54" s="4">
        <v>0</v>
      </c>
      <c r="Q54" s="3" t="s">
        <v>59</v>
      </c>
      <c r="R54" s="3">
        <v>5351</v>
      </c>
      <c r="S54" s="4">
        <v>15</v>
      </c>
      <c r="T54" s="4">
        <v>1</v>
      </c>
      <c r="U54" s="4">
        <v>0</v>
      </c>
      <c r="V54" s="4">
        <f>IF(ISERROR(VLOOKUP($S$54,'TAR FIN'!$A$1:$O$91,15,0)),0,VLOOKUP($S$54,'TAR FIN'!$A$1:$O$91,15,0))</f>
        <v>43.03</v>
      </c>
      <c r="W54" s="4">
        <f>IF(ISERROR(VLOOKUP($T$54,'TAR FIN'!$A$1:$O$91,15,0)),0,VLOOKUP($T$54,'TAR FIN'!$A$1:$O$91,15,0))</f>
        <v>10.52</v>
      </c>
      <c r="X54" s="4">
        <f>IF(ISERROR(VLOOKUP($U$54,'TAR FIN'!$A$1:$O$91,15,0)),0,VLOOKUP($U$54,'TAR FIN'!$A$1:$O$91,15,0))</f>
        <v>0</v>
      </c>
      <c r="Y54" s="4">
        <f ca="1">('TUSD BE'!$AM$9+'TUSD BF'!$AM$9+'TUSD CVA'!$AM$9)*1</f>
        <v>50.402908350943179</v>
      </c>
      <c r="Z54" s="4">
        <f ca="1">('TUSD BE'!$AM$11+'TUSD BF'!$AM$11+'TUSD CVA'!$AM$11)*1</f>
        <v>8.9251920173408053</v>
      </c>
      <c r="AA54" s="4">
        <f>('TE BE'!$AB$8+'TE BF'!$AB$8+'TE CVA'!$AB$8)*1</f>
        <v>203.47604618827933</v>
      </c>
      <c r="AB54" s="4">
        <f>$K$54*$V$54</f>
        <v>105423.5</v>
      </c>
      <c r="AC54" s="4">
        <f>$M$54*$W$54</f>
        <v>979.07535999999993</v>
      </c>
      <c r="AD54" s="4">
        <f>$O$54*$X$54</f>
        <v>0</v>
      </c>
      <c r="AE54" s="4">
        <f ca="1">$K$54*$Y$54</f>
        <v>123487.12545981079</v>
      </c>
      <c r="AF54" s="4">
        <f ca="1">$M$54*$Z$54</f>
        <v>830.64977066987399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35</v>
      </c>
      <c r="C55" s="3" t="s">
        <v>56</v>
      </c>
      <c r="D55" s="3" t="s">
        <v>25</v>
      </c>
      <c r="E55" s="3" t="s">
        <v>25</v>
      </c>
      <c r="F55" s="3" t="s">
        <v>57</v>
      </c>
      <c r="G55" s="3" t="s">
        <v>58</v>
      </c>
      <c r="H55" s="3" t="s">
        <v>37</v>
      </c>
      <c r="I55" s="6">
        <v>44593</v>
      </c>
      <c r="J55" s="4">
        <v>2450</v>
      </c>
      <c r="K55" s="34">
        <f>J55*(1-SUMIFS(CUSTOS!$T$40:$T$100,CUSTOS!$O$40:$O$100,EFEITO!G55,CUSTOS!$S$40:$S$100,EFEITO!B55,CUSTOS!$R$40:$R$100,"Potência"))</f>
        <v>2450</v>
      </c>
      <c r="L55" s="4">
        <v>87.688000000000002</v>
      </c>
      <c r="M55" s="34">
        <f>L55*(1-SUMIFS(CUSTOS!$T$40:$T$100,CUSTOS!$O$40:$O$100,EFEITO!G55,CUSTOS!$S$40:$S$100,EFEITO!B55,CUSTOS!$R$40:$R$100,"Potência"))</f>
        <v>87.688000000000002</v>
      </c>
      <c r="N55" s="4">
        <v>0</v>
      </c>
      <c r="O55" s="34">
        <f>N55*(1-SUMIFS(CUSTOS!$T$40:$T$100,CUSTOS!$O$40:$O$100,EFEITO!G55,CUSTOS!$S$40:$S$100,EFEITO!B55,CUSTOS!$R$40:$R$100,"Energia"))</f>
        <v>0</v>
      </c>
      <c r="P55" s="4">
        <v>0</v>
      </c>
      <c r="Q55" s="3" t="s">
        <v>59</v>
      </c>
      <c r="R55" s="3">
        <v>5351</v>
      </c>
      <c r="S55" s="4">
        <v>15</v>
      </c>
      <c r="T55" s="4">
        <v>1</v>
      </c>
      <c r="U55" s="4">
        <v>0</v>
      </c>
      <c r="V55" s="4">
        <f>IF(ISERROR(VLOOKUP($S$55,'TAR FIN'!$A$1:$O$91,15,0)),0,VLOOKUP($S$55,'TAR FIN'!$A$1:$O$91,15,0))</f>
        <v>43.03</v>
      </c>
      <c r="W55" s="4">
        <f>IF(ISERROR(VLOOKUP($T$55,'TAR FIN'!$A$1:$O$91,15,0)),0,VLOOKUP($T$55,'TAR FIN'!$A$1:$O$91,15,0))</f>
        <v>10.52</v>
      </c>
      <c r="X55" s="4">
        <f>IF(ISERROR(VLOOKUP($U$55,'TAR FIN'!$A$1:$O$91,15,0)),0,VLOOKUP($U$55,'TAR FIN'!$A$1:$O$91,15,0))</f>
        <v>0</v>
      </c>
      <c r="Y55" s="4">
        <f ca="1">('TUSD BE'!$AM$9+'TUSD BF'!$AM$9+'TUSD CVA'!$AM$9)*1</f>
        <v>50.402908350943179</v>
      </c>
      <c r="Z55" s="4">
        <f ca="1">('TUSD BE'!$AM$11+'TUSD BF'!$AM$11+'TUSD CVA'!$AM$11)*1</f>
        <v>8.9251920173408053</v>
      </c>
      <c r="AA55" s="4">
        <f>('TE BE'!$AB$8+'TE BF'!$AB$8+'TE CVA'!$AB$8)*1</f>
        <v>203.47604618827933</v>
      </c>
      <c r="AB55" s="4">
        <f>$K$55*$V$55</f>
        <v>105423.5</v>
      </c>
      <c r="AC55" s="4">
        <f>$M$55*$W$55</f>
        <v>922.47775999999999</v>
      </c>
      <c r="AD55" s="4">
        <f>$O$55*$X$55</f>
        <v>0</v>
      </c>
      <c r="AE55" s="4">
        <f ca="1">$K$55*$Y$55</f>
        <v>123487.12545981079</v>
      </c>
      <c r="AF55" s="4">
        <f ca="1">$M$55*$Z$55</f>
        <v>782.6322376165806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35</v>
      </c>
      <c r="C56" s="3" t="s">
        <v>56</v>
      </c>
      <c r="D56" s="3" t="s">
        <v>25</v>
      </c>
      <c r="E56" s="3" t="s">
        <v>25</v>
      </c>
      <c r="F56" s="3" t="s">
        <v>57</v>
      </c>
      <c r="G56" s="3" t="s">
        <v>58</v>
      </c>
      <c r="H56" s="3" t="s">
        <v>37</v>
      </c>
      <c r="I56" s="6">
        <v>44621</v>
      </c>
      <c r="J56" s="4">
        <v>2450</v>
      </c>
      <c r="K56" s="34">
        <f>J56*(1-SUMIFS(CUSTOS!$T$40:$T$100,CUSTOS!$O$40:$O$100,EFEITO!G56,CUSTOS!$S$40:$S$100,EFEITO!B56,CUSTOS!$R$40:$R$100,"Potência"))</f>
        <v>2450</v>
      </c>
      <c r="L56" s="4">
        <v>89.024000000000001</v>
      </c>
      <c r="M56" s="34">
        <f>L56*(1-SUMIFS(CUSTOS!$T$40:$T$100,CUSTOS!$O$40:$O$100,EFEITO!G56,CUSTOS!$S$40:$S$100,EFEITO!B56,CUSTOS!$R$40:$R$100,"Potência"))</f>
        <v>89.024000000000001</v>
      </c>
      <c r="N56" s="4">
        <v>0</v>
      </c>
      <c r="O56" s="34">
        <f>N56*(1-SUMIFS(CUSTOS!$T$40:$T$100,CUSTOS!$O$40:$O$100,EFEITO!G56,CUSTOS!$S$40:$S$100,EFEITO!B56,CUSTOS!$R$40:$R$100,"Energia"))</f>
        <v>0</v>
      </c>
      <c r="P56" s="4">
        <v>0</v>
      </c>
      <c r="Q56" s="3" t="s">
        <v>59</v>
      </c>
      <c r="R56" s="3">
        <v>5351</v>
      </c>
      <c r="S56" s="4">
        <v>15</v>
      </c>
      <c r="T56" s="4">
        <v>1</v>
      </c>
      <c r="U56" s="4">
        <v>0</v>
      </c>
      <c r="V56" s="4">
        <f>IF(ISERROR(VLOOKUP($S$56,'TAR FIN'!$A$1:$O$91,15,0)),0,VLOOKUP($S$56,'TAR FIN'!$A$1:$O$91,15,0))</f>
        <v>43.03</v>
      </c>
      <c r="W56" s="4">
        <f>IF(ISERROR(VLOOKUP($T$56,'TAR FIN'!$A$1:$O$91,15,0)),0,VLOOKUP($T$56,'TAR FIN'!$A$1:$O$91,15,0))</f>
        <v>10.52</v>
      </c>
      <c r="X56" s="4">
        <f>IF(ISERROR(VLOOKUP($U$56,'TAR FIN'!$A$1:$O$91,15,0)),0,VLOOKUP($U$56,'TAR FIN'!$A$1:$O$91,15,0))</f>
        <v>0</v>
      </c>
      <c r="Y56" s="4">
        <f ca="1">('TUSD BE'!$AM$9+'TUSD BF'!$AM$9+'TUSD CVA'!$AM$9)*1</f>
        <v>50.402908350943179</v>
      </c>
      <c r="Z56" s="4">
        <f ca="1">('TUSD BE'!$AM$11+'TUSD BF'!$AM$11+'TUSD CVA'!$AM$11)*1</f>
        <v>8.9251920173408053</v>
      </c>
      <c r="AA56" s="4">
        <f>('TE BE'!$AB$8+'TE BF'!$AB$8+'TE CVA'!$AB$8)*1</f>
        <v>203.47604618827933</v>
      </c>
      <c r="AB56" s="4">
        <f>$K$56*$V$56</f>
        <v>105423.5</v>
      </c>
      <c r="AC56" s="4">
        <f>$M$56*$W$56</f>
        <v>936.53247999999996</v>
      </c>
      <c r="AD56" s="4">
        <f>$O$56*$X$56</f>
        <v>0</v>
      </c>
      <c r="AE56" s="4">
        <f ca="1">$K$56*$Y$56</f>
        <v>123487.12545981079</v>
      </c>
      <c r="AF56" s="4">
        <f ca="1">$M$56*$Z$56</f>
        <v>794.55629415174781</v>
      </c>
      <c r="AG56" s="4">
        <f>$O$56*$AA$56</f>
        <v>0</v>
      </c>
    </row>
    <row r="57" spans="1:33" ht="11.25" customHeight="1" x14ac:dyDescent="0.25">
      <c r="A57" s="3" t="s">
        <v>21</v>
      </c>
      <c r="B57" s="3" t="s">
        <v>35</v>
      </c>
      <c r="C57" s="3" t="s">
        <v>56</v>
      </c>
      <c r="D57" s="3" t="s">
        <v>25</v>
      </c>
      <c r="E57" s="3" t="s">
        <v>25</v>
      </c>
      <c r="F57" s="3" t="s">
        <v>57</v>
      </c>
      <c r="G57" s="3" t="s">
        <v>58</v>
      </c>
      <c r="H57" s="3" t="s">
        <v>37</v>
      </c>
      <c r="I57" s="6">
        <v>44652</v>
      </c>
      <c r="J57" s="4">
        <v>2450</v>
      </c>
      <c r="K57" s="34">
        <f>J57*(1-SUMIFS(CUSTOS!$T$40:$T$100,CUSTOS!$O$40:$O$100,EFEITO!G57,CUSTOS!$S$40:$S$100,EFEITO!B57,CUSTOS!$R$40:$R$100,"Potência"))</f>
        <v>2450</v>
      </c>
      <c r="L57" s="4">
        <v>79.69</v>
      </c>
      <c r="M57" s="34">
        <f>L57*(1-SUMIFS(CUSTOS!$T$40:$T$100,CUSTOS!$O$40:$O$100,EFEITO!G57,CUSTOS!$S$40:$S$100,EFEITO!B57,CUSTOS!$R$40:$R$100,"Potência"))</f>
        <v>79.69</v>
      </c>
      <c r="N57" s="4">
        <v>0</v>
      </c>
      <c r="O57" s="34">
        <f>N57*(1-SUMIFS(CUSTOS!$T$40:$T$100,CUSTOS!$O$40:$O$100,EFEITO!G57,CUSTOS!$S$40:$S$100,EFEITO!B57,CUSTOS!$R$40:$R$100,"Energia"))</f>
        <v>0</v>
      </c>
      <c r="P57" s="4">
        <v>0</v>
      </c>
      <c r="Q57" s="3" t="s">
        <v>59</v>
      </c>
      <c r="R57" s="3">
        <v>5351</v>
      </c>
      <c r="S57" s="4">
        <v>15</v>
      </c>
      <c r="T57" s="4">
        <v>1</v>
      </c>
      <c r="U57" s="4">
        <v>0</v>
      </c>
      <c r="V57" s="4">
        <f>IF(ISERROR(VLOOKUP($S$57,'TAR FIN'!$A$1:$O$91,15,0)),0,VLOOKUP($S$57,'TAR FIN'!$A$1:$O$91,15,0))</f>
        <v>43.03</v>
      </c>
      <c r="W57" s="4">
        <f>IF(ISERROR(VLOOKUP($T$57,'TAR FIN'!$A$1:$O$91,15,0)),0,VLOOKUP($T$57,'TAR FIN'!$A$1:$O$91,15,0))</f>
        <v>10.52</v>
      </c>
      <c r="X57" s="4">
        <f>IF(ISERROR(VLOOKUP($U$57,'TAR FIN'!$A$1:$O$91,15,0)),0,VLOOKUP($U$57,'TAR FIN'!$A$1:$O$91,15,0))</f>
        <v>0</v>
      </c>
      <c r="Y57" s="4">
        <f ca="1">('TUSD BE'!$AM$9+'TUSD BF'!$AM$9+'TUSD CVA'!$AM$9)*1</f>
        <v>50.402908350943179</v>
      </c>
      <c r="Z57" s="4">
        <f ca="1">('TUSD BE'!$AM$11+'TUSD BF'!$AM$11+'TUSD CVA'!$AM$11)*1</f>
        <v>8.9251920173408053</v>
      </c>
      <c r="AA57" s="4">
        <f>('TE BE'!$AB$8+'TE BF'!$AB$8+'TE CVA'!$AB$8)*1</f>
        <v>203.47604618827933</v>
      </c>
      <c r="AB57" s="4">
        <f>$K$57*$V$57</f>
        <v>105423.5</v>
      </c>
      <c r="AC57" s="4">
        <f>$M$57*$W$57</f>
        <v>838.33879999999999</v>
      </c>
      <c r="AD57" s="4">
        <f>$O$57*$X$57</f>
        <v>0</v>
      </c>
      <c r="AE57" s="4">
        <f ca="1">$K$57*$Y$57</f>
        <v>123487.12545981079</v>
      </c>
      <c r="AF57" s="4">
        <f ca="1">$M$57*$Z$57</f>
        <v>711.2485518618887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35</v>
      </c>
      <c r="C58" s="3" t="s">
        <v>56</v>
      </c>
      <c r="D58" s="3" t="s">
        <v>25</v>
      </c>
      <c r="E58" s="3" t="s">
        <v>25</v>
      </c>
      <c r="F58" s="3" t="s">
        <v>57</v>
      </c>
      <c r="G58" s="3" t="s">
        <v>58</v>
      </c>
      <c r="H58" s="3" t="s">
        <v>37</v>
      </c>
      <c r="I58" s="6">
        <v>44682</v>
      </c>
      <c r="J58" s="4">
        <v>2450</v>
      </c>
      <c r="K58" s="34">
        <f>J58*(1-SUMIFS(CUSTOS!$T$40:$T$100,CUSTOS!$O$40:$O$100,EFEITO!G58,CUSTOS!$S$40:$S$100,EFEITO!B58,CUSTOS!$R$40:$R$100,"Potência"))</f>
        <v>2450</v>
      </c>
      <c r="L58" s="4">
        <v>91.590999999999994</v>
      </c>
      <c r="M58" s="34">
        <f>L58*(1-SUMIFS(CUSTOS!$T$40:$T$100,CUSTOS!$O$40:$O$100,EFEITO!G58,CUSTOS!$S$40:$S$100,EFEITO!B58,CUSTOS!$R$40:$R$100,"Potência"))</f>
        <v>91.590999999999994</v>
      </c>
      <c r="N58" s="4">
        <v>0</v>
      </c>
      <c r="O58" s="34">
        <f>N58*(1-SUMIFS(CUSTOS!$T$40:$T$100,CUSTOS!$O$40:$O$100,EFEITO!G58,CUSTOS!$S$40:$S$100,EFEITO!B58,CUSTOS!$R$40:$R$100,"Energia"))</f>
        <v>0</v>
      </c>
      <c r="P58" s="4">
        <v>0</v>
      </c>
      <c r="Q58" s="3" t="s">
        <v>59</v>
      </c>
      <c r="R58" s="3">
        <v>5351</v>
      </c>
      <c r="S58" s="4">
        <v>15</v>
      </c>
      <c r="T58" s="4">
        <v>1</v>
      </c>
      <c r="U58" s="4">
        <v>0</v>
      </c>
      <c r="V58" s="4">
        <f>IF(ISERROR(VLOOKUP($S$58,'TAR FIN'!$A$1:$O$91,15,0)),0,VLOOKUP($S$58,'TAR FIN'!$A$1:$O$91,15,0))</f>
        <v>43.03</v>
      </c>
      <c r="W58" s="4">
        <f>IF(ISERROR(VLOOKUP($T$58,'TAR FIN'!$A$1:$O$91,15,0)),0,VLOOKUP($T$58,'TAR FIN'!$A$1:$O$91,15,0))</f>
        <v>10.52</v>
      </c>
      <c r="X58" s="4">
        <f>IF(ISERROR(VLOOKUP($U$58,'TAR FIN'!$A$1:$O$91,15,0)),0,VLOOKUP($U$58,'TAR FIN'!$A$1:$O$91,15,0))</f>
        <v>0</v>
      </c>
      <c r="Y58" s="4">
        <f ca="1">('TUSD BE'!$AM$9+'TUSD BF'!$AM$9+'TUSD CVA'!$AM$9)*1</f>
        <v>50.402908350943179</v>
      </c>
      <c r="Z58" s="4">
        <f ca="1">('TUSD BE'!$AM$11+'TUSD BF'!$AM$11+'TUSD CVA'!$AM$11)*1</f>
        <v>8.9251920173408053</v>
      </c>
      <c r="AA58" s="4">
        <f>('TE BE'!$AB$8+'TE BF'!$AB$8+'TE CVA'!$AB$8)*1</f>
        <v>203.47604618827933</v>
      </c>
      <c r="AB58" s="4">
        <f>$K$58*$V$58</f>
        <v>105423.5</v>
      </c>
      <c r="AC58" s="4">
        <f>$M$58*$W$58</f>
        <v>963.53731999999991</v>
      </c>
      <c r="AD58" s="4">
        <f>$O$58*$X$58</f>
        <v>0</v>
      </c>
      <c r="AE58" s="4">
        <f ca="1">$K$58*$Y$58</f>
        <v>123487.12545981079</v>
      </c>
      <c r="AF58" s="4">
        <f ca="1">$M$58*$Z$58</f>
        <v>817.46726206026165</v>
      </c>
      <c r="AG58" s="4">
        <f>$O$58*$AA$58</f>
        <v>0</v>
      </c>
    </row>
    <row r="59" spans="1:33" ht="11.25" customHeight="1" x14ac:dyDescent="0.25">
      <c r="A59" s="3" t="s">
        <v>21</v>
      </c>
      <c r="B59" s="3" t="s">
        <v>35</v>
      </c>
      <c r="C59" s="3" t="s">
        <v>56</v>
      </c>
      <c r="D59" s="3" t="s">
        <v>25</v>
      </c>
      <c r="E59" s="3" t="s">
        <v>25</v>
      </c>
      <c r="F59" s="3" t="s">
        <v>57</v>
      </c>
      <c r="G59" s="3" t="s">
        <v>58</v>
      </c>
      <c r="H59" s="3" t="s">
        <v>37</v>
      </c>
      <c r="I59" s="6">
        <v>44713</v>
      </c>
      <c r="J59" s="4">
        <v>2450</v>
      </c>
      <c r="K59" s="34">
        <f>J59*(1-SUMIFS(CUSTOS!$T$40:$T$100,CUSTOS!$O$40:$O$100,EFEITO!G59,CUSTOS!$S$40:$S$100,EFEITO!B59,CUSTOS!$R$40:$R$100,"Potência"))</f>
        <v>2450</v>
      </c>
      <c r="L59" s="4">
        <v>95.867000000000004</v>
      </c>
      <c r="M59" s="34">
        <f>L59*(1-SUMIFS(CUSTOS!$T$40:$T$100,CUSTOS!$O$40:$O$100,EFEITO!G59,CUSTOS!$S$40:$S$100,EFEITO!B59,CUSTOS!$R$40:$R$100,"Potência"))</f>
        <v>95.867000000000004</v>
      </c>
      <c r="N59" s="4">
        <v>0</v>
      </c>
      <c r="O59" s="34">
        <f>N59*(1-SUMIFS(CUSTOS!$T$40:$T$100,CUSTOS!$O$40:$O$100,EFEITO!G59,CUSTOS!$S$40:$S$100,EFEITO!B59,CUSTOS!$R$40:$R$100,"Energia"))</f>
        <v>0</v>
      </c>
      <c r="P59" s="4">
        <v>0</v>
      </c>
      <c r="Q59" s="3" t="s">
        <v>59</v>
      </c>
      <c r="R59" s="3">
        <v>5351</v>
      </c>
      <c r="S59" s="4">
        <v>15</v>
      </c>
      <c r="T59" s="4">
        <v>1</v>
      </c>
      <c r="U59" s="4">
        <v>0</v>
      </c>
      <c r="V59" s="4">
        <f>IF(ISERROR(VLOOKUP($S$59,'TAR FIN'!$A$1:$O$91,15,0)),0,VLOOKUP($S$59,'TAR FIN'!$A$1:$O$91,15,0))</f>
        <v>43.03</v>
      </c>
      <c r="W59" s="4">
        <f>IF(ISERROR(VLOOKUP($T$59,'TAR FIN'!$A$1:$O$91,15,0)),0,VLOOKUP($T$59,'TAR FIN'!$A$1:$O$91,15,0))</f>
        <v>10.52</v>
      </c>
      <c r="X59" s="4">
        <f>IF(ISERROR(VLOOKUP($U$59,'TAR FIN'!$A$1:$O$91,15,0)),0,VLOOKUP($U$59,'TAR FIN'!$A$1:$O$91,15,0))</f>
        <v>0</v>
      </c>
      <c r="Y59" s="4">
        <f ca="1">('TUSD BE'!$AM$9+'TUSD BF'!$AM$9+'TUSD CVA'!$AM$9)*1</f>
        <v>50.402908350943179</v>
      </c>
      <c r="Z59" s="4">
        <f ca="1">('TUSD BE'!$AM$11+'TUSD BF'!$AM$11+'TUSD CVA'!$AM$11)*1</f>
        <v>8.9251920173408053</v>
      </c>
      <c r="AA59" s="4">
        <f>('TE BE'!$AB$8+'TE BF'!$AB$8+'TE CVA'!$AB$8)*1</f>
        <v>203.47604618827933</v>
      </c>
      <c r="AB59" s="4">
        <f>$K$59*$V$59</f>
        <v>105423.5</v>
      </c>
      <c r="AC59" s="4">
        <f>$M$59*$W$59</f>
        <v>1008.52084</v>
      </c>
      <c r="AD59" s="4">
        <f>$O$59*$X$59</f>
        <v>0</v>
      </c>
      <c r="AE59" s="4">
        <f ca="1">$K$59*$Y$59</f>
        <v>123487.12545981079</v>
      </c>
      <c r="AF59" s="4">
        <f ca="1">$M$59*$Z$59</f>
        <v>855.63138312641104</v>
      </c>
      <c r="AG59" s="4">
        <f>$O$59*$AA$59</f>
        <v>0</v>
      </c>
    </row>
    <row r="60" spans="1:33" ht="11.25" customHeight="1" x14ac:dyDescent="0.25">
      <c r="A60" s="3" t="s">
        <v>21</v>
      </c>
      <c r="B60" s="3" t="s">
        <v>35</v>
      </c>
      <c r="C60" s="3" t="s">
        <v>56</v>
      </c>
      <c r="D60" s="3" t="s">
        <v>25</v>
      </c>
      <c r="E60" s="3" t="s">
        <v>25</v>
      </c>
      <c r="F60" s="3" t="s">
        <v>57</v>
      </c>
      <c r="G60" s="3" t="s">
        <v>58</v>
      </c>
      <c r="H60" s="3" t="s">
        <v>37</v>
      </c>
      <c r="I60" s="6">
        <v>44743</v>
      </c>
      <c r="J60" s="4">
        <v>2450</v>
      </c>
      <c r="K60" s="34">
        <f>J60*(1-SUMIFS(CUSTOS!$T$40:$T$100,CUSTOS!$O$40:$O$100,EFEITO!G60,CUSTOS!$S$40:$S$100,EFEITO!B60,CUSTOS!$R$40:$R$100,"Potência"))</f>
        <v>2450</v>
      </c>
      <c r="L60" s="4">
        <v>92.832999999999998</v>
      </c>
      <c r="M60" s="34">
        <f>L60*(1-SUMIFS(CUSTOS!$T$40:$T$100,CUSTOS!$O$40:$O$100,EFEITO!G60,CUSTOS!$S$40:$S$100,EFEITO!B60,CUSTOS!$R$40:$R$100,"Potência"))</f>
        <v>92.832999999999998</v>
      </c>
      <c r="N60" s="4">
        <v>0</v>
      </c>
      <c r="O60" s="34">
        <f>N60*(1-SUMIFS(CUSTOS!$T$40:$T$100,CUSTOS!$O$40:$O$100,EFEITO!G60,CUSTOS!$S$40:$S$100,EFEITO!B60,CUSTOS!$R$40:$R$100,"Energia"))</f>
        <v>0</v>
      </c>
      <c r="P60" s="4">
        <v>0</v>
      </c>
      <c r="Q60" s="3" t="s">
        <v>59</v>
      </c>
      <c r="R60" s="3">
        <v>5351</v>
      </c>
      <c r="S60" s="4">
        <v>15</v>
      </c>
      <c r="T60" s="4">
        <v>1</v>
      </c>
      <c r="U60" s="4">
        <v>0</v>
      </c>
      <c r="V60" s="4">
        <f>IF(ISERROR(VLOOKUP($S$60,'TAR FIN'!$A$1:$O$91,15,0)),0,VLOOKUP($S$60,'TAR FIN'!$A$1:$O$91,15,0))</f>
        <v>43.03</v>
      </c>
      <c r="W60" s="4">
        <f>IF(ISERROR(VLOOKUP($T$60,'TAR FIN'!$A$1:$O$91,15,0)),0,VLOOKUP($T$60,'TAR FIN'!$A$1:$O$91,15,0))</f>
        <v>10.52</v>
      </c>
      <c r="X60" s="4">
        <f>IF(ISERROR(VLOOKUP($U$60,'TAR FIN'!$A$1:$O$91,15,0)),0,VLOOKUP($U$60,'TAR FIN'!$A$1:$O$91,15,0))</f>
        <v>0</v>
      </c>
      <c r="Y60" s="4">
        <f ca="1">('TUSD BE'!$AM$9+'TUSD BF'!$AM$9+'TUSD CVA'!$AM$9)*1</f>
        <v>50.402908350943179</v>
      </c>
      <c r="Z60" s="4">
        <f ca="1">('TUSD BE'!$AM$11+'TUSD BF'!$AM$11+'TUSD CVA'!$AM$11)*1</f>
        <v>8.9251920173408053</v>
      </c>
      <c r="AA60" s="4">
        <f>('TE BE'!$AB$8+'TE BF'!$AB$8+'TE CVA'!$AB$8)*1</f>
        <v>203.47604618827933</v>
      </c>
      <c r="AB60" s="4">
        <f>$K$60*$V$60</f>
        <v>105423.5</v>
      </c>
      <c r="AC60" s="4">
        <f>$M$60*$W$60</f>
        <v>976.60315999999989</v>
      </c>
      <c r="AD60" s="4">
        <f>$O$60*$X$60</f>
        <v>0</v>
      </c>
      <c r="AE60" s="4">
        <f ca="1">$K$60*$Y$60</f>
        <v>123487.12545981079</v>
      </c>
      <c r="AF60" s="4">
        <f ca="1">$M$60*$Z$60</f>
        <v>828.55235054579896</v>
      </c>
      <c r="AG60" s="4">
        <f>$O$60*$AA$60</f>
        <v>0</v>
      </c>
    </row>
    <row r="61" spans="1:33" ht="11.25" customHeight="1" x14ac:dyDescent="0.25">
      <c r="A61" s="3" t="s">
        <v>21</v>
      </c>
      <c r="B61" s="3" t="s">
        <v>35</v>
      </c>
      <c r="C61" s="3" t="s">
        <v>56</v>
      </c>
      <c r="D61" s="3" t="s">
        <v>25</v>
      </c>
      <c r="E61" s="3" t="s">
        <v>25</v>
      </c>
      <c r="F61" s="3" t="s">
        <v>57</v>
      </c>
      <c r="G61" s="3" t="s">
        <v>58</v>
      </c>
      <c r="H61" s="3" t="s">
        <v>37</v>
      </c>
      <c r="I61" s="6">
        <v>44774</v>
      </c>
      <c r="J61" s="4">
        <v>2862</v>
      </c>
      <c r="K61" s="34">
        <f>J61*(1-SUMIFS(CUSTOS!$T$40:$T$100,CUSTOS!$O$40:$O$100,EFEITO!G61,CUSTOS!$S$40:$S$100,EFEITO!B61,CUSTOS!$R$40:$R$100,"Potência"))</f>
        <v>2862</v>
      </c>
      <c r="L61" s="4">
        <v>112.767</v>
      </c>
      <c r="M61" s="34">
        <f>L61*(1-SUMIFS(CUSTOS!$T$40:$T$100,CUSTOS!$O$40:$O$100,EFEITO!G61,CUSTOS!$S$40:$S$100,EFEITO!B61,CUSTOS!$R$40:$R$100,"Potência"))</f>
        <v>112.767</v>
      </c>
      <c r="N61" s="4">
        <v>0</v>
      </c>
      <c r="O61" s="34">
        <f>N61*(1-SUMIFS(CUSTOS!$T$40:$T$100,CUSTOS!$O$40:$O$100,EFEITO!G61,CUSTOS!$S$40:$S$100,EFEITO!B61,CUSTOS!$R$40:$R$100,"Energia"))</f>
        <v>0</v>
      </c>
      <c r="P61" s="4">
        <v>0</v>
      </c>
      <c r="Q61" s="3" t="s">
        <v>59</v>
      </c>
      <c r="R61" s="3">
        <v>5351</v>
      </c>
      <c r="S61" s="4">
        <v>15</v>
      </c>
      <c r="T61" s="4">
        <v>1</v>
      </c>
      <c r="U61" s="4">
        <v>0</v>
      </c>
      <c r="V61" s="4">
        <f>IF(ISERROR(VLOOKUP($S$61,'TAR FIN'!$A$1:$O$91,15,0)),0,VLOOKUP($S$61,'TAR FIN'!$A$1:$O$91,15,0))</f>
        <v>43.03</v>
      </c>
      <c r="W61" s="4">
        <f>IF(ISERROR(VLOOKUP($T$61,'TAR FIN'!$A$1:$O$91,15,0)),0,VLOOKUP($T$61,'TAR FIN'!$A$1:$O$91,15,0))</f>
        <v>10.52</v>
      </c>
      <c r="X61" s="4">
        <f>IF(ISERROR(VLOOKUP($U$61,'TAR FIN'!$A$1:$O$91,15,0)),0,VLOOKUP($U$61,'TAR FIN'!$A$1:$O$91,15,0))</f>
        <v>0</v>
      </c>
      <c r="Y61" s="4">
        <f ca="1">('TUSD BE'!$AM$9+'TUSD BF'!$AM$9+'TUSD CVA'!$AM$9)*1</f>
        <v>50.402908350943179</v>
      </c>
      <c r="Z61" s="4">
        <f ca="1">('TUSD BE'!$AM$11+'TUSD BF'!$AM$11+'TUSD CVA'!$AM$11)*1</f>
        <v>8.9251920173408053</v>
      </c>
      <c r="AA61" s="4">
        <f>('TE BE'!$AB$8+'TE BF'!$AB$8+'TE CVA'!$AB$8)*1</f>
        <v>203.47604618827933</v>
      </c>
      <c r="AB61" s="4">
        <f>$K$61*$V$61</f>
        <v>123151.86</v>
      </c>
      <c r="AC61" s="4">
        <f>$M$61*$W$61</f>
        <v>1186.3088399999999</v>
      </c>
      <c r="AD61" s="4">
        <f>$O$61*$X$61</f>
        <v>0</v>
      </c>
      <c r="AE61" s="4">
        <f ca="1">$K$61*$Y$61</f>
        <v>144253.12370039939</v>
      </c>
      <c r="AF61" s="4">
        <f ca="1">$M$61*$Z$61</f>
        <v>1006.4671282194705</v>
      </c>
      <c r="AG61" s="4">
        <f>$O$61*$AA$61</f>
        <v>0</v>
      </c>
    </row>
    <row r="62" spans="1:33" ht="11.25" customHeight="1" x14ac:dyDescent="0.25">
      <c r="A62" s="3" t="s">
        <v>21</v>
      </c>
      <c r="B62" s="3" t="s">
        <v>35</v>
      </c>
      <c r="C62" s="3" t="s">
        <v>60</v>
      </c>
      <c r="D62" s="3" t="s">
        <v>25</v>
      </c>
      <c r="E62" s="3" t="s">
        <v>25</v>
      </c>
      <c r="F62" s="3" t="s">
        <v>25</v>
      </c>
      <c r="G62" s="3" t="s">
        <v>61</v>
      </c>
      <c r="H62" s="3" t="s">
        <v>25</v>
      </c>
      <c r="I62" s="6">
        <v>44440</v>
      </c>
      <c r="J62" s="4">
        <v>2500</v>
      </c>
      <c r="K62" s="4">
        <v>1250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62</v>
      </c>
      <c r="R62" s="3">
        <v>29137</v>
      </c>
      <c r="S62" s="4">
        <v>16</v>
      </c>
      <c r="T62" s="4">
        <v>0</v>
      </c>
      <c r="U62" s="4">
        <v>0</v>
      </c>
      <c r="V62" s="4">
        <f>IF(ISERROR(VLOOKUP($S$62,'TAR FIN'!$A$1:$O$91,15,0)),0,VLOOKUP($S$62,'TAR FIN'!$A$1:$O$91,15,0))</f>
        <v>3.52</v>
      </c>
      <c r="W62" s="4">
        <f>IF(ISERROR(VLOOKUP($T$62,'TAR FIN'!$A$1:$O$91,15,0)),0,VLOOKUP($T$62,'TAR FIN'!$A$1:$O$91,15,0))</f>
        <v>0</v>
      </c>
      <c r="X62" s="4">
        <f>IF(ISERROR(VLOOKUP($U$62,'TAR FIN'!$A$1:$O$91,15,0)),0,VLOOKUP($U$62,'TAR FIN'!$A$1:$O$91,15,0))</f>
        <v>0</v>
      </c>
      <c r="Y62" s="4">
        <f ca="1">('TUSD BE'!$AM$12+'TUSD BF'!$AM$12+'TUSD CVA'!$AM$12)*1</f>
        <v>3.5546179029821179</v>
      </c>
      <c r="Z62" s="4"/>
      <c r="AA62" s="4"/>
      <c r="AB62" s="4">
        <f>$K$62*$V$62</f>
        <v>4400</v>
      </c>
      <c r="AC62" s="4">
        <f>$M$62*$W$62</f>
        <v>0</v>
      </c>
      <c r="AD62" s="4">
        <f>$O$62*$X$62</f>
        <v>0</v>
      </c>
      <c r="AE62" s="4">
        <f ca="1">$K$62*$Y$62</f>
        <v>4443.2723787276473</v>
      </c>
      <c r="AF62" s="4">
        <f>$M$62*$Z$62</f>
        <v>0</v>
      </c>
      <c r="AG62" s="4">
        <f>$O$62*$AA$62</f>
        <v>0</v>
      </c>
    </row>
    <row r="63" spans="1:33" ht="11.25" customHeight="1" x14ac:dyDescent="0.25">
      <c r="A63" s="3" t="s">
        <v>21</v>
      </c>
      <c r="B63" s="3" t="s">
        <v>35</v>
      </c>
      <c r="C63" s="3" t="s">
        <v>60</v>
      </c>
      <c r="D63" s="3" t="s">
        <v>25</v>
      </c>
      <c r="E63" s="3" t="s">
        <v>25</v>
      </c>
      <c r="F63" s="3" t="s">
        <v>25</v>
      </c>
      <c r="G63" s="3" t="s">
        <v>63</v>
      </c>
      <c r="H63" s="3" t="s">
        <v>25</v>
      </c>
      <c r="I63" s="6">
        <v>44440</v>
      </c>
      <c r="J63" s="4">
        <v>335</v>
      </c>
      <c r="K63" s="4">
        <v>167.5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62</v>
      </c>
      <c r="S63" s="4">
        <v>16</v>
      </c>
      <c r="T63" s="4">
        <v>0</v>
      </c>
      <c r="U63" s="4">
        <v>0</v>
      </c>
      <c r="V63" s="4">
        <f>IF(ISERROR(VLOOKUP($S$63,'TAR FIN'!$A$1:$O$91,15,0)),0,VLOOKUP($S$63,'TAR FIN'!$A$1:$O$91,15,0))</f>
        <v>3.52</v>
      </c>
      <c r="W63" s="4">
        <f>IF(ISERROR(VLOOKUP($T$63,'TAR FIN'!$A$1:$O$91,15,0)),0,VLOOKUP($T$63,'TAR FIN'!$A$1:$O$91,15,0))</f>
        <v>0</v>
      </c>
      <c r="X63" s="4">
        <f>IF(ISERROR(VLOOKUP($U$63,'TAR FIN'!$A$1:$O$91,15,0)),0,VLOOKUP($U$63,'TAR FIN'!$A$1:$O$91,15,0))</f>
        <v>0</v>
      </c>
      <c r="Y63" s="4">
        <f ca="1">('TUSD BE'!$AM$12+'TUSD BF'!$AM$12+'TUSD CVA'!$AM$12)*1</f>
        <v>3.5546179029821179</v>
      </c>
      <c r="Z63" s="4"/>
      <c r="AA63" s="4"/>
      <c r="AB63" s="4">
        <f>$K$63*$V$63</f>
        <v>589.6</v>
      </c>
      <c r="AC63" s="4">
        <f>$M$63*$W$63</f>
        <v>0</v>
      </c>
      <c r="AD63" s="4">
        <f>$O$63*$X$63</f>
        <v>0</v>
      </c>
      <c r="AE63" s="4">
        <f ca="1">$K$63*$Y$63</f>
        <v>595.39849874950471</v>
      </c>
      <c r="AF63" s="4">
        <f>$M$63*$Z$63</f>
        <v>0</v>
      </c>
      <c r="AG63" s="4">
        <f>$O$63*$AA$63</f>
        <v>0</v>
      </c>
    </row>
    <row r="64" spans="1:33" ht="11.25" customHeight="1" x14ac:dyDescent="0.25">
      <c r="A64" s="3" t="s">
        <v>21</v>
      </c>
      <c r="B64" s="3" t="s">
        <v>35</v>
      </c>
      <c r="C64" s="3" t="s">
        <v>60</v>
      </c>
      <c r="D64" s="3" t="s">
        <v>25</v>
      </c>
      <c r="E64" s="3" t="s">
        <v>25</v>
      </c>
      <c r="F64" s="3" t="s">
        <v>25</v>
      </c>
      <c r="G64" s="3" t="s">
        <v>64</v>
      </c>
      <c r="H64" s="3" t="s">
        <v>25</v>
      </c>
      <c r="I64" s="6">
        <v>44440</v>
      </c>
      <c r="J64" s="4">
        <v>1000</v>
      </c>
      <c r="K64" s="4">
        <v>500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62</v>
      </c>
      <c r="R64" s="3">
        <v>29425</v>
      </c>
      <c r="S64" s="4">
        <v>16</v>
      </c>
      <c r="T64" s="4">
        <v>0</v>
      </c>
      <c r="U64" s="4">
        <v>0</v>
      </c>
      <c r="V64" s="4">
        <f>IF(ISERROR(VLOOKUP($S$64,'TAR FIN'!$A$1:$O$91,15,0)),0,VLOOKUP($S$64,'TAR FIN'!$A$1:$O$91,15,0))</f>
        <v>3.52</v>
      </c>
      <c r="W64" s="4">
        <f>IF(ISERROR(VLOOKUP($T$64,'TAR FIN'!$A$1:$O$91,15,0)),0,VLOOKUP($T$64,'TAR FIN'!$A$1:$O$91,15,0))</f>
        <v>0</v>
      </c>
      <c r="X64" s="4">
        <f>IF(ISERROR(VLOOKUP($U$64,'TAR FIN'!$A$1:$O$91,15,0)),0,VLOOKUP($U$64,'TAR FIN'!$A$1:$O$91,15,0))</f>
        <v>0</v>
      </c>
      <c r="Y64" s="4">
        <f ca="1">('TUSD BE'!$AM$12+'TUSD BF'!$AM$12+'TUSD CVA'!$AM$12)*1</f>
        <v>3.5546179029821179</v>
      </c>
      <c r="Z64" s="4"/>
      <c r="AA64" s="4"/>
      <c r="AB64" s="4">
        <f>$K$64*$V$64</f>
        <v>1760</v>
      </c>
      <c r="AC64" s="4">
        <f>$M$64*$W$64</f>
        <v>0</v>
      </c>
      <c r="AD64" s="4">
        <f>$O$64*$X$64</f>
        <v>0</v>
      </c>
      <c r="AE64" s="4">
        <f ca="1">$K$64*$Y$64</f>
        <v>1777.3089514910589</v>
      </c>
      <c r="AF64" s="4">
        <f>$M$64*$Z$64</f>
        <v>0</v>
      </c>
      <c r="AG64" s="4">
        <f>$O$64*$AA$64</f>
        <v>0</v>
      </c>
    </row>
    <row r="65" spans="1:33" ht="11.25" customHeight="1" x14ac:dyDescent="0.25">
      <c r="A65" s="3" t="s">
        <v>21</v>
      </c>
      <c r="B65" s="3" t="s">
        <v>35</v>
      </c>
      <c r="C65" s="3" t="s">
        <v>60</v>
      </c>
      <c r="D65" s="3" t="s">
        <v>25</v>
      </c>
      <c r="E65" s="3" t="s">
        <v>25</v>
      </c>
      <c r="F65" s="3" t="s">
        <v>25</v>
      </c>
      <c r="G65" s="3" t="s">
        <v>65</v>
      </c>
      <c r="H65" s="3" t="s">
        <v>25</v>
      </c>
      <c r="I65" s="6">
        <v>44440</v>
      </c>
      <c r="J65" s="4">
        <v>666</v>
      </c>
      <c r="K65" s="4">
        <v>333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62</v>
      </c>
      <c r="R65" s="3">
        <v>30591</v>
      </c>
      <c r="S65" s="4">
        <v>16</v>
      </c>
      <c r="T65" s="4">
        <v>0</v>
      </c>
      <c r="U65" s="4">
        <v>0</v>
      </c>
      <c r="V65" s="4">
        <f>IF(ISERROR(VLOOKUP($S$65,'TAR FIN'!$A$1:$O$91,15,0)),0,VLOOKUP($S$65,'TAR FIN'!$A$1:$O$91,15,0))</f>
        <v>3.52</v>
      </c>
      <c r="W65" s="4">
        <f>IF(ISERROR(VLOOKUP($T$65,'TAR FIN'!$A$1:$O$91,15,0)),0,VLOOKUP($T$65,'TAR FIN'!$A$1:$O$91,15,0))</f>
        <v>0</v>
      </c>
      <c r="X65" s="4">
        <f>IF(ISERROR(VLOOKUP($U$65,'TAR FIN'!$A$1:$O$91,15,0)),0,VLOOKUP($U$65,'TAR FIN'!$A$1:$O$91,15,0))</f>
        <v>0</v>
      </c>
      <c r="Y65" s="4">
        <f ca="1">('TUSD BE'!$AM$12+'TUSD BF'!$AM$12+'TUSD CVA'!$AM$12)*1</f>
        <v>3.5546179029821179</v>
      </c>
      <c r="Z65" s="4"/>
      <c r="AA65" s="4"/>
      <c r="AB65" s="4">
        <f>$K$65*$V$65</f>
        <v>1172.1600000000001</v>
      </c>
      <c r="AC65" s="4">
        <f>$M$65*$W$65</f>
        <v>0</v>
      </c>
      <c r="AD65" s="4">
        <f>$O$65*$X$65</f>
        <v>0</v>
      </c>
      <c r="AE65" s="4">
        <f ca="1">$K$65*$Y$65</f>
        <v>1183.6877616930453</v>
      </c>
      <c r="AF65" s="4">
        <f>$M$65*$Z$65</f>
        <v>0</v>
      </c>
      <c r="AG65" s="4">
        <f>$O$65*$AA$65</f>
        <v>0</v>
      </c>
    </row>
    <row r="66" spans="1:33" ht="11.25" customHeight="1" x14ac:dyDescent="0.25">
      <c r="A66" s="3" t="s">
        <v>21</v>
      </c>
      <c r="B66" s="3" t="s">
        <v>35</v>
      </c>
      <c r="C66" s="3" t="s">
        <v>60</v>
      </c>
      <c r="D66" s="3" t="s">
        <v>25</v>
      </c>
      <c r="E66" s="3" t="s">
        <v>25</v>
      </c>
      <c r="F66" s="3" t="s">
        <v>25</v>
      </c>
      <c r="G66" s="3" t="s">
        <v>61</v>
      </c>
      <c r="H66" s="3" t="s">
        <v>25</v>
      </c>
      <c r="I66" s="6">
        <v>44470</v>
      </c>
      <c r="J66" s="4">
        <v>2500</v>
      </c>
      <c r="K66" s="4">
        <v>1250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62</v>
      </c>
      <c r="R66" s="3">
        <v>29137</v>
      </c>
      <c r="S66" s="4">
        <v>16</v>
      </c>
      <c r="T66" s="4">
        <v>0</v>
      </c>
      <c r="U66" s="4">
        <v>0</v>
      </c>
      <c r="V66" s="4">
        <f>IF(ISERROR(VLOOKUP($S$66,'TAR FIN'!$A$1:$O$91,15,0)),0,VLOOKUP($S$66,'TAR FIN'!$A$1:$O$91,15,0))</f>
        <v>3.52</v>
      </c>
      <c r="W66" s="4">
        <f>IF(ISERROR(VLOOKUP($T$66,'TAR FIN'!$A$1:$O$91,15,0)),0,VLOOKUP($T$66,'TAR FIN'!$A$1:$O$91,15,0))</f>
        <v>0</v>
      </c>
      <c r="X66" s="4">
        <f>IF(ISERROR(VLOOKUP($U$66,'TAR FIN'!$A$1:$O$91,15,0)),0,VLOOKUP($U$66,'TAR FIN'!$A$1:$O$91,15,0))</f>
        <v>0</v>
      </c>
      <c r="Y66" s="4">
        <f ca="1">('TUSD BE'!$AM$12+'TUSD BF'!$AM$12+'TUSD CVA'!$AM$12)*1</f>
        <v>3.5546179029821179</v>
      </c>
      <c r="Z66" s="4"/>
      <c r="AA66" s="4"/>
      <c r="AB66" s="4">
        <f>$K$66*$V$66</f>
        <v>4400</v>
      </c>
      <c r="AC66" s="4">
        <f>$M$66*$W$66</f>
        <v>0</v>
      </c>
      <c r="AD66" s="4">
        <f>$O$66*$X$66</f>
        <v>0</v>
      </c>
      <c r="AE66" s="4">
        <f ca="1">$K$66*$Y$66</f>
        <v>4443.2723787276473</v>
      </c>
      <c r="AF66" s="4">
        <f>$M$66*$Z$66</f>
        <v>0</v>
      </c>
      <c r="AG66" s="4">
        <f>$O$66*$AA$66</f>
        <v>0</v>
      </c>
    </row>
    <row r="67" spans="1:33" ht="11.25" customHeight="1" x14ac:dyDescent="0.25">
      <c r="A67" s="3" t="s">
        <v>21</v>
      </c>
      <c r="B67" s="3" t="s">
        <v>35</v>
      </c>
      <c r="C67" s="3" t="s">
        <v>60</v>
      </c>
      <c r="D67" s="3" t="s">
        <v>25</v>
      </c>
      <c r="E67" s="3" t="s">
        <v>25</v>
      </c>
      <c r="F67" s="3" t="s">
        <v>25</v>
      </c>
      <c r="G67" s="3" t="s">
        <v>63</v>
      </c>
      <c r="H67" s="3" t="s">
        <v>25</v>
      </c>
      <c r="I67" s="6">
        <v>44470</v>
      </c>
      <c r="J67" s="4">
        <v>335</v>
      </c>
      <c r="K67" s="4">
        <v>167.5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62</v>
      </c>
      <c r="S67" s="4">
        <v>16</v>
      </c>
      <c r="T67" s="4">
        <v>0</v>
      </c>
      <c r="U67" s="4">
        <v>0</v>
      </c>
      <c r="V67" s="4">
        <f>IF(ISERROR(VLOOKUP($S$67,'TAR FIN'!$A$1:$O$91,15,0)),0,VLOOKUP($S$67,'TAR FIN'!$A$1:$O$91,15,0))</f>
        <v>3.52</v>
      </c>
      <c r="W67" s="4">
        <f>IF(ISERROR(VLOOKUP($T$67,'TAR FIN'!$A$1:$O$91,15,0)),0,VLOOKUP($T$67,'TAR FIN'!$A$1:$O$91,15,0))</f>
        <v>0</v>
      </c>
      <c r="X67" s="4">
        <f>IF(ISERROR(VLOOKUP($U$67,'TAR FIN'!$A$1:$O$91,15,0)),0,VLOOKUP($U$67,'TAR FIN'!$A$1:$O$91,15,0))</f>
        <v>0</v>
      </c>
      <c r="Y67" s="4">
        <f ca="1">('TUSD BE'!$AM$12+'TUSD BF'!$AM$12+'TUSD CVA'!$AM$12)*1</f>
        <v>3.5546179029821179</v>
      </c>
      <c r="Z67" s="4"/>
      <c r="AA67" s="4"/>
      <c r="AB67" s="4">
        <f>$K$67*$V$67</f>
        <v>589.6</v>
      </c>
      <c r="AC67" s="4">
        <f>$M$67*$W$67</f>
        <v>0</v>
      </c>
      <c r="AD67" s="4">
        <f>$O$67*$X$67</f>
        <v>0</v>
      </c>
      <c r="AE67" s="4">
        <f ca="1">$K$67*$Y$67</f>
        <v>595.39849874950471</v>
      </c>
      <c r="AF67" s="4">
        <f>$M$67*$Z$67</f>
        <v>0</v>
      </c>
      <c r="AG67" s="4">
        <f>$O$67*$AA$67</f>
        <v>0</v>
      </c>
    </row>
    <row r="68" spans="1:33" ht="11.25" customHeight="1" x14ac:dyDescent="0.25">
      <c r="A68" s="3" t="s">
        <v>21</v>
      </c>
      <c r="B68" s="3" t="s">
        <v>35</v>
      </c>
      <c r="C68" s="3" t="s">
        <v>60</v>
      </c>
      <c r="D68" s="3" t="s">
        <v>25</v>
      </c>
      <c r="E68" s="3" t="s">
        <v>25</v>
      </c>
      <c r="F68" s="3" t="s">
        <v>25</v>
      </c>
      <c r="G68" s="3" t="s">
        <v>64</v>
      </c>
      <c r="H68" s="3" t="s">
        <v>25</v>
      </c>
      <c r="I68" s="6">
        <v>44470</v>
      </c>
      <c r="J68" s="4">
        <v>1000</v>
      </c>
      <c r="K68" s="4">
        <v>500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62</v>
      </c>
      <c r="R68" s="3">
        <v>29425</v>
      </c>
      <c r="S68" s="4">
        <v>16</v>
      </c>
      <c r="T68" s="4">
        <v>0</v>
      </c>
      <c r="U68" s="4">
        <v>0</v>
      </c>
      <c r="V68" s="4">
        <f>IF(ISERROR(VLOOKUP($S$68,'TAR FIN'!$A$1:$O$91,15,0)),0,VLOOKUP($S$68,'TAR FIN'!$A$1:$O$91,15,0))</f>
        <v>3.52</v>
      </c>
      <c r="W68" s="4">
        <f>IF(ISERROR(VLOOKUP($T$68,'TAR FIN'!$A$1:$O$91,15,0)),0,VLOOKUP($T$68,'TAR FIN'!$A$1:$O$91,15,0))</f>
        <v>0</v>
      </c>
      <c r="X68" s="4">
        <f>IF(ISERROR(VLOOKUP($U$68,'TAR FIN'!$A$1:$O$91,15,0)),0,VLOOKUP($U$68,'TAR FIN'!$A$1:$O$91,15,0))</f>
        <v>0</v>
      </c>
      <c r="Y68" s="4">
        <f ca="1">('TUSD BE'!$AM$12+'TUSD BF'!$AM$12+'TUSD CVA'!$AM$12)*1</f>
        <v>3.5546179029821179</v>
      </c>
      <c r="Z68" s="4"/>
      <c r="AA68" s="4"/>
      <c r="AB68" s="4">
        <f>$K$68*$V$68</f>
        <v>1760</v>
      </c>
      <c r="AC68" s="4">
        <f>$M$68*$W$68</f>
        <v>0</v>
      </c>
      <c r="AD68" s="4">
        <f>$O$68*$X$68</f>
        <v>0</v>
      </c>
      <c r="AE68" s="4">
        <f ca="1">$K$68*$Y$68</f>
        <v>1777.3089514910589</v>
      </c>
      <c r="AF68" s="4">
        <f>$M$68*$Z$68</f>
        <v>0</v>
      </c>
      <c r="AG68" s="4">
        <f>$O$68*$AA$68</f>
        <v>0</v>
      </c>
    </row>
    <row r="69" spans="1:33" ht="11.25" customHeight="1" x14ac:dyDescent="0.25">
      <c r="A69" s="3" t="s">
        <v>21</v>
      </c>
      <c r="B69" s="3" t="s">
        <v>35</v>
      </c>
      <c r="C69" s="3" t="s">
        <v>60</v>
      </c>
      <c r="D69" s="3" t="s">
        <v>25</v>
      </c>
      <c r="E69" s="3" t="s">
        <v>25</v>
      </c>
      <c r="F69" s="3" t="s">
        <v>25</v>
      </c>
      <c r="G69" s="3" t="s">
        <v>65</v>
      </c>
      <c r="H69" s="3" t="s">
        <v>25</v>
      </c>
      <c r="I69" s="6">
        <v>44470</v>
      </c>
      <c r="J69" s="4">
        <v>768</v>
      </c>
      <c r="K69" s="4">
        <v>384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62</v>
      </c>
      <c r="R69" s="3">
        <v>30591</v>
      </c>
      <c r="S69" s="4">
        <v>16</v>
      </c>
      <c r="T69" s="4">
        <v>0</v>
      </c>
      <c r="U69" s="4">
        <v>0</v>
      </c>
      <c r="V69" s="4">
        <f>IF(ISERROR(VLOOKUP($S$69,'TAR FIN'!$A$1:$O$91,15,0)),0,VLOOKUP($S$69,'TAR FIN'!$A$1:$O$91,15,0))</f>
        <v>3.52</v>
      </c>
      <c r="W69" s="4">
        <f>IF(ISERROR(VLOOKUP($T$69,'TAR FIN'!$A$1:$O$91,15,0)),0,VLOOKUP($T$69,'TAR FIN'!$A$1:$O$91,15,0))</f>
        <v>0</v>
      </c>
      <c r="X69" s="4">
        <f>IF(ISERROR(VLOOKUP($U$69,'TAR FIN'!$A$1:$O$91,15,0)),0,VLOOKUP($U$69,'TAR FIN'!$A$1:$O$91,15,0))</f>
        <v>0</v>
      </c>
      <c r="Y69" s="4">
        <f ca="1">('TUSD BE'!$AM$12+'TUSD BF'!$AM$12+'TUSD CVA'!$AM$12)*1</f>
        <v>3.5546179029821179</v>
      </c>
      <c r="Z69" s="4"/>
      <c r="AA69" s="4"/>
      <c r="AB69" s="4">
        <f>$K$69*$V$69</f>
        <v>1351.68</v>
      </c>
      <c r="AC69" s="4">
        <f>$M$69*$W$69</f>
        <v>0</v>
      </c>
      <c r="AD69" s="4">
        <f>$O$69*$X$69</f>
        <v>0</v>
      </c>
      <c r="AE69" s="4">
        <f ca="1">$K$69*$Y$69</f>
        <v>1364.9732747451333</v>
      </c>
      <c r="AF69" s="4">
        <f>$M$69*$Z$69</f>
        <v>0</v>
      </c>
      <c r="AG69" s="4">
        <f>$O$69*$AA$69</f>
        <v>0</v>
      </c>
    </row>
    <row r="70" spans="1:33" ht="11.25" customHeight="1" x14ac:dyDescent="0.25">
      <c r="A70" s="3" t="s">
        <v>21</v>
      </c>
      <c r="B70" s="3" t="s">
        <v>35</v>
      </c>
      <c r="C70" s="3" t="s">
        <v>60</v>
      </c>
      <c r="D70" s="3" t="s">
        <v>25</v>
      </c>
      <c r="E70" s="3" t="s">
        <v>25</v>
      </c>
      <c r="F70" s="3" t="s">
        <v>25</v>
      </c>
      <c r="G70" s="3" t="s">
        <v>61</v>
      </c>
      <c r="H70" s="3" t="s">
        <v>25</v>
      </c>
      <c r="I70" s="6">
        <v>44501</v>
      </c>
      <c r="J70" s="4">
        <v>2500</v>
      </c>
      <c r="K70" s="4">
        <v>1250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62</v>
      </c>
      <c r="R70" s="3">
        <v>29137</v>
      </c>
      <c r="S70" s="4">
        <v>16</v>
      </c>
      <c r="T70" s="4">
        <v>0</v>
      </c>
      <c r="U70" s="4">
        <v>0</v>
      </c>
      <c r="V70" s="4">
        <f>IF(ISERROR(VLOOKUP($S$70,'TAR FIN'!$A$1:$O$91,15,0)),0,VLOOKUP($S$70,'TAR FIN'!$A$1:$O$91,15,0))</f>
        <v>3.52</v>
      </c>
      <c r="W70" s="4">
        <f>IF(ISERROR(VLOOKUP($T$70,'TAR FIN'!$A$1:$O$91,15,0)),0,VLOOKUP($T$70,'TAR FIN'!$A$1:$O$91,15,0))</f>
        <v>0</v>
      </c>
      <c r="X70" s="4">
        <f>IF(ISERROR(VLOOKUP($U$70,'TAR FIN'!$A$1:$O$91,15,0)),0,VLOOKUP($U$70,'TAR FIN'!$A$1:$O$91,15,0))</f>
        <v>0</v>
      </c>
      <c r="Y70" s="4">
        <f ca="1">('TUSD BE'!$AM$12+'TUSD BF'!$AM$12+'TUSD CVA'!$AM$12)*1</f>
        <v>3.5546179029821179</v>
      </c>
      <c r="Z70" s="4"/>
      <c r="AA70" s="4"/>
      <c r="AB70" s="4">
        <f>$K$70*$V$70</f>
        <v>4400</v>
      </c>
      <c r="AC70" s="4">
        <f>$M$70*$W$70</f>
        <v>0</v>
      </c>
      <c r="AD70" s="4">
        <f>$O$70*$X$70</f>
        <v>0</v>
      </c>
      <c r="AE70" s="4">
        <f ca="1">$K$70*$Y$70</f>
        <v>4443.2723787276473</v>
      </c>
      <c r="AF70" s="4">
        <f>$M$70*$Z$70</f>
        <v>0</v>
      </c>
      <c r="AG70" s="4">
        <f>$O$70*$AA$70</f>
        <v>0</v>
      </c>
    </row>
    <row r="71" spans="1:33" ht="11.25" customHeight="1" x14ac:dyDescent="0.25">
      <c r="A71" s="3" t="s">
        <v>21</v>
      </c>
      <c r="B71" s="3" t="s">
        <v>35</v>
      </c>
      <c r="C71" s="3" t="s">
        <v>60</v>
      </c>
      <c r="D71" s="3" t="s">
        <v>25</v>
      </c>
      <c r="E71" s="3" t="s">
        <v>25</v>
      </c>
      <c r="F71" s="3" t="s">
        <v>25</v>
      </c>
      <c r="G71" s="3" t="s">
        <v>63</v>
      </c>
      <c r="H71" s="3" t="s">
        <v>25</v>
      </c>
      <c r="I71" s="6">
        <v>44501</v>
      </c>
      <c r="J71" s="4">
        <v>335</v>
      </c>
      <c r="K71" s="4">
        <v>167.5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62</v>
      </c>
      <c r="S71" s="4">
        <v>16</v>
      </c>
      <c r="T71" s="4">
        <v>0</v>
      </c>
      <c r="U71" s="4">
        <v>0</v>
      </c>
      <c r="V71" s="4">
        <f>IF(ISERROR(VLOOKUP($S$71,'TAR FIN'!$A$1:$O$91,15,0)),0,VLOOKUP($S$71,'TAR FIN'!$A$1:$O$91,15,0))</f>
        <v>3.52</v>
      </c>
      <c r="W71" s="4">
        <f>IF(ISERROR(VLOOKUP($T$71,'TAR FIN'!$A$1:$O$91,15,0)),0,VLOOKUP($T$71,'TAR FIN'!$A$1:$O$91,15,0))</f>
        <v>0</v>
      </c>
      <c r="X71" s="4">
        <f>IF(ISERROR(VLOOKUP($U$71,'TAR FIN'!$A$1:$O$91,15,0)),0,VLOOKUP($U$71,'TAR FIN'!$A$1:$O$91,15,0))</f>
        <v>0</v>
      </c>
      <c r="Y71" s="4">
        <f ca="1">('TUSD BE'!$AM$12+'TUSD BF'!$AM$12+'TUSD CVA'!$AM$12)*1</f>
        <v>3.5546179029821179</v>
      </c>
      <c r="Z71" s="4"/>
      <c r="AA71" s="4"/>
      <c r="AB71" s="4">
        <f>$K$71*$V$71</f>
        <v>589.6</v>
      </c>
      <c r="AC71" s="4">
        <f>$M$71*$W$71</f>
        <v>0</v>
      </c>
      <c r="AD71" s="4">
        <f>$O$71*$X$71</f>
        <v>0</v>
      </c>
      <c r="AE71" s="4">
        <f ca="1">$K$71*$Y$71</f>
        <v>595.39849874950471</v>
      </c>
      <c r="AF71" s="4">
        <f>$M$71*$Z$71</f>
        <v>0</v>
      </c>
      <c r="AG71" s="4">
        <f>$O$71*$AA$71</f>
        <v>0</v>
      </c>
    </row>
    <row r="72" spans="1:33" ht="11.25" customHeight="1" x14ac:dyDescent="0.25">
      <c r="A72" s="3" t="s">
        <v>21</v>
      </c>
      <c r="B72" s="3" t="s">
        <v>35</v>
      </c>
      <c r="C72" s="3" t="s">
        <v>60</v>
      </c>
      <c r="D72" s="3" t="s">
        <v>25</v>
      </c>
      <c r="E72" s="3" t="s">
        <v>25</v>
      </c>
      <c r="F72" s="3" t="s">
        <v>25</v>
      </c>
      <c r="G72" s="3" t="s">
        <v>64</v>
      </c>
      <c r="H72" s="3" t="s">
        <v>25</v>
      </c>
      <c r="I72" s="6">
        <v>44501</v>
      </c>
      <c r="J72" s="4">
        <v>1000</v>
      </c>
      <c r="K72" s="4">
        <v>500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62</v>
      </c>
      <c r="R72" s="3">
        <v>29425</v>
      </c>
      <c r="S72" s="4">
        <v>16</v>
      </c>
      <c r="T72" s="4">
        <v>0</v>
      </c>
      <c r="U72" s="4">
        <v>0</v>
      </c>
      <c r="V72" s="4">
        <f>IF(ISERROR(VLOOKUP($S$72,'TAR FIN'!$A$1:$O$91,15,0)),0,VLOOKUP($S$72,'TAR FIN'!$A$1:$O$91,15,0))</f>
        <v>3.52</v>
      </c>
      <c r="W72" s="4">
        <f>IF(ISERROR(VLOOKUP($T$72,'TAR FIN'!$A$1:$O$91,15,0)),0,VLOOKUP($T$72,'TAR FIN'!$A$1:$O$91,15,0))</f>
        <v>0</v>
      </c>
      <c r="X72" s="4">
        <f>IF(ISERROR(VLOOKUP($U$72,'TAR FIN'!$A$1:$O$91,15,0)),0,VLOOKUP($U$72,'TAR FIN'!$A$1:$O$91,15,0))</f>
        <v>0</v>
      </c>
      <c r="Y72" s="4">
        <f ca="1">('TUSD BE'!$AM$12+'TUSD BF'!$AM$12+'TUSD CVA'!$AM$12)*1</f>
        <v>3.5546179029821179</v>
      </c>
      <c r="Z72" s="4"/>
      <c r="AA72" s="4"/>
      <c r="AB72" s="4">
        <f>$K$72*$V$72</f>
        <v>1760</v>
      </c>
      <c r="AC72" s="4">
        <f>$M$72*$W$72</f>
        <v>0</v>
      </c>
      <c r="AD72" s="4">
        <f>$O$72*$X$72</f>
        <v>0</v>
      </c>
      <c r="AE72" s="4">
        <f ca="1">$K$72*$Y$72</f>
        <v>1777.3089514910589</v>
      </c>
      <c r="AF72" s="4">
        <f>$M$72*$Z$72</f>
        <v>0</v>
      </c>
      <c r="AG72" s="4">
        <f>$O$72*$AA$72</f>
        <v>0</v>
      </c>
    </row>
    <row r="73" spans="1:33" ht="11.25" customHeight="1" x14ac:dyDescent="0.25">
      <c r="A73" s="3" t="s">
        <v>21</v>
      </c>
      <c r="B73" s="3" t="s">
        <v>35</v>
      </c>
      <c r="C73" s="3" t="s">
        <v>60</v>
      </c>
      <c r="D73" s="3" t="s">
        <v>25</v>
      </c>
      <c r="E73" s="3" t="s">
        <v>25</v>
      </c>
      <c r="F73" s="3" t="s">
        <v>25</v>
      </c>
      <c r="G73" s="3" t="s">
        <v>65</v>
      </c>
      <c r="H73" s="3" t="s">
        <v>25</v>
      </c>
      <c r="I73" s="6">
        <v>44501</v>
      </c>
      <c r="J73" s="4">
        <v>532</v>
      </c>
      <c r="K73" s="4">
        <v>266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62</v>
      </c>
      <c r="R73" s="3">
        <v>30591</v>
      </c>
      <c r="S73" s="4">
        <v>16</v>
      </c>
      <c r="T73" s="4">
        <v>0</v>
      </c>
      <c r="U73" s="4">
        <v>0</v>
      </c>
      <c r="V73" s="4">
        <f>IF(ISERROR(VLOOKUP($S$73,'TAR FIN'!$A$1:$O$91,15,0)),0,VLOOKUP($S$73,'TAR FIN'!$A$1:$O$91,15,0))</f>
        <v>3.52</v>
      </c>
      <c r="W73" s="4">
        <f>IF(ISERROR(VLOOKUP($T$73,'TAR FIN'!$A$1:$O$91,15,0)),0,VLOOKUP($T$73,'TAR FIN'!$A$1:$O$91,15,0))</f>
        <v>0</v>
      </c>
      <c r="X73" s="4">
        <f>IF(ISERROR(VLOOKUP($U$73,'TAR FIN'!$A$1:$O$91,15,0)),0,VLOOKUP($U$73,'TAR FIN'!$A$1:$O$91,15,0))</f>
        <v>0</v>
      </c>
      <c r="Y73" s="4">
        <f ca="1">('TUSD BE'!$AM$12+'TUSD BF'!$AM$12+'TUSD CVA'!$AM$12)*1</f>
        <v>3.5546179029821179</v>
      </c>
      <c r="Z73" s="4"/>
      <c r="AA73" s="4"/>
      <c r="AB73" s="4">
        <f>$K$73*$V$73</f>
        <v>936.32</v>
      </c>
      <c r="AC73" s="4">
        <f>$M$73*$W$73</f>
        <v>0</v>
      </c>
      <c r="AD73" s="4">
        <f>$O$73*$X$73</f>
        <v>0</v>
      </c>
      <c r="AE73" s="4">
        <f ca="1">$K$73*$Y$73</f>
        <v>945.52836219324331</v>
      </c>
      <c r="AF73" s="4">
        <f>$M$73*$Z$73</f>
        <v>0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35</v>
      </c>
      <c r="C74" s="3" t="s">
        <v>60</v>
      </c>
      <c r="D74" s="3" t="s">
        <v>25</v>
      </c>
      <c r="E74" s="3" t="s">
        <v>25</v>
      </c>
      <c r="F74" s="3" t="s">
        <v>25</v>
      </c>
      <c r="G74" s="3" t="s">
        <v>61</v>
      </c>
      <c r="H74" s="3" t="s">
        <v>25</v>
      </c>
      <c r="I74" s="6">
        <v>44531</v>
      </c>
      <c r="J74" s="4">
        <v>2500</v>
      </c>
      <c r="K74" s="4">
        <v>1250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3" t="s">
        <v>62</v>
      </c>
      <c r="R74" s="3">
        <v>29137</v>
      </c>
      <c r="S74" s="4">
        <v>16</v>
      </c>
      <c r="T74" s="4">
        <v>0</v>
      </c>
      <c r="U74" s="4">
        <v>0</v>
      </c>
      <c r="V74" s="4">
        <f>IF(ISERROR(VLOOKUP($S$74,'TAR FIN'!$A$1:$O$91,15,0)),0,VLOOKUP($S$74,'TAR FIN'!$A$1:$O$91,15,0))</f>
        <v>3.52</v>
      </c>
      <c r="W74" s="4">
        <f>IF(ISERROR(VLOOKUP($T$74,'TAR FIN'!$A$1:$O$91,15,0)),0,VLOOKUP($T$74,'TAR FIN'!$A$1:$O$91,15,0))</f>
        <v>0</v>
      </c>
      <c r="X74" s="4">
        <f>IF(ISERROR(VLOOKUP($U$74,'TAR FIN'!$A$1:$O$91,15,0)),0,VLOOKUP($U$74,'TAR FIN'!$A$1:$O$91,15,0))</f>
        <v>0</v>
      </c>
      <c r="Y74" s="4">
        <f ca="1">('TUSD BE'!$AM$12+'TUSD BF'!$AM$12+'TUSD CVA'!$AM$12)*1</f>
        <v>3.5546179029821179</v>
      </c>
      <c r="Z74" s="4"/>
      <c r="AA74" s="4"/>
      <c r="AB74" s="4">
        <f>$K$74*$V$74</f>
        <v>4400</v>
      </c>
      <c r="AC74" s="4">
        <f>$M$74*$W$74</f>
        <v>0</v>
      </c>
      <c r="AD74" s="4">
        <f>$O$74*$X$74</f>
        <v>0</v>
      </c>
      <c r="AE74" s="4">
        <f ca="1">$K$74*$Y$74</f>
        <v>4443.2723787276473</v>
      </c>
      <c r="AF74" s="4">
        <f>$M$74*$Z$74</f>
        <v>0</v>
      </c>
      <c r="AG74" s="4">
        <f>$O$74*$AA$74</f>
        <v>0</v>
      </c>
    </row>
    <row r="75" spans="1:33" ht="11.25" customHeight="1" x14ac:dyDescent="0.25">
      <c r="A75" s="3" t="s">
        <v>21</v>
      </c>
      <c r="B75" s="3" t="s">
        <v>35</v>
      </c>
      <c r="C75" s="3" t="s">
        <v>60</v>
      </c>
      <c r="D75" s="3" t="s">
        <v>25</v>
      </c>
      <c r="E75" s="3" t="s">
        <v>25</v>
      </c>
      <c r="F75" s="3" t="s">
        <v>25</v>
      </c>
      <c r="G75" s="3" t="s">
        <v>63</v>
      </c>
      <c r="H75" s="3" t="s">
        <v>25</v>
      </c>
      <c r="I75" s="6">
        <v>44531</v>
      </c>
      <c r="J75" s="4">
        <v>335</v>
      </c>
      <c r="K75" s="4">
        <v>167.5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3" t="s">
        <v>62</v>
      </c>
      <c r="S75" s="4">
        <v>16</v>
      </c>
      <c r="T75" s="4">
        <v>0</v>
      </c>
      <c r="U75" s="4">
        <v>0</v>
      </c>
      <c r="V75" s="4">
        <f>IF(ISERROR(VLOOKUP($S$75,'TAR FIN'!$A$1:$O$91,15,0)),0,VLOOKUP($S$75,'TAR FIN'!$A$1:$O$91,15,0))</f>
        <v>3.52</v>
      </c>
      <c r="W75" s="4">
        <f>IF(ISERROR(VLOOKUP($T$75,'TAR FIN'!$A$1:$O$91,15,0)),0,VLOOKUP($T$75,'TAR FIN'!$A$1:$O$91,15,0))</f>
        <v>0</v>
      </c>
      <c r="X75" s="4">
        <f>IF(ISERROR(VLOOKUP($U$75,'TAR FIN'!$A$1:$O$91,15,0)),0,VLOOKUP($U$75,'TAR FIN'!$A$1:$O$91,15,0))</f>
        <v>0</v>
      </c>
      <c r="Y75" s="4">
        <f ca="1">('TUSD BE'!$AM$12+'TUSD BF'!$AM$12+'TUSD CVA'!$AM$12)*1</f>
        <v>3.5546179029821179</v>
      </c>
      <c r="Z75" s="4"/>
      <c r="AA75" s="4"/>
      <c r="AB75" s="4">
        <f>$K$75*$V$75</f>
        <v>589.6</v>
      </c>
      <c r="AC75" s="4">
        <f>$M$75*$W$75</f>
        <v>0</v>
      </c>
      <c r="AD75" s="4">
        <f>$O$75*$X$75</f>
        <v>0</v>
      </c>
      <c r="AE75" s="4">
        <f ca="1">$K$75*$Y$75</f>
        <v>595.39849874950471</v>
      </c>
      <c r="AF75" s="4">
        <f>$M$75*$Z$75</f>
        <v>0</v>
      </c>
      <c r="AG75" s="4">
        <f>$O$75*$AA$75</f>
        <v>0</v>
      </c>
    </row>
    <row r="76" spans="1:33" ht="11.25" customHeight="1" x14ac:dyDescent="0.25">
      <c r="A76" s="3" t="s">
        <v>21</v>
      </c>
      <c r="B76" s="3" t="s">
        <v>35</v>
      </c>
      <c r="C76" s="3" t="s">
        <v>60</v>
      </c>
      <c r="D76" s="3" t="s">
        <v>25</v>
      </c>
      <c r="E76" s="3" t="s">
        <v>25</v>
      </c>
      <c r="F76" s="3" t="s">
        <v>25</v>
      </c>
      <c r="G76" s="3" t="s">
        <v>64</v>
      </c>
      <c r="H76" s="3" t="s">
        <v>25</v>
      </c>
      <c r="I76" s="6">
        <v>44531</v>
      </c>
      <c r="J76" s="4">
        <v>1000</v>
      </c>
      <c r="K76" s="4">
        <v>500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3" t="s">
        <v>62</v>
      </c>
      <c r="R76" s="3">
        <v>29425</v>
      </c>
      <c r="S76" s="4">
        <v>16</v>
      </c>
      <c r="T76" s="4">
        <v>0</v>
      </c>
      <c r="U76" s="4">
        <v>0</v>
      </c>
      <c r="V76" s="4">
        <f>IF(ISERROR(VLOOKUP($S$76,'TAR FIN'!$A$1:$O$91,15,0)),0,VLOOKUP($S$76,'TAR FIN'!$A$1:$O$91,15,0))</f>
        <v>3.52</v>
      </c>
      <c r="W76" s="4">
        <f>IF(ISERROR(VLOOKUP($T$76,'TAR FIN'!$A$1:$O$91,15,0)),0,VLOOKUP($T$76,'TAR FIN'!$A$1:$O$91,15,0))</f>
        <v>0</v>
      </c>
      <c r="X76" s="4">
        <f>IF(ISERROR(VLOOKUP($U$76,'TAR FIN'!$A$1:$O$91,15,0)),0,VLOOKUP($U$76,'TAR FIN'!$A$1:$O$91,15,0))</f>
        <v>0</v>
      </c>
      <c r="Y76" s="4">
        <f ca="1">('TUSD BE'!$AM$12+'TUSD BF'!$AM$12+'TUSD CVA'!$AM$12)*1</f>
        <v>3.5546179029821179</v>
      </c>
      <c r="Z76" s="4"/>
      <c r="AA76" s="4"/>
      <c r="AB76" s="4">
        <f>$K$76*$V$76</f>
        <v>1760</v>
      </c>
      <c r="AC76" s="4">
        <f>$M$76*$W$76</f>
        <v>0</v>
      </c>
      <c r="AD76" s="4">
        <f>$O$76*$X$76</f>
        <v>0</v>
      </c>
      <c r="AE76" s="4">
        <f ca="1">$K$76*$Y$76</f>
        <v>1777.3089514910589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21</v>
      </c>
      <c r="B77" s="3" t="s">
        <v>35</v>
      </c>
      <c r="C77" s="3" t="s">
        <v>60</v>
      </c>
      <c r="D77" s="3" t="s">
        <v>25</v>
      </c>
      <c r="E77" s="3" t="s">
        <v>25</v>
      </c>
      <c r="F77" s="3" t="s">
        <v>25</v>
      </c>
      <c r="G77" s="3" t="s">
        <v>65</v>
      </c>
      <c r="H77" s="3" t="s">
        <v>25</v>
      </c>
      <c r="I77" s="6">
        <v>44531</v>
      </c>
      <c r="J77" s="4">
        <v>639</v>
      </c>
      <c r="K77" s="4">
        <v>319.5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 t="s">
        <v>62</v>
      </c>
      <c r="R77" s="3">
        <v>30591</v>
      </c>
      <c r="S77" s="4">
        <v>16</v>
      </c>
      <c r="T77" s="4">
        <v>0</v>
      </c>
      <c r="U77" s="4">
        <v>0</v>
      </c>
      <c r="V77" s="4">
        <f>IF(ISERROR(VLOOKUP($S$77,'TAR FIN'!$A$1:$O$91,15,0)),0,VLOOKUP($S$77,'TAR FIN'!$A$1:$O$91,15,0))</f>
        <v>3.52</v>
      </c>
      <c r="W77" s="4">
        <f>IF(ISERROR(VLOOKUP($T$77,'TAR FIN'!$A$1:$O$91,15,0)),0,VLOOKUP($T$77,'TAR FIN'!$A$1:$O$91,15,0))</f>
        <v>0</v>
      </c>
      <c r="X77" s="4">
        <f>IF(ISERROR(VLOOKUP($U$77,'TAR FIN'!$A$1:$O$91,15,0)),0,VLOOKUP($U$77,'TAR FIN'!$A$1:$O$91,15,0))</f>
        <v>0</v>
      </c>
      <c r="Y77" s="4">
        <f ca="1">('TUSD BE'!$AM$12+'TUSD BF'!$AM$12+'TUSD CVA'!$AM$12)*1</f>
        <v>3.5546179029821179</v>
      </c>
      <c r="Z77" s="4"/>
      <c r="AA77" s="4"/>
      <c r="AB77" s="4">
        <f>$K$77*$V$77</f>
        <v>1124.6400000000001</v>
      </c>
      <c r="AC77" s="4">
        <f>$M$77*$W$77</f>
        <v>0</v>
      </c>
      <c r="AD77" s="4">
        <f>$O$77*$X$77</f>
        <v>0</v>
      </c>
      <c r="AE77" s="4">
        <f ca="1">$K$77*$Y$77</f>
        <v>1135.7004200027866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35</v>
      </c>
      <c r="C78" s="3" t="s">
        <v>60</v>
      </c>
      <c r="D78" s="3" t="s">
        <v>25</v>
      </c>
      <c r="E78" s="3" t="s">
        <v>25</v>
      </c>
      <c r="F78" s="3" t="s">
        <v>25</v>
      </c>
      <c r="G78" s="3" t="s">
        <v>61</v>
      </c>
      <c r="H78" s="3" t="s">
        <v>25</v>
      </c>
      <c r="I78" s="6">
        <v>44562</v>
      </c>
      <c r="J78" s="4">
        <v>2500</v>
      </c>
      <c r="K78" s="4">
        <v>1250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 t="s">
        <v>62</v>
      </c>
      <c r="R78" s="3">
        <v>29137</v>
      </c>
      <c r="S78" s="4">
        <v>16</v>
      </c>
      <c r="T78" s="4">
        <v>0</v>
      </c>
      <c r="U78" s="4">
        <v>0</v>
      </c>
      <c r="V78" s="4">
        <f>IF(ISERROR(VLOOKUP($S$78,'TAR FIN'!$A$1:$O$91,15,0)),0,VLOOKUP($S$78,'TAR FIN'!$A$1:$O$91,15,0))</f>
        <v>3.52</v>
      </c>
      <c r="W78" s="4">
        <f>IF(ISERROR(VLOOKUP($T$78,'TAR FIN'!$A$1:$O$91,15,0)),0,VLOOKUP($T$78,'TAR FIN'!$A$1:$O$91,15,0))</f>
        <v>0</v>
      </c>
      <c r="X78" s="4">
        <f>IF(ISERROR(VLOOKUP($U$78,'TAR FIN'!$A$1:$O$91,15,0)),0,VLOOKUP($U$78,'TAR FIN'!$A$1:$O$91,15,0))</f>
        <v>0</v>
      </c>
      <c r="Y78" s="4">
        <f ca="1">('TUSD BE'!$AM$12+'TUSD BF'!$AM$12+'TUSD CVA'!$AM$12)*1</f>
        <v>3.5546179029821179</v>
      </c>
      <c r="Z78" s="4"/>
      <c r="AA78" s="4"/>
      <c r="AB78" s="4">
        <f>$K$78*$V$78</f>
        <v>4400</v>
      </c>
      <c r="AC78" s="4">
        <f>$M$78*$W$78</f>
        <v>0</v>
      </c>
      <c r="AD78" s="4">
        <f>$O$78*$X$78</f>
        <v>0</v>
      </c>
      <c r="AE78" s="4">
        <f ca="1">$K$78*$Y$78</f>
        <v>4443.2723787276473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21</v>
      </c>
      <c r="B79" s="3" t="s">
        <v>35</v>
      </c>
      <c r="C79" s="3" t="s">
        <v>60</v>
      </c>
      <c r="D79" s="3" t="s">
        <v>25</v>
      </c>
      <c r="E79" s="3" t="s">
        <v>25</v>
      </c>
      <c r="F79" s="3" t="s">
        <v>25</v>
      </c>
      <c r="G79" s="3" t="s">
        <v>63</v>
      </c>
      <c r="H79" s="3" t="s">
        <v>25</v>
      </c>
      <c r="I79" s="6">
        <v>44562</v>
      </c>
      <c r="J79" s="4">
        <v>335</v>
      </c>
      <c r="K79" s="4">
        <v>167.5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 t="s">
        <v>62</v>
      </c>
      <c r="S79" s="4">
        <v>16</v>
      </c>
      <c r="T79" s="4">
        <v>0</v>
      </c>
      <c r="U79" s="4">
        <v>0</v>
      </c>
      <c r="V79" s="4">
        <f>IF(ISERROR(VLOOKUP($S$79,'TAR FIN'!$A$1:$O$91,15,0)),0,VLOOKUP($S$79,'TAR FIN'!$A$1:$O$91,15,0))</f>
        <v>3.52</v>
      </c>
      <c r="W79" s="4">
        <f>IF(ISERROR(VLOOKUP($T$79,'TAR FIN'!$A$1:$O$91,15,0)),0,VLOOKUP($T$79,'TAR FIN'!$A$1:$O$91,15,0))</f>
        <v>0</v>
      </c>
      <c r="X79" s="4">
        <f>IF(ISERROR(VLOOKUP($U$79,'TAR FIN'!$A$1:$O$91,15,0)),0,VLOOKUP($U$79,'TAR FIN'!$A$1:$O$91,15,0))</f>
        <v>0</v>
      </c>
      <c r="Y79" s="4">
        <f ca="1">('TUSD BE'!$AM$12+'TUSD BF'!$AM$12+'TUSD CVA'!$AM$12)*1</f>
        <v>3.5546179029821179</v>
      </c>
      <c r="Z79" s="4"/>
      <c r="AA79" s="4"/>
      <c r="AB79" s="4">
        <f>$K$79*$V$79</f>
        <v>589.6</v>
      </c>
      <c r="AC79" s="4">
        <f>$M$79*$W$79</f>
        <v>0</v>
      </c>
      <c r="AD79" s="4">
        <f>$O$79*$X$79</f>
        <v>0</v>
      </c>
      <c r="AE79" s="4">
        <f ca="1">$K$79*$Y$79</f>
        <v>595.39849874950471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35</v>
      </c>
      <c r="C80" s="3" t="s">
        <v>60</v>
      </c>
      <c r="D80" s="3" t="s">
        <v>25</v>
      </c>
      <c r="E80" s="3" t="s">
        <v>25</v>
      </c>
      <c r="F80" s="3" t="s">
        <v>25</v>
      </c>
      <c r="G80" s="3" t="s">
        <v>64</v>
      </c>
      <c r="H80" s="3" t="s">
        <v>25</v>
      </c>
      <c r="I80" s="6">
        <v>44562</v>
      </c>
      <c r="J80" s="4">
        <v>1000</v>
      </c>
      <c r="K80" s="4">
        <v>500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 t="s">
        <v>62</v>
      </c>
      <c r="R80" s="3">
        <v>29425</v>
      </c>
      <c r="S80" s="4">
        <v>16</v>
      </c>
      <c r="T80" s="4">
        <v>0</v>
      </c>
      <c r="U80" s="4">
        <v>0</v>
      </c>
      <c r="V80" s="4">
        <f>IF(ISERROR(VLOOKUP($S$80,'TAR FIN'!$A$1:$O$91,15,0)),0,VLOOKUP($S$80,'TAR FIN'!$A$1:$O$91,15,0))</f>
        <v>3.52</v>
      </c>
      <c r="W80" s="4">
        <f>IF(ISERROR(VLOOKUP($T$80,'TAR FIN'!$A$1:$O$91,15,0)),0,VLOOKUP($T$80,'TAR FIN'!$A$1:$O$91,15,0))</f>
        <v>0</v>
      </c>
      <c r="X80" s="4">
        <f>IF(ISERROR(VLOOKUP($U$80,'TAR FIN'!$A$1:$O$91,15,0)),0,VLOOKUP($U$80,'TAR FIN'!$A$1:$O$91,15,0))</f>
        <v>0</v>
      </c>
      <c r="Y80" s="4">
        <f ca="1">('TUSD BE'!$AM$12+'TUSD BF'!$AM$12+'TUSD CVA'!$AM$12)*1</f>
        <v>3.5546179029821179</v>
      </c>
      <c r="Z80" s="4"/>
      <c r="AA80" s="4"/>
      <c r="AB80" s="4">
        <f>$K$80*$V$80</f>
        <v>1760</v>
      </c>
      <c r="AC80" s="4">
        <f>$M$80*$W$80</f>
        <v>0</v>
      </c>
      <c r="AD80" s="4">
        <f>$O$80*$X$80</f>
        <v>0</v>
      </c>
      <c r="AE80" s="4">
        <f ca="1">$K$80*$Y$80</f>
        <v>1777.3089514910589</v>
      </c>
      <c r="AF80" s="4">
        <f>$M$80*$Z$80</f>
        <v>0</v>
      </c>
      <c r="AG80" s="4">
        <f>$O$80*$AA$80</f>
        <v>0</v>
      </c>
    </row>
    <row r="81" spans="1:33" ht="11.25" customHeight="1" x14ac:dyDescent="0.25">
      <c r="A81" s="3" t="s">
        <v>21</v>
      </c>
      <c r="B81" s="3" t="s">
        <v>35</v>
      </c>
      <c r="C81" s="3" t="s">
        <v>60</v>
      </c>
      <c r="D81" s="3" t="s">
        <v>25</v>
      </c>
      <c r="E81" s="3" t="s">
        <v>25</v>
      </c>
      <c r="F81" s="3" t="s">
        <v>25</v>
      </c>
      <c r="G81" s="3" t="s">
        <v>65</v>
      </c>
      <c r="H81" s="3" t="s">
        <v>25</v>
      </c>
      <c r="I81" s="6">
        <v>44562</v>
      </c>
      <c r="J81" s="4">
        <v>639</v>
      </c>
      <c r="K81" s="4">
        <v>319.5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 t="s">
        <v>62</v>
      </c>
      <c r="R81" s="3">
        <v>30591</v>
      </c>
      <c r="S81" s="4">
        <v>16</v>
      </c>
      <c r="T81" s="4">
        <v>0</v>
      </c>
      <c r="U81" s="4">
        <v>0</v>
      </c>
      <c r="V81" s="4">
        <f>IF(ISERROR(VLOOKUP($S$81,'TAR FIN'!$A$1:$O$91,15,0)),0,VLOOKUP($S$81,'TAR FIN'!$A$1:$O$91,15,0))</f>
        <v>3.52</v>
      </c>
      <c r="W81" s="4">
        <f>IF(ISERROR(VLOOKUP($T$81,'TAR FIN'!$A$1:$O$91,15,0)),0,VLOOKUP($T$81,'TAR FIN'!$A$1:$O$91,15,0))</f>
        <v>0</v>
      </c>
      <c r="X81" s="4">
        <f>IF(ISERROR(VLOOKUP($U$81,'TAR FIN'!$A$1:$O$91,15,0)),0,VLOOKUP($U$81,'TAR FIN'!$A$1:$O$91,15,0))</f>
        <v>0</v>
      </c>
      <c r="Y81" s="4">
        <f ca="1">('TUSD BE'!$AM$12+'TUSD BF'!$AM$12+'TUSD CVA'!$AM$12)*1</f>
        <v>3.5546179029821179</v>
      </c>
      <c r="Z81" s="4"/>
      <c r="AA81" s="4"/>
      <c r="AB81" s="4">
        <f>$K$81*$V$81</f>
        <v>1124.6400000000001</v>
      </c>
      <c r="AC81" s="4">
        <f>$M$81*$W$81</f>
        <v>0</v>
      </c>
      <c r="AD81" s="4">
        <f>$O$81*$X$81</f>
        <v>0</v>
      </c>
      <c r="AE81" s="4">
        <f ca="1">$K$81*$Y$81</f>
        <v>1135.7004200027866</v>
      </c>
      <c r="AF81" s="4">
        <f>$M$81*$Z$81</f>
        <v>0</v>
      </c>
      <c r="AG81" s="4">
        <f>$O$81*$AA$81</f>
        <v>0</v>
      </c>
    </row>
    <row r="82" spans="1:33" ht="11.25" customHeight="1" x14ac:dyDescent="0.25">
      <c r="A82" s="3" t="s">
        <v>21</v>
      </c>
      <c r="B82" s="3" t="s">
        <v>35</v>
      </c>
      <c r="C82" s="3" t="s">
        <v>60</v>
      </c>
      <c r="D82" s="3" t="s">
        <v>25</v>
      </c>
      <c r="E82" s="3" t="s">
        <v>25</v>
      </c>
      <c r="F82" s="3" t="s">
        <v>25</v>
      </c>
      <c r="G82" s="3" t="s">
        <v>61</v>
      </c>
      <c r="H82" s="3" t="s">
        <v>25</v>
      </c>
      <c r="I82" s="6">
        <v>44593</v>
      </c>
      <c r="J82" s="4">
        <v>2500</v>
      </c>
      <c r="K82" s="4">
        <v>2500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 t="s">
        <v>62</v>
      </c>
      <c r="R82" s="3">
        <v>29137</v>
      </c>
      <c r="S82" s="4">
        <v>16</v>
      </c>
      <c r="T82" s="4">
        <v>0</v>
      </c>
      <c r="U82" s="4">
        <v>0</v>
      </c>
      <c r="V82" s="4">
        <f>IF(ISERROR(VLOOKUP($S$82,'TAR FIN'!$A$1:$O$91,15,0)),0,VLOOKUP($S$82,'TAR FIN'!$A$1:$O$91,15,0))</f>
        <v>3.52</v>
      </c>
      <c r="W82" s="4">
        <f>IF(ISERROR(VLOOKUP($T$82,'TAR FIN'!$A$1:$O$91,15,0)),0,VLOOKUP($T$82,'TAR FIN'!$A$1:$O$91,15,0))</f>
        <v>0</v>
      </c>
      <c r="X82" s="4">
        <f>IF(ISERROR(VLOOKUP($U$82,'TAR FIN'!$A$1:$O$91,15,0)),0,VLOOKUP($U$82,'TAR FIN'!$A$1:$O$91,15,0))</f>
        <v>0</v>
      </c>
      <c r="Y82" s="4">
        <f ca="1">('TUSD BE'!$AM$12+'TUSD BF'!$AM$12+'TUSD CVA'!$AM$12)*1</f>
        <v>3.5546179029821179</v>
      </c>
      <c r="Z82" s="4"/>
      <c r="AA82" s="4"/>
      <c r="AB82" s="4">
        <f>$K$82*$V$82</f>
        <v>8800</v>
      </c>
      <c r="AC82" s="4">
        <f>$M$82*$W$82</f>
        <v>0</v>
      </c>
      <c r="AD82" s="4">
        <f>$O$82*$X$82</f>
        <v>0</v>
      </c>
      <c r="AE82" s="4">
        <f ca="1">$K$82*$Y$82</f>
        <v>8886.5447574552945</v>
      </c>
      <c r="AF82" s="4">
        <f>$M$82*$Z$82</f>
        <v>0</v>
      </c>
      <c r="AG82" s="4">
        <f>$O$82*$AA$82</f>
        <v>0</v>
      </c>
    </row>
    <row r="83" spans="1:33" ht="11.25" customHeight="1" x14ac:dyDescent="0.25">
      <c r="A83" s="3" t="s">
        <v>21</v>
      </c>
      <c r="B83" s="3" t="s">
        <v>35</v>
      </c>
      <c r="C83" s="3" t="s">
        <v>60</v>
      </c>
      <c r="D83" s="3" t="s">
        <v>25</v>
      </c>
      <c r="E83" s="3" t="s">
        <v>25</v>
      </c>
      <c r="F83" s="3" t="s">
        <v>25</v>
      </c>
      <c r="G83" s="3" t="s">
        <v>63</v>
      </c>
      <c r="H83" s="3" t="s">
        <v>25</v>
      </c>
      <c r="I83" s="6">
        <v>44593</v>
      </c>
      <c r="J83" s="4">
        <v>335</v>
      </c>
      <c r="K83" s="4">
        <v>335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 t="s">
        <v>62</v>
      </c>
      <c r="S83" s="4">
        <v>16</v>
      </c>
      <c r="T83" s="4">
        <v>0</v>
      </c>
      <c r="U83" s="4">
        <v>0</v>
      </c>
      <c r="V83" s="4">
        <f>IF(ISERROR(VLOOKUP($S$83,'TAR FIN'!$A$1:$O$91,15,0)),0,VLOOKUP($S$83,'TAR FIN'!$A$1:$O$91,15,0))</f>
        <v>3.52</v>
      </c>
      <c r="W83" s="4">
        <f>IF(ISERROR(VLOOKUP($T$83,'TAR FIN'!$A$1:$O$91,15,0)),0,VLOOKUP($T$83,'TAR FIN'!$A$1:$O$91,15,0))</f>
        <v>0</v>
      </c>
      <c r="X83" s="4">
        <f>IF(ISERROR(VLOOKUP($U$83,'TAR FIN'!$A$1:$O$91,15,0)),0,VLOOKUP($U$83,'TAR FIN'!$A$1:$O$91,15,0))</f>
        <v>0</v>
      </c>
      <c r="Y83" s="4">
        <f ca="1">('TUSD BE'!$AM$12+'TUSD BF'!$AM$12+'TUSD CVA'!$AM$12)*1</f>
        <v>3.5546179029821179</v>
      </c>
      <c r="Z83" s="4"/>
      <c r="AA83" s="4"/>
      <c r="AB83" s="4">
        <f>$K$83*$V$83</f>
        <v>1179.2</v>
      </c>
      <c r="AC83" s="4">
        <f>$M$83*$W$83</f>
        <v>0</v>
      </c>
      <c r="AD83" s="4">
        <f>$O$83*$X$83</f>
        <v>0</v>
      </c>
      <c r="AE83" s="4">
        <f ca="1">$K$83*$Y$83</f>
        <v>1190.7969974990094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21</v>
      </c>
      <c r="B84" s="3" t="s">
        <v>35</v>
      </c>
      <c r="C84" s="3" t="s">
        <v>60</v>
      </c>
      <c r="D84" s="3" t="s">
        <v>25</v>
      </c>
      <c r="E84" s="3" t="s">
        <v>25</v>
      </c>
      <c r="F84" s="3" t="s">
        <v>25</v>
      </c>
      <c r="G84" s="3" t="s">
        <v>64</v>
      </c>
      <c r="H84" s="3" t="s">
        <v>25</v>
      </c>
      <c r="I84" s="6">
        <v>44593</v>
      </c>
      <c r="J84" s="4">
        <v>1000</v>
      </c>
      <c r="K84" s="4">
        <v>1000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 t="s">
        <v>62</v>
      </c>
      <c r="R84" s="3">
        <v>29425</v>
      </c>
      <c r="S84" s="4">
        <v>16</v>
      </c>
      <c r="T84" s="4">
        <v>0</v>
      </c>
      <c r="U84" s="4">
        <v>0</v>
      </c>
      <c r="V84" s="4">
        <f>IF(ISERROR(VLOOKUP($S$84,'TAR FIN'!$A$1:$O$91,15,0)),0,VLOOKUP($S$84,'TAR FIN'!$A$1:$O$91,15,0))</f>
        <v>3.52</v>
      </c>
      <c r="W84" s="4">
        <f>IF(ISERROR(VLOOKUP($T$84,'TAR FIN'!$A$1:$O$91,15,0)),0,VLOOKUP($T$84,'TAR FIN'!$A$1:$O$91,15,0))</f>
        <v>0</v>
      </c>
      <c r="X84" s="4">
        <f>IF(ISERROR(VLOOKUP($U$84,'TAR FIN'!$A$1:$O$91,15,0)),0,VLOOKUP($U$84,'TAR FIN'!$A$1:$O$91,15,0))</f>
        <v>0</v>
      </c>
      <c r="Y84" s="4">
        <f ca="1">('TUSD BE'!$AM$12+'TUSD BF'!$AM$12+'TUSD CVA'!$AM$12)*1</f>
        <v>3.5546179029821179</v>
      </c>
      <c r="Z84" s="4"/>
      <c r="AA84" s="4"/>
      <c r="AB84" s="4">
        <f>$K$84*$V$84</f>
        <v>3520</v>
      </c>
      <c r="AC84" s="4">
        <f>$M$84*$W$84</f>
        <v>0</v>
      </c>
      <c r="AD84" s="4">
        <f>$O$84*$X$84</f>
        <v>0</v>
      </c>
      <c r="AE84" s="4">
        <f ca="1">$K$84*$Y$84</f>
        <v>3554.6179029821178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21</v>
      </c>
      <c r="B85" s="3" t="s">
        <v>35</v>
      </c>
      <c r="C85" s="3" t="s">
        <v>60</v>
      </c>
      <c r="D85" s="3" t="s">
        <v>25</v>
      </c>
      <c r="E85" s="3" t="s">
        <v>25</v>
      </c>
      <c r="F85" s="3" t="s">
        <v>25</v>
      </c>
      <c r="G85" s="3" t="s">
        <v>65</v>
      </c>
      <c r="H85" s="3" t="s">
        <v>25</v>
      </c>
      <c r="I85" s="6">
        <v>44593</v>
      </c>
      <c r="J85" s="4">
        <v>520</v>
      </c>
      <c r="K85" s="4">
        <v>260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 t="s">
        <v>62</v>
      </c>
      <c r="R85" s="3">
        <v>30591</v>
      </c>
      <c r="S85" s="4">
        <v>16</v>
      </c>
      <c r="T85" s="4">
        <v>0</v>
      </c>
      <c r="U85" s="4">
        <v>0</v>
      </c>
      <c r="V85" s="4">
        <f>IF(ISERROR(VLOOKUP($S$85,'TAR FIN'!$A$1:$O$91,15,0)),0,VLOOKUP($S$85,'TAR FIN'!$A$1:$O$91,15,0))</f>
        <v>3.52</v>
      </c>
      <c r="W85" s="4">
        <f>IF(ISERROR(VLOOKUP($T$85,'TAR FIN'!$A$1:$O$91,15,0)),0,VLOOKUP($T$85,'TAR FIN'!$A$1:$O$91,15,0))</f>
        <v>0</v>
      </c>
      <c r="X85" s="4">
        <f>IF(ISERROR(VLOOKUP($U$85,'TAR FIN'!$A$1:$O$91,15,0)),0,VLOOKUP($U$85,'TAR FIN'!$A$1:$O$91,15,0))</f>
        <v>0</v>
      </c>
      <c r="Y85" s="4">
        <f ca="1">('TUSD BE'!$AM$12+'TUSD BF'!$AM$12+'TUSD CVA'!$AM$12)*1</f>
        <v>3.5546179029821179</v>
      </c>
      <c r="Z85" s="4"/>
      <c r="AA85" s="4"/>
      <c r="AB85" s="4">
        <f>$K$85*$V$85</f>
        <v>915.2</v>
      </c>
      <c r="AC85" s="4">
        <f>$M$85*$W$85</f>
        <v>0</v>
      </c>
      <c r="AD85" s="4">
        <f>$O$85*$X$85</f>
        <v>0</v>
      </c>
      <c r="AE85" s="4">
        <f ca="1">$K$85*$Y$85</f>
        <v>924.2006547753507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21</v>
      </c>
      <c r="B86" s="3" t="s">
        <v>35</v>
      </c>
      <c r="C86" s="3" t="s">
        <v>60</v>
      </c>
      <c r="D86" s="3" t="s">
        <v>25</v>
      </c>
      <c r="E86" s="3" t="s">
        <v>25</v>
      </c>
      <c r="F86" s="3" t="s">
        <v>25</v>
      </c>
      <c r="G86" s="3" t="s">
        <v>61</v>
      </c>
      <c r="H86" s="3" t="s">
        <v>25</v>
      </c>
      <c r="I86" s="6">
        <v>44621</v>
      </c>
      <c r="J86" s="4">
        <v>2500</v>
      </c>
      <c r="K86" s="4">
        <v>1250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3" t="s">
        <v>62</v>
      </c>
      <c r="R86" s="3">
        <v>29137</v>
      </c>
      <c r="S86" s="4">
        <v>16</v>
      </c>
      <c r="T86" s="4">
        <v>0</v>
      </c>
      <c r="U86" s="4">
        <v>0</v>
      </c>
      <c r="V86" s="4">
        <f>IF(ISERROR(VLOOKUP($S$86,'TAR FIN'!$A$1:$O$91,15,0)),0,VLOOKUP($S$86,'TAR FIN'!$A$1:$O$91,15,0))</f>
        <v>3.52</v>
      </c>
      <c r="W86" s="4">
        <f>IF(ISERROR(VLOOKUP($T$86,'TAR FIN'!$A$1:$O$91,15,0)),0,VLOOKUP($T$86,'TAR FIN'!$A$1:$O$91,15,0))</f>
        <v>0</v>
      </c>
      <c r="X86" s="4">
        <f>IF(ISERROR(VLOOKUP($U$86,'TAR FIN'!$A$1:$O$91,15,0)),0,VLOOKUP($U$86,'TAR FIN'!$A$1:$O$91,15,0))</f>
        <v>0</v>
      </c>
      <c r="Y86" s="4">
        <f ca="1">('TUSD BE'!$AM$12+'TUSD BF'!$AM$12+'TUSD CVA'!$AM$12)*1</f>
        <v>3.5546179029821179</v>
      </c>
      <c r="Z86" s="4"/>
      <c r="AA86" s="4"/>
      <c r="AB86" s="4">
        <f>$K$86*$V$86</f>
        <v>4400</v>
      </c>
      <c r="AC86" s="4">
        <f>$M$86*$W$86</f>
        <v>0</v>
      </c>
      <c r="AD86" s="4">
        <f>$O$86*$X$86</f>
        <v>0</v>
      </c>
      <c r="AE86" s="4">
        <f ca="1">$K$86*$Y$86</f>
        <v>4443.2723787276473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35</v>
      </c>
      <c r="C87" s="3" t="s">
        <v>60</v>
      </c>
      <c r="D87" s="3" t="s">
        <v>25</v>
      </c>
      <c r="E87" s="3" t="s">
        <v>25</v>
      </c>
      <c r="F87" s="3" t="s">
        <v>25</v>
      </c>
      <c r="G87" s="3" t="s">
        <v>63</v>
      </c>
      <c r="H87" s="3" t="s">
        <v>25</v>
      </c>
      <c r="I87" s="6">
        <v>44621</v>
      </c>
      <c r="J87" s="4">
        <v>335</v>
      </c>
      <c r="K87" s="4">
        <v>167.5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3" t="s">
        <v>62</v>
      </c>
      <c r="S87" s="4">
        <v>16</v>
      </c>
      <c r="T87" s="4">
        <v>0</v>
      </c>
      <c r="U87" s="4">
        <v>0</v>
      </c>
      <c r="V87" s="4">
        <f>IF(ISERROR(VLOOKUP($S$87,'TAR FIN'!$A$1:$O$91,15,0)),0,VLOOKUP($S$87,'TAR FIN'!$A$1:$O$91,15,0))</f>
        <v>3.52</v>
      </c>
      <c r="W87" s="4">
        <f>IF(ISERROR(VLOOKUP($T$87,'TAR FIN'!$A$1:$O$91,15,0)),0,VLOOKUP($T$87,'TAR FIN'!$A$1:$O$91,15,0))</f>
        <v>0</v>
      </c>
      <c r="X87" s="4">
        <f>IF(ISERROR(VLOOKUP($U$87,'TAR FIN'!$A$1:$O$91,15,0)),0,VLOOKUP($U$87,'TAR FIN'!$A$1:$O$91,15,0))</f>
        <v>0</v>
      </c>
      <c r="Y87" s="4">
        <f ca="1">('TUSD BE'!$AM$12+'TUSD BF'!$AM$12+'TUSD CVA'!$AM$12)*1</f>
        <v>3.5546179029821179</v>
      </c>
      <c r="Z87" s="4"/>
      <c r="AA87" s="4"/>
      <c r="AB87" s="4">
        <f>$K$87*$V$87</f>
        <v>589.6</v>
      </c>
      <c r="AC87" s="4">
        <f>$M$87*$W$87</f>
        <v>0</v>
      </c>
      <c r="AD87" s="4">
        <f>$O$87*$X$87</f>
        <v>0</v>
      </c>
      <c r="AE87" s="4">
        <f ca="1">$K$87*$Y$87</f>
        <v>595.39849874950471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35</v>
      </c>
      <c r="C88" s="3" t="s">
        <v>60</v>
      </c>
      <c r="D88" s="3" t="s">
        <v>25</v>
      </c>
      <c r="E88" s="3" t="s">
        <v>25</v>
      </c>
      <c r="F88" s="3" t="s">
        <v>25</v>
      </c>
      <c r="G88" s="3" t="s">
        <v>64</v>
      </c>
      <c r="H88" s="3" t="s">
        <v>25</v>
      </c>
      <c r="I88" s="6">
        <v>44621</v>
      </c>
      <c r="J88" s="4">
        <v>1000</v>
      </c>
      <c r="K88" s="4">
        <v>500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3" t="s">
        <v>62</v>
      </c>
      <c r="R88" s="3">
        <v>29425</v>
      </c>
      <c r="S88" s="4">
        <v>16</v>
      </c>
      <c r="T88" s="4">
        <v>0</v>
      </c>
      <c r="U88" s="4">
        <v>0</v>
      </c>
      <c r="V88" s="4">
        <f>IF(ISERROR(VLOOKUP($S$88,'TAR FIN'!$A$1:$O$91,15,0)),0,VLOOKUP($S$88,'TAR FIN'!$A$1:$O$91,15,0))</f>
        <v>3.52</v>
      </c>
      <c r="W88" s="4">
        <f>IF(ISERROR(VLOOKUP($T$88,'TAR FIN'!$A$1:$O$91,15,0)),0,VLOOKUP($T$88,'TAR FIN'!$A$1:$O$91,15,0))</f>
        <v>0</v>
      </c>
      <c r="X88" s="4">
        <f>IF(ISERROR(VLOOKUP($U$88,'TAR FIN'!$A$1:$O$91,15,0)),0,VLOOKUP($U$88,'TAR FIN'!$A$1:$O$91,15,0))</f>
        <v>0</v>
      </c>
      <c r="Y88" s="4">
        <f ca="1">('TUSD BE'!$AM$12+'TUSD BF'!$AM$12+'TUSD CVA'!$AM$12)*1</f>
        <v>3.5546179029821179</v>
      </c>
      <c r="Z88" s="4"/>
      <c r="AA88" s="4"/>
      <c r="AB88" s="4">
        <f>$K$88*$V$88</f>
        <v>1760</v>
      </c>
      <c r="AC88" s="4">
        <f>$M$88*$W$88</f>
        <v>0</v>
      </c>
      <c r="AD88" s="4">
        <f>$O$88*$X$88</f>
        <v>0</v>
      </c>
      <c r="AE88" s="4">
        <f ca="1">$K$88*$Y$88</f>
        <v>1777.3089514910589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21</v>
      </c>
      <c r="B89" s="3" t="s">
        <v>35</v>
      </c>
      <c r="C89" s="3" t="s">
        <v>60</v>
      </c>
      <c r="D89" s="3" t="s">
        <v>25</v>
      </c>
      <c r="E89" s="3" t="s">
        <v>25</v>
      </c>
      <c r="F89" s="3" t="s">
        <v>25</v>
      </c>
      <c r="G89" s="3" t="s">
        <v>65</v>
      </c>
      <c r="H89" s="3" t="s">
        <v>25</v>
      </c>
      <c r="I89" s="6">
        <v>44621</v>
      </c>
      <c r="J89" s="4">
        <v>726</v>
      </c>
      <c r="K89" s="4">
        <v>363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3" t="s">
        <v>62</v>
      </c>
      <c r="R89" s="3">
        <v>30591</v>
      </c>
      <c r="S89" s="4">
        <v>16</v>
      </c>
      <c r="T89" s="4">
        <v>0</v>
      </c>
      <c r="U89" s="4">
        <v>0</v>
      </c>
      <c r="V89" s="4">
        <f>IF(ISERROR(VLOOKUP($S$89,'TAR FIN'!$A$1:$O$91,15,0)),0,VLOOKUP($S$89,'TAR FIN'!$A$1:$O$91,15,0))</f>
        <v>3.52</v>
      </c>
      <c r="W89" s="4">
        <f>IF(ISERROR(VLOOKUP($T$89,'TAR FIN'!$A$1:$O$91,15,0)),0,VLOOKUP($T$89,'TAR FIN'!$A$1:$O$91,15,0))</f>
        <v>0</v>
      </c>
      <c r="X89" s="4">
        <f>IF(ISERROR(VLOOKUP($U$89,'TAR FIN'!$A$1:$O$91,15,0)),0,VLOOKUP($U$89,'TAR FIN'!$A$1:$O$91,15,0))</f>
        <v>0</v>
      </c>
      <c r="Y89" s="4">
        <f ca="1">('TUSD BE'!$AM$12+'TUSD BF'!$AM$12+'TUSD CVA'!$AM$12)*1</f>
        <v>3.5546179029821179</v>
      </c>
      <c r="Z89" s="4"/>
      <c r="AA89" s="4"/>
      <c r="AB89" s="4">
        <f>$K$89*$V$89</f>
        <v>1277.76</v>
      </c>
      <c r="AC89" s="4">
        <f>$M$89*$W$89</f>
        <v>0</v>
      </c>
      <c r="AD89" s="4">
        <f>$O$89*$X$89</f>
        <v>0</v>
      </c>
      <c r="AE89" s="4">
        <f ca="1">$K$89*$Y$89</f>
        <v>1290.3262987825087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21</v>
      </c>
      <c r="B90" s="3" t="s">
        <v>35</v>
      </c>
      <c r="C90" s="3" t="s">
        <v>60</v>
      </c>
      <c r="D90" s="3" t="s">
        <v>25</v>
      </c>
      <c r="E90" s="3" t="s">
        <v>25</v>
      </c>
      <c r="F90" s="3" t="s">
        <v>25</v>
      </c>
      <c r="G90" s="3" t="s">
        <v>61</v>
      </c>
      <c r="H90" s="3" t="s">
        <v>25</v>
      </c>
      <c r="I90" s="6">
        <v>44652</v>
      </c>
      <c r="J90" s="4">
        <v>2500</v>
      </c>
      <c r="K90" s="4">
        <v>1250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3" t="s">
        <v>62</v>
      </c>
      <c r="R90" s="3">
        <v>29137</v>
      </c>
      <c r="S90" s="4">
        <v>16</v>
      </c>
      <c r="T90" s="4">
        <v>0</v>
      </c>
      <c r="U90" s="4">
        <v>0</v>
      </c>
      <c r="V90" s="4">
        <f>IF(ISERROR(VLOOKUP($S$90,'TAR FIN'!$A$1:$O$91,15,0)),0,VLOOKUP($S$90,'TAR FIN'!$A$1:$O$91,15,0))</f>
        <v>3.52</v>
      </c>
      <c r="W90" s="4">
        <f>IF(ISERROR(VLOOKUP($T$90,'TAR FIN'!$A$1:$O$91,15,0)),0,VLOOKUP($T$90,'TAR FIN'!$A$1:$O$91,15,0))</f>
        <v>0</v>
      </c>
      <c r="X90" s="4">
        <f>IF(ISERROR(VLOOKUP($U$90,'TAR FIN'!$A$1:$O$91,15,0)),0,VLOOKUP($U$90,'TAR FIN'!$A$1:$O$91,15,0))</f>
        <v>0</v>
      </c>
      <c r="Y90" s="4">
        <f ca="1">('TUSD BE'!$AM$12+'TUSD BF'!$AM$12+'TUSD CVA'!$AM$12)*1</f>
        <v>3.5546179029821179</v>
      </c>
      <c r="Z90" s="4"/>
      <c r="AA90" s="4"/>
      <c r="AB90" s="4">
        <f>$K$90*$V$90</f>
        <v>4400</v>
      </c>
      <c r="AC90" s="4">
        <f>$M$90*$W$90</f>
        <v>0</v>
      </c>
      <c r="AD90" s="4">
        <f>$O$90*$X$90</f>
        <v>0</v>
      </c>
      <c r="AE90" s="4">
        <f ca="1">$K$90*$Y$90</f>
        <v>4443.2723787276473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21</v>
      </c>
      <c r="B91" s="3" t="s">
        <v>35</v>
      </c>
      <c r="C91" s="3" t="s">
        <v>60</v>
      </c>
      <c r="D91" s="3" t="s">
        <v>25</v>
      </c>
      <c r="E91" s="3" t="s">
        <v>25</v>
      </c>
      <c r="F91" s="3" t="s">
        <v>25</v>
      </c>
      <c r="G91" s="3" t="s">
        <v>63</v>
      </c>
      <c r="H91" s="3" t="s">
        <v>25</v>
      </c>
      <c r="I91" s="6">
        <v>44652</v>
      </c>
      <c r="J91" s="4">
        <v>335</v>
      </c>
      <c r="K91" s="4">
        <v>167.5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3" t="s">
        <v>62</v>
      </c>
      <c r="S91" s="4">
        <v>16</v>
      </c>
      <c r="T91" s="4">
        <v>0</v>
      </c>
      <c r="U91" s="4">
        <v>0</v>
      </c>
      <c r="V91" s="4">
        <f>IF(ISERROR(VLOOKUP($S$91,'TAR FIN'!$A$1:$O$91,15,0)),0,VLOOKUP($S$91,'TAR FIN'!$A$1:$O$91,15,0))</f>
        <v>3.52</v>
      </c>
      <c r="W91" s="4">
        <f>IF(ISERROR(VLOOKUP($T$91,'TAR FIN'!$A$1:$O$91,15,0)),0,VLOOKUP($T$91,'TAR FIN'!$A$1:$O$91,15,0))</f>
        <v>0</v>
      </c>
      <c r="X91" s="4">
        <f>IF(ISERROR(VLOOKUP($U$91,'TAR FIN'!$A$1:$O$91,15,0)),0,VLOOKUP($U$91,'TAR FIN'!$A$1:$O$91,15,0))</f>
        <v>0</v>
      </c>
      <c r="Y91" s="4">
        <f ca="1">('TUSD BE'!$AM$12+'TUSD BF'!$AM$12+'TUSD CVA'!$AM$12)*1</f>
        <v>3.5546179029821179</v>
      </c>
      <c r="Z91" s="4"/>
      <c r="AA91" s="4"/>
      <c r="AB91" s="4">
        <f>$K$91*$V$91</f>
        <v>589.6</v>
      </c>
      <c r="AC91" s="4">
        <f>$M$91*$W$91</f>
        <v>0</v>
      </c>
      <c r="AD91" s="4">
        <f>$O$91*$X$91</f>
        <v>0</v>
      </c>
      <c r="AE91" s="4">
        <f ca="1">$K$91*$Y$91</f>
        <v>595.39849874950471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35</v>
      </c>
      <c r="C92" s="3" t="s">
        <v>60</v>
      </c>
      <c r="D92" s="3" t="s">
        <v>25</v>
      </c>
      <c r="E92" s="3" t="s">
        <v>25</v>
      </c>
      <c r="F92" s="3" t="s">
        <v>25</v>
      </c>
      <c r="G92" s="3" t="s">
        <v>64</v>
      </c>
      <c r="H92" s="3" t="s">
        <v>25</v>
      </c>
      <c r="I92" s="6">
        <v>44652</v>
      </c>
      <c r="J92" s="4">
        <v>1000</v>
      </c>
      <c r="K92" s="4">
        <v>500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 t="s">
        <v>62</v>
      </c>
      <c r="R92" s="3">
        <v>29425</v>
      </c>
      <c r="S92" s="4">
        <v>16</v>
      </c>
      <c r="T92" s="4">
        <v>0</v>
      </c>
      <c r="U92" s="4">
        <v>0</v>
      </c>
      <c r="V92" s="4">
        <f>IF(ISERROR(VLOOKUP($S$92,'TAR FIN'!$A$1:$O$91,15,0)),0,VLOOKUP($S$92,'TAR FIN'!$A$1:$O$91,15,0))</f>
        <v>3.52</v>
      </c>
      <c r="W92" s="4">
        <f>IF(ISERROR(VLOOKUP($T$92,'TAR FIN'!$A$1:$O$91,15,0)),0,VLOOKUP($T$92,'TAR FIN'!$A$1:$O$91,15,0))</f>
        <v>0</v>
      </c>
      <c r="X92" s="4">
        <f>IF(ISERROR(VLOOKUP($U$92,'TAR FIN'!$A$1:$O$91,15,0)),0,VLOOKUP($U$92,'TAR FIN'!$A$1:$O$91,15,0))</f>
        <v>0</v>
      </c>
      <c r="Y92" s="4">
        <f ca="1">('TUSD BE'!$AM$12+'TUSD BF'!$AM$12+'TUSD CVA'!$AM$12)*1</f>
        <v>3.5546179029821179</v>
      </c>
      <c r="Z92" s="4"/>
      <c r="AA92" s="4"/>
      <c r="AB92" s="4">
        <f>$K$92*$V$92</f>
        <v>1760</v>
      </c>
      <c r="AC92" s="4">
        <f>$M$92*$W$92</f>
        <v>0</v>
      </c>
      <c r="AD92" s="4">
        <f>$O$92*$X$92</f>
        <v>0</v>
      </c>
      <c r="AE92" s="4">
        <f ca="1">$K$92*$Y$92</f>
        <v>1777.3089514910589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21</v>
      </c>
      <c r="B93" s="3" t="s">
        <v>35</v>
      </c>
      <c r="C93" s="3" t="s">
        <v>60</v>
      </c>
      <c r="D93" s="3" t="s">
        <v>25</v>
      </c>
      <c r="E93" s="3" t="s">
        <v>25</v>
      </c>
      <c r="F93" s="3" t="s">
        <v>25</v>
      </c>
      <c r="G93" s="3" t="s">
        <v>65</v>
      </c>
      <c r="H93" s="3" t="s">
        <v>25</v>
      </c>
      <c r="I93" s="6">
        <v>44652</v>
      </c>
      <c r="J93" s="4">
        <v>663</v>
      </c>
      <c r="K93" s="4">
        <v>331.5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3" t="s">
        <v>62</v>
      </c>
      <c r="R93" s="3">
        <v>30591</v>
      </c>
      <c r="S93" s="4">
        <v>16</v>
      </c>
      <c r="T93" s="4">
        <v>0</v>
      </c>
      <c r="U93" s="4">
        <v>0</v>
      </c>
      <c r="V93" s="4">
        <f>IF(ISERROR(VLOOKUP($S$93,'TAR FIN'!$A$1:$O$91,15,0)),0,VLOOKUP($S$93,'TAR FIN'!$A$1:$O$91,15,0))</f>
        <v>3.52</v>
      </c>
      <c r="W93" s="4">
        <f>IF(ISERROR(VLOOKUP($T$93,'TAR FIN'!$A$1:$O$91,15,0)),0,VLOOKUP($T$93,'TAR FIN'!$A$1:$O$91,15,0))</f>
        <v>0</v>
      </c>
      <c r="X93" s="4">
        <f>IF(ISERROR(VLOOKUP($U$93,'TAR FIN'!$A$1:$O$91,15,0)),0,VLOOKUP($U$93,'TAR FIN'!$A$1:$O$91,15,0))</f>
        <v>0</v>
      </c>
      <c r="Y93" s="4">
        <f ca="1">('TUSD BE'!$AM$12+'TUSD BF'!$AM$12+'TUSD CVA'!$AM$12)*1</f>
        <v>3.5546179029821179</v>
      </c>
      <c r="Z93" s="4"/>
      <c r="AA93" s="4"/>
      <c r="AB93" s="4">
        <f>$K$93*$V$93</f>
        <v>1166.8800000000001</v>
      </c>
      <c r="AC93" s="4">
        <f>$M$93*$W$93</f>
        <v>0</v>
      </c>
      <c r="AD93" s="4">
        <f>$O$93*$X$93</f>
        <v>0</v>
      </c>
      <c r="AE93" s="4">
        <f ca="1">$K$93*$Y$93</f>
        <v>1178.355834838572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35</v>
      </c>
      <c r="C94" s="3" t="s">
        <v>60</v>
      </c>
      <c r="D94" s="3" t="s">
        <v>25</v>
      </c>
      <c r="E94" s="3" t="s">
        <v>25</v>
      </c>
      <c r="F94" s="3" t="s">
        <v>25</v>
      </c>
      <c r="G94" s="3" t="s">
        <v>61</v>
      </c>
      <c r="H94" s="3" t="s">
        <v>25</v>
      </c>
      <c r="I94" s="6">
        <v>44682</v>
      </c>
      <c r="J94" s="4">
        <v>2500</v>
      </c>
      <c r="K94" s="4">
        <v>1250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3" t="s">
        <v>62</v>
      </c>
      <c r="R94" s="3">
        <v>29137</v>
      </c>
      <c r="S94" s="4">
        <v>16</v>
      </c>
      <c r="T94" s="4">
        <v>0</v>
      </c>
      <c r="U94" s="4">
        <v>0</v>
      </c>
      <c r="V94" s="4">
        <f>IF(ISERROR(VLOOKUP($S$94,'TAR FIN'!$A$1:$O$91,15,0)),0,VLOOKUP($S$94,'TAR FIN'!$A$1:$O$91,15,0))</f>
        <v>3.52</v>
      </c>
      <c r="W94" s="4">
        <f>IF(ISERROR(VLOOKUP($T$94,'TAR FIN'!$A$1:$O$91,15,0)),0,VLOOKUP($T$94,'TAR FIN'!$A$1:$O$91,15,0))</f>
        <v>0</v>
      </c>
      <c r="X94" s="4">
        <f>IF(ISERROR(VLOOKUP($U$94,'TAR FIN'!$A$1:$O$91,15,0)),0,VLOOKUP($U$94,'TAR FIN'!$A$1:$O$91,15,0))</f>
        <v>0</v>
      </c>
      <c r="Y94" s="4">
        <f ca="1">('TUSD BE'!$AM$12+'TUSD BF'!$AM$12+'TUSD CVA'!$AM$12)*1</f>
        <v>3.5546179029821179</v>
      </c>
      <c r="Z94" s="4"/>
      <c r="AA94" s="4"/>
      <c r="AB94" s="4">
        <f>$K$94*$V$94</f>
        <v>4400</v>
      </c>
      <c r="AC94" s="4">
        <f>$M$94*$W$94</f>
        <v>0</v>
      </c>
      <c r="AD94" s="4">
        <f>$O$94*$X$94</f>
        <v>0</v>
      </c>
      <c r="AE94" s="4">
        <f ca="1">$K$94*$Y$94</f>
        <v>4443.2723787276473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35</v>
      </c>
      <c r="C95" s="3" t="s">
        <v>60</v>
      </c>
      <c r="D95" s="3" t="s">
        <v>25</v>
      </c>
      <c r="E95" s="3" t="s">
        <v>25</v>
      </c>
      <c r="F95" s="3" t="s">
        <v>25</v>
      </c>
      <c r="G95" s="3" t="s">
        <v>63</v>
      </c>
      <c r="H95" s="3" t="s">
        <v>25</v>
      </c>
      <c r="I95" s="6">
        <v>44682</v>
      </c>
      <c r="J95" s="4">
        <v>335</v>
      </c>
      <c r="K95" s="4">
        <v>167.5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3" t="s">
        <v>62</v>
      </c>
      <c r="S95" s="4">
        <v>16</v>
      </c>
      <c r="T95" s="4">
        <v>0</v>
      </c>
      <c r="U95" s="4">
        <v>0</v>
      </c>
      <c r="V95" s="4">
        <f>IF(ISERROR(VLOOKUP($S$95,'TAR FIN'!$A$1:$O$91,15,0)),0,VLOOKUP($S$95,'TAR FIN'!$A$1:$O$91,15,0))</f>
        <v>3.52</v>
      </c>
      <c r="W95" s="4">
        <f>IF(ISERROR(VLOOKUP($T$95,'TAR FIN'!$A$1:$O$91,15,0)),0,VLOOKUP($T$95,'TAR FIN'!$A$1:$O$91,15,0))</f>
        <v>0</v>
      </c>
      <c r="X95" s="4">
        <f>IF(ISERROR(VLOOKUP($U$95,'TAR FIN'!$A$1:$O$91,15,0)),0,VLOOKUP($U$95,'TAR FIN'!$A$1:$O$91,15,0))</f>
        <v>0</v>
      </c>
      <c r="Y95" s="4">
        <f ca="1">('TUSD BE'!$AM$12+'TUSD BF'!$AM$12+'TUSD CVA'!$AM$12)*1</f>
        <v>3.5546179029821179</v>
      </c>
      <c r="Z95" s="4"/>
      <c r="AA95" s="4"/>
      <c r="AB95" s="4">
        <f>$K$95*$V$95</f>
        <v>589.6</v>
      </c>
      <c r="AC95" s="4">
        <f>$M$95*$W$95</f>
        <v>0</v>
      </c>
      <c r="AD95" s="4">
        <f>$O$95*$X$95</f>
        <v>0</v>
      </c>
      <c r="AE95" s="4">
        <f ca="1">$K$95*$Y$95</f>
        <v>595.39849874950471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35</v>
      </c>
      <c r="C96" s="3" t="s">
        <v>60</v>
      </c>
      <c r="D96" s="3" t="s">
        <v>25</v>
      </c>
      <c r="E96" s="3" t="s">
        <v>25</v>
      </c>
      <c r="F96" s="3" t="s">
        <v>25</v>
      </c>
      <c r="G96" s="3" t="s">
        <v>64</v>
      </c>
      <c r="H96" s="3" t="s">
        <v>25</v>
      </c>
      <c r="I96" s="6">
        <v>44682</v>
      </c>
      <c r="J96" s="4">
        <v>1000</v>
      </c>
      <c r="K96" s="4">
        <v>500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3" t="s">
        <v>62</v>
      </c>
      <c r="R96" s="3">
        <v>29425</v>
      </c>
      <c r="S96" s="4">
        <v>16</v>
      </c>
      <c r="T96" s="4">
        <v>0</v>
      </c>
      <c r="U96" s="4">
        <v>0</v>
      </c>
      <c r="V96" s="4">
        <f>IF(ISERROR(VLOOKUP($S$96,'TAR FIN'!$A$1:$O$91,15,0)),0,VLOOKUP($S$96,'TAR FIN'!$A$1:$O$91,15,0))</f>
        <v>3.52</v>
      </c>
      <c r="W96" s="4">
        <f>IF(ISERROR(VLOOKUP($T$96,'TAR FIN'!$A$1:$O$91,15,0)),0,VLOOKUP($T$96,'TAR FIN'!$A$1:$O$91,15,0))</f>
        <v>0</v>
      </c>
      <c r="X96" s="4">
        <f>IF(ISERROR(VLOOKUP($U$96,'TAR FIN'!$A$1:$O$91,15,0)),0,VLOOKUP($U$96,'TAR FIN'!$A$1:$O$91,15,0))</f>
        <v>0</v>
      </c>
      <c r="Y96" s="4">
        <f ca="1">('TUSD BE'!$AM$12+'TUSD BF'!$AM$12+'TUSD CVA'!$AM$12)*1</f>
        <v>3.5546179029821179</v>
      </c>
      <c r="Z96" s="4"/>
      <c r="AA96" s="4"/>
      <c r="AB96" s="4">
        <f>$K$96*$V$96</f>
        <v>1760</v>
      </c>
      <c r="AC96" s="4">
        <f>$M$96*$W$96</f>
        <v>0</v>
      </c>
      <c r="AD96" s="4">
        <f>$O$96*$X$96</f>
        <v>0</v>
      </c>
      <c r="AE96" s="4">
        <f ca="1">$K$96*$Y$96</f>
        <v>1777.3089514910589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35</v>
      </c>
      <c r="C97" s="3" t="s">
        <v>60</v>
      </c>
      <c r="D97" s="3" t="s">
        <v>25</v>
      </c>
      <c r="E97" s="3" t="s">
        <v>25</v>
      </c>
      <c r="F97" s="3" t="s">
        <v>25</v>
      </c>
      <c r="G97" s="3" t="s">
        <v>65</v>
      </c>
      <c r="H97" s="3" t="s">
        <v>25</v>
      </c>
      <c r="I97" s="6">
        <v>44682</v>
      </c>
      <c r="J97" s="4">
        <v>480</v>
      </c>
      <c r="K97" s="4">
        <v>240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3" t="s">
        <v>62</v>
      </c>
      <c r="R97" s="3">
        <v>30591</v>
      </c>
      <c r="S97" s="4">
        <v>16</v>
      </c>
      <c r="T97" s="4">
        <v>0</v>
      </c>
      <c r="U97" s="4">
        <v>0</v>
      </c>
      <c r="V97" s="4">
        <f>IF(ISERROR(VLOOKUP($S$97,'TAR FIN'!$A$1:$O$91,15,0)),0,VLOOKUP($S$97,'TAR FIN'!$A$1:$O$91,15,0))</f>
        <v>3.52</v>
      </c>
      <c r="W97" s="4">
        <f>IF(ISERROR(VLOOKUP($T$97,'TAR FIN'!$A$1:$O$91,15,0)),0,VLOOKUP($T$97,'TAR FIN'!$A$1:$O$91,15,0))</f>
        <v>0</v>
      </c>
      <c r="X97" s="4">
        <f>IF(ISERROR(VLOOKUP($U$97,'TAR FIN'!$A$1:$O$91,15,0)),0,VLOOKUP($U$97,'TAR FIN'!$A$1:$O$91,15,0))</f>
        <v>0</v>
      </c>
      <c r="Y97" s="4">
        <f ca="1">('TUSD BE'!$AM$12+'TUSD BF'!$AM$12+'TUSD CVA'!$AM$12)*1</f>
        <v>3.5546179029821179</v>
      </c>
      <c r="Z97" s="4"/>
      <c r="AA97" s="4"/>
      <c r="AB97" s="4">
        <f>$K$97*$V$97</f>
        <v>844.8</v>
      </c>
      <c r="AC97" s="4">
        <f>$M$97*$W$97</f>
        <v>0</v>
      </c>
      <c r="AD97" s="4">
        <f>$O$97*$X$97</f>
        <v>0</v>
      </c>
      <c r="AE97" s="4">
        <f ca="1">$K$97*$Y$97</f>
        <v>853.10829671570832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21</v>
      </c>
      <c r="B98" s="3" t="s">
        <v>35</v>
      </c>
      <c r="C98" s="3" t="s">
        <v>60</v>
      </c>
      <c r="D98" s="3" t="s">
        <v>25</v>
      </c>
      <c r="E98" s="3" t="s">
        <v>25</v>
      </c>
      <c r="F98" s="3" t="s">
        <v>25</v>
      </c>
      <c r="G98" s="3" t="s">
        <v>61</v>
      </c>
      <c r="H98" s="3" t="s">
        <v>25</v>
      </c>
      <c r="I98" s="6">
        <v>44713</v>
      </c>
      <c r="J98" s="4">
        <v>2500</v>
      </c>
      <c r="K98" s="4">
        <v>1250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3" t="s">
        <v>62</v>
      </c>
      <c r="R98" s="3">
        <v>29137</v>
      </c>
      <c r="S98" s="4">
        <v>16</v>
      </c>
      <c r="T98" s="4">
        <v>0</v>
      </c>
      <c r="U98" s="4">
        <v>0</v>
      </c>
      <c r="V98" s="4">
        <f>IF(ISERROR(VLOOKUP($S$98,'TAR FIN'!$A$1:$O$91,15,0)),0,VLOOKUP($S$98,'TAR FIN'!$A$1:$O$91,15,0))</f>
        <v>3.52</v>
      </c>
      <c r="W98" s="4">
        <f>IF(ISERROR(VLOOKUP($T$98,'TAR FIN'!$A$1:$O$91,15,0)),0,VLOOKUP($T$98,'TAR FIN'!$A$1:$O$91,15,0))</f>
        <v>0</v>
      </c>
      <c r="X98" s="4">
        <f>IF(ISERROR(VLOOKUP($U$98,'TAR FIN'!$A$1:$O$91,15,0)),0,VLOOKUP($U$98,'TAR FIN'!$A$1:$O$91,15,0))</f>
        <v>0</v>
      </c>
      <c r="Y98" s="4">
        <f ca="1">('TUSD BE'!$AM$12+'TUSD BF'!$AM$12+'TUSD CVA'!$AM$12)*1</f>
        <v>3.5546179029821179</v>
      </c>
      <c r="Z98" s="4"/>
      <c r="AA98" s="4"/>
      <c r="AB98" s="4">
        <f>$K$98*$V$98</f>
        <v>4400</v>
      </c>
      <c r="AC98" s="4">
        <f>$M$98*$W$98</f>
        <v>0</v>
      </c>
      <c r="AD98" s="4">
        <f>$O$98*$X$98</f>
        <v>0</v>
      </c>
      <c r="AE98" s="4">
        <f ca="1">$K$98*$Y$98</f>
        <v>4443.2723787276473</v>
      </c>
      <c r="AF98" s="4">
        <f>$M$98*$Z$98</f>
        <v>0</v>
      </c>
      <c r="AG98" s="4">
        <f>$O$98*$AA$98</f>
        <v>0</v>
      </c>
    </row>
    <row r="99" spans="1:33" ht="11.25" customHeight="1" x14ac:dyDescent="0.25">
      <c r="A99" s="3" t="s">
        <v>21</v>
      </c>
      <c r="B99" s="3" t="s">
        <v>35</v>
      </c>
      <c r="C99" s="3" t="s">
        <v>60</v>
      </c>
      <c r="D99" s="3" t="s">
        <v>25</v>
      </c>
      <c r="E99" s="3" t="s">
        <v>25</v>
      </c>
      <c r="F99" s="3" t="s">
        <v>25</v>
      </c>
      <c r="G99" s="3" t="s">
        <v>63</v>
      </c>
      <c r="H99" s="3" t="s">
        <v>25</v>
      </c>
      <c r="I99" s="6">
        <v>44713</v>
      </c>
      <c r="J99" s="4">
        <v>335</v>
      </c>
      <c r="K99" s="4">
        <v>167.5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3" t="s">
        <v>62</v>
      </c>
      <c r="S99" s="4">
        <v>16</v>
      </c>
      <c r="T99" s="4">
        <v>0</v>
      </c>
      <c r="U99" s="4">
        <v>0</v>
      </c>
      <c r="V99" s="4">
        <f>IF(ISERROR(VLOOKUP($S$99,'TAR FIN'!$A$1:$O$91,15,0)),0,VLOOKUP($S$99,'TAR FIN'!$A$1:$O$91,15,0))</f>
        <v>3.52</v>
      </c>
      <c r="W99" s="4">
        <f>IF(ISERROR(VLOOKUP($T$99,'TAR FIN'!$A$1:$O$91,15,0)),0,VLOOKUP($T$99,'TAR FIN'!$A$1:$O$91,15,0))</f>
        <v>0</v>
      </c>
      <c r="X99" s="4">
        <f>IF(ISERROR(VLOOKUP($U$99,'TAR FIN'!$A$1:$O$91,15,0)),0,VLOOKUP($U$99,'TAR FIN'!$A$1:$O$91,15,0))</f>
        <v>0</v>
      </c>
      <c r="Y99" s="4">
        <f ca="1">('TUSD BE'!$AM$12+'TUSD BF'!$AM$12+'TUSD CVA'!$AM$12)*1</f>
        <v>3.5546179029821179</v>
      </c>
      <c r="Z99" s="4"/>
      <c r="AA99" s="4"/>
      <c r="AB99" s="4">
        <f>$K$99*$V$99</f>
        <v>589.6</v>
      </c>
      <c r="AC99" s="4">
        <f>$M$99*$W$99</f>
        <v>0</v>
      </c>
      <c r="AD99" s="4">
        <f>$O$99*$X$99</f>
        <v>0</v>
      </c>
      <c r="AE99" s="4">
        <f ca="1">$K$99*$Y$99</f>
        <v>595.39849874950471</v>
      </c>
      <c r="AF99" s="4">
        <f>$M$99*$Z$99</f>
        <v>0</v>
      </c>
      <c r="AG99" s="4">
        <f>$O$99*$AA$99</f>
        <v>0</v>
      </c>
    </row>
    <row r="100" spans="1:33" ht="11.25" customHeight="1" x14ac:dyDescent="0.25">
      <c r="A100" s="3" t="s">
        <v>21</v>
      </c>
      <c r="B100" s="3" t="s">
        <v>35</v>
      </c>
      <c r="C100" s="3" t="s">
        <v>60</v>
      </c>
      <c r="D100" s="3" t="s">
        <v>25</v>
      </c>
      <c r="E100" s="3" t="s">
        <v>25</v>
      </c>
      <c r="F100" s="3" t="s">
        <v>25</v>
      </c>
      <c r="G100" s="3" t="s">
        <v>64</v>
      </c>
      <c r="H100" s="3" t="s">
        <v>25</v>
      </c>
      <c r="I100" s="6">
        <v>44713</v>
      </c>
      <c r="J100" s="4">
        <v>1000</v>
      </c>
      <c r="K100" s="4">
        <v>500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 t="s">
        <v>62</v>
      </c>
      <c r="R100" s="3">
        <v>29425</v>
      </c>
      <c r="S100" s="4">
        <v>16</v>
      </c>
      <c r="T100" s="4">
        <v>0</v>
      </c>
      <c r="U100" s="4">
        <v>0</v>
      </c>
      <c r="V100" s="4">
        <f>IF(ISERROR(VLOOKUP($S$100,'TAR FIN'!$A$1:$O$91,15,0)),0,VLOOKUP($S$100,'TAR FIN'!$A$1:$O$91,15,0))</f>
        <v>3.52</v>
      </c>
      <c r="W100" s="4">
        <f>IF(ISERROR(VLOOKUP($T$100,'TAR FIN'!$A$1:$O$91,15,0)),0,VLOOKUP($T$100,'TAR FIN'!$A$1:$O$91,15,0))</f>
        <v>0</v>
      </c>
      <c r="X100" s="4">
        <f>IF(ISERROR(VLOOKUP($U$100,'TAR FIN'!$A$1:$O$91,15,0)),0,VLOOKUP($U$100,'TAR FIN'!$A$1:$O$91,15,0))</f>
        <v>0</v>
      </c>
      <c r="Y100" s="4">
        <f ca="1">('TUSD BE'!$AM$12+'TUSD BF'!$AM$12+'TUSD CVA'!$AM$12)*1</f>
        <v>3.5546179029821179</v>
      </c>
      <c r="Z100" s="4"/>
      <c r="AA100" s="4"/>
      <c r="AB100" s="4">
        <f>$K$100*$V$100</f>
        <v>1760</v>
      </c>
      <c r="AC100" s="4">
        <f>$M$100*$W$100</f>
        <v>0</v>
      </c>
      <c r="AD100" s="4">
        <f>$O$100*$X$100</f>
        <v>0</v>
      </c>
      <c r="AE100" s="4">
        <f ca="1">$K$100*$Y$100</f>
        <v>1777.3089514910589</v>
      </c>
      <c r="AF100" s="4">
        <f>$M$100*$Z$100</f>
        <v>0</v>
      </c>
      <c r="AG100" s="4">
        <f>$O$100*$AA$100</f>
        <v>0</v>
      </c>
    </row>
    <row r="101" spans="1:33" ht="11.25" customHeight="1" x14ac:dyDescent="0.25">
      <c r="A101" s="3" t="s">
        <v>21</v>
      </c>
      <c r="B101" s="3" t="s">
        <v>35</v>
      </c>
      <c r="C101" s="3" t="s">
        <v>60</v>
      </c>
      <c r="D101" s="3" t="s">
        <v>25</v>
      </c>
      <c r="E101" s="3" t="s">
        <v>25</v>
      </c>
      <c r="F101" s="3" t="s">
        <v>25</v>
      </c>
      <c r="G101" s="3" t="s">
        <v>65</v>
      </c>
      <c r="H101" s="3" t="s">
        <v>25</v>
      </c>
      <c r="I101" s="6">
        <v>44713</v>
      </c>
      <c r="J101" s="4">
        <v>509</v>
      </c>
      <c r="K101" s="4">
        <v>254.5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3" t="s">
        <v>62</v>
      </c>
      <c r="R101" s="3">
        <v>30591</v>
      </c>
      <c r="S101" s="4">
        <v>16</v>
      </c>
      <c r="T101" s="4">
        <v>0</v>
      </c>
      <c r="U101" s="4">
        <v>0</v>
      </c>
      <c r="V101" s="4">
        <f>IF(ISERROR(VLOOKUP($S$101,'TAR FIN'!$A$1:$O$91,15,0)),0,VLOOKUP($S$101,'TAR FIN'!$A$1:$O$91,15,0))</f>
        <v>3.52</v>
      </c>
      <c r="W101" s="4">
        <f>IF(ISERROR(VLOOKUP($T$101,'TAR FIN'!$A$1:$O$91,15,0)),0,VLOOKUP($T$101,'TAR FIN'!$A$1:$O$91,15,0))</f>
        <v>0</v>
      </c>
      <c r="X101" s="4">
        <f>IF(ISERROR(VLOOKUP($U$101,'TAR FIN'!$A$1:$O$91,15,0)),0,VLOOKUP($U$101,'TAR FIN'!$A$1:$O$91,15,0))</f>
        <v>0</v>
      </c>
      <c r="Y101" s="4">
        <f ca="1">('TUSD BE'!$AM$12+'TUSD BF'!$AM$12+'TUSD CVA'!$AM$12)*1</f>
        <v>3.5546179029821179</v>
      </c>
      <c r="Z101" s="4"/>
      <c r="AA101" s="4"/>
      <c r="AB101" s="4">
        <f>$K$101*$V$101</f>
        <v>895.84</v>
      </c>
      <c r="AC101" s="4">
        <f>$M$101*$W$101</f>
        <v>0</v>
      </c>
      <c r="AD101" s="4">
        <f>$O$101*$X$101</f>
        <v>0</v>
      </c>
      <c r="AE101" s="4">
        <f ca="1">$K$101*$Y$101</f>
        <v>904.650256308949</v>
      </c>
      <c r="AF101" s="4">
        <f>$M$101*$Z$101</f>
        <v>0</v>
      </c>
      <c r="AG101" s="4">
        <f>$O$101*$AA$101</f>
        <v>0</v>
      </c>
    </row>
    <row r="102" spans="1:33" ht="11.25" customHeight="1" x14ac:dyDescent="0.25">
      <c r="A102" s="3" t="s">
        <v>21</v>
      </c>
      <c r="B102" s="3" t="s">
        <v>35</v>
      </c>
      <c r="C102" s="3" t="s">
        <v>60</v>
      </c>
      <c r="D102" s="3" t="s">
        <v>25</v>
      </c>
      <c r="E102" s="3" t="s">
        <v>25</v>
      </c>
      <c r="F102" s="3" t="s">
        <v>25</v>
      </c>
      <c r="G102" s="3" t="s">
        <v>61</v>
      </c>
      <c r="H102" s="3" t="s">
        <v>25</v>
      </c>
      <c r="I102" s="6">
        <v>44743</v>
      </c>
      <c r="J102" s="4">
        <v>2500</v>
      </c>
      <c r="K102" s="4">
        <v>1250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3" t="s">
        <v>62</v>
      </c>
      <c r="R102" s="3">
        <v>29137</v>
      </c>
      <c r="S102" s="4">
        <v>16</v>
      </c>
      <c r="T102" s="4">
        <v>0</v>
      </c>
      <c r="U102" s="4">
        <v>0</v>
      </c>
      <c r="V102" s="4">
        <f>IF(ISERROR(VLOOKUP($S$102,'TAR FIN'!$A$1:$O$91,15,0)),0,VLOOKUP($S$102,'TAR FIN'!$A$1:$O$91,15,0))</f>
        <v>3.52</v>
      </c>
      <c r="W102" s="4">
        <f>IF(ISERROR(VLOOKUP($T$102,'TAR FIN'!$A$1:$O$91,15,0)),0,VLOOKUP($T$102,'TAR FIN'!$A$1:$O$91,15,0))</f>
        <v>0</v>
      </c>
      <c r="X102" s="4">
        <f>IF(ISERROR(VLOOKUP($U$102,'TAR FIN'!$A$1:$O$91,15,0)),0,VLOOKUP($U$102,'TAR FIN'!$A$1:$O$91,15,0))</f>
        <v>0</v>
      </c>
      <c r="Y102" s="4">
        <f ca="1">('TUSD BE'!$AM$12+'TUSD BF'!$AM$12+'TUSD CVA'!$AM$12)*1</f>
        <v>3.5546179029821179</v>
      </c>
      <c r="Z102" s="4"/>
      <c r="AA102" s="4"/>
      <c r="AB102" s="4">
        <f>$K$102*$V$102</f>
        <v>4400</v>
      </c>
      <c r="AC102" s="4">
        <f>$M$102*$W$102</f>
        <v>0</v>
      </c>
      <c r="AD102" s="4">
        <f>$O$102*$X$102</f>
        <v>0</v>
      </c>
      <c r="AE102" s="4">
        <f ca="1">$K$102*$Y$102</f>
        <v>4443.2723787276473</v>
      </c>
      <c r="AF102" s="4">
        <f>$M$102*$Z$102</f>
        <v>0</v>
      </c>
      <c r="AG102" s="4">
        <f>$O$102*$AA$102</f>
        <v>0</v>
      </c>
    </row>
    <row r="103" spans="1:33" ht="11.25" customHeight="1" x14ac:dyDescent="0.25">
      <c r="A103" s="3" t="s">
        <v>21</v>
      </c>
      <c r="B103" s="3" t="s">
        <v>35</v>
      </c>
      <c r="C103" s="3" t="s">
        <v>60</v>
      </c>
      <c r="D103" s="3" t="s">
        <v>25</v>
      </c>
      <c r="E103" s="3" t="s">
        <v>25</v>
      </c>
      <c r="F103" s="3" t="s">
        <v>25</v>
      </c>
      <c r="G103" s="3" t="s">
        <v>63</v>
      </c>
      <c r="H103" s="3" t="s">
        <v>25</v>
      </c>
      <c r="I103" s="6">
        <v>44743</v>
      </c>
      <c r="J103" s="4">
        <v>335</v>
      </c>
      <c r="K103" s="4">
        <v>167.5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 t="s">
        <v>62</v>
      </c>
      <c r="S103" s="4">
        <v>16</v>
      </c>
      <c r="T103" s="4">
        <v>0</v>
      </c>
      <c r="U103" s="4">
        <v>0</v>
      </c>
      <c r="V103" s="4">
        <f>IF(ISERROR(VLOOKUP($S$103,'TAR FIN'!$A$1:$O$91,15,0)),0,VLOOKUP($S$103,'TAR FIN'!$A$1:$O$91,15,0))</f>
        <v>3.52</v>
      </c>
      <c r="W103" s="4">
        <f>IF(ISERROR(VLOOKUP($T$103,'TAR FIN'!$A$1:$O$91,15,0)),0,VLOOKUP($T$103,'TAR FIN'!$A$1:$O$91,15,0))</f>
        <v>0</v>
      </c>
      <c r="X103" s="4">
        <f>IF(ISERROR(VLOOKUP($U$103,'TAR FIN'!$A$1:$O$91,15,0)),0,VLOOKUP($U$103,'TAR FIN'!$A$1:$O$91,15,0))</f>
        <v>0</v>
      </c>
      <c r="Y103" s="4">
        <f ca="1">('TUSD BE'!$AM$12+'TUSD BF'!$AM$12+'TUSD CVA'!$AM$12)*1</f>
        <v>3.5546179029821179</v>
      </c>
      <c r="Z103" s="4"/>
      <c r="AA103" s="4"/>
      <c r="AB103" s="4">
        <f>$K$103*$V$103</f>
        <v>589.6</v>
      </c>
      <c r="AC103" s="4">
        <f>$M$103*$W$103</f>
        <v>0</v>
      </c>
      <c r="AD103" s="4">
        <f>$O$103*$X$103</f>
        <v>0</v>
      </c>
      <c r="AE103" s="4">
        <f ca="1">$K$103*$Y$103</f>
        <v>595.39849874950471</v>
      </c>
      <c r="AF103" s="4">
        <f>$M$103*$Z$103</f>
        <v>0</v>
      </c>
      <c r="AG103" s="4">
        <f>$O$103*$AA$103</f>
        <v>0</v>
      </c>
    </row>
    <row r="104" spans="1:33" ht="11.25" customHeight="1" x14ac:dyDescent="0.25">
      <c r="A104" s="3" t="s">
        <v>21</v>
      </c>
      <c r="B104" s="3" t="s">
        <v>35</v>
      </c>
      <c r="C104" s="3" t="s">
        <v>60</v>
      </c>
      <c r="D104" s="3" t="s">
        <v>25</v>
      </c>
      <c r="E104" s="3" t="s">
        <v>25</v>
      </c>
      <c r="F104" s="3" t="s">
        <v>25</v>
      </c>
      <c r="G104" s="3" t="s">
        <v>64</v>
      </c>
      <c r="H104" s="3" t="s">
        <v>25</v>
      </c>
      <c r="I104" s="6">
        <v>44743</v>
      </c>
      <c r="J104" s="4">
        <v>1000</v>
      </c>
      <c r="K104" s="4">
        <v>500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3" t="s">
        <v>62</v>
      </c>
      <c r="R104" s="3">
        <v>29425</v>
      </c>
      <c r="S104" s="4">
        <v>16</v>
      </c>
      <c r="T104" s="4">
        <v>0</v>
      </c>
      <c r="U104" s="4">
        <v>0</v>
      </c>
      <c r="V104" s="4">
        <f>IF(ISERROR(VLOOKUP($S$104,'TAR FIN'!$A$1:$O$91,15,0)),0,VLOOKUP($S$104,'TAR FIN'!$A$1:$O$91,15,0))</f>
        <v>3.52</v>
      </c>
      <c r="W104" s="4">
        <f>IF(ISERROR(VLOOKUP($T$104,'TAR FIN'!$A$1:$O$91,15,0)),0,VLOOKUP($T$104,'TAR FIN'!$A$1:$O$91,15,0))</f>
        <v>0</v>
      </c>
      <c r="X104" s="4">
        <f>IF(ISERROR(VLOOKUP($U$104,'TAR FIN'!$A$1:$O$91,15,0)),0,VLOOKUP($U$104,'TAR FIN'!$A$1:$O$91,15,0))</f>
        <v>0</v>
      </c>
      <c r="Y104" s="4">
        <f ca="1">('TUSD BE'!$AM$12+'TUSD BF'!$AM$12+'TUSD CVA'!$AM$12)*1</f>
        <v>3.5546179029821179</v>
      </c>
      <c r="Z104" s="4"/>
      <c r="AA104" s="4"/>
      <c r="AB104" s="4">
        <f>$K$104*$V$104</f>
        <v>1760</v>
      </c>
      <c r="AC104" s="4">
        <f>$M$104*$W$104</f>
        <v>0</v>
      </c>
      <c r="AD104" s="4">
        <f>$O$104*$X$104</f>
        <v>0</v>
      </c>
      <c r="AE104" s="4">
        <f ca="1">$K$104*$Y$104</f>
        <v>1777.3089514910589</v>
      </c>
      <c r="AF104" s="4">
        <f>$M$104*$Z$104</f>
        <v>0</v>
      </c>
      <c r="AG104" s="4">
        <f>$O$104*$AA$104</f>
        <v>0</v>
      </c>
    </row>
    <row r="105" spans="1:33" ht="11.25" customHeight="1" x14ac:dyDescent="0.25">
      <c r="A105" s="3" t="s">
        <v>21</v>
      </c>
      <c r="B105" s="3" t="s">
        <v>35</v>
      </c>
      <c r="C105" s="3" t="s">
        <v>60</v>
      </c>
      <c r="D105" s="3" t="s">
        <v>25</v>
      </c>
      <c r="E105" s="3" t="s">
        <v>25</v>
      </c>
      <c r="F105" s="3" t="s">
        <v>25</v>
      </c>
      <c r="G105" s="3" t="s">
        <v>65</v>
      </c>
      <c r="H105" s="3" t="s">
        <v>25</v>
      </c>
      <c r="I105" s="6">
        <v>44743</v>
      </c>
      <c r="J105" s="4">
        <v>643</v>
      </c>
      <c r="K105" s="4">
        <v>321.5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3" t="s">
        <v>62</v>
      </c>
      <c r="R105" s="3">
        <v>30591</v>
      </c>
      <c r="S105" s="4">
        <v>16</v>
      </c>
      <c r="T105" s="4">
        <v>0</v>
      </c>
      <c r="U105" s="4">
        <v>0</v>
      </c>
      <c r="V105" s="4">
        <f>IF(ISERROR(VLOOKUP($S$105,'TAR FIN'!$A$1:$O$91,15,0)),0,VLOOKUP($S$105,'TAR FIN'!$A$1:$O$91,15,0))</f>
        <v>3.52</v>
      </c>
      <c r="W105" s="4">
        <f>IF(ISERROR(VLOOKUP($T$105,'TAR FIN'!$A$1:$O$91,15,0)),0,VLOOKUP($T$105,'TAR FIN'!$A$1:$O$91,15,0))</f>
        <v>0</v>
      </c>
      <c r="X105" s="4">
        <f>IF(ISERROR(VLOOKUP($U$105,'TAR FIN'!$A$1:$O$91,15,0)),0,VLOOKUP($U$105,'TAR FIN'!$A$1:$O$91,15,0))</f>
        <v>0</v>
      </c>
      <c r="Y105" s="4">
        <f ca="1">('TUSD BE'!$AM$12+'TUSD BF'!$AM$12+'TUSD CVA'!$AM$12)*1</f>
        <v>3.5546179029821179</v>
      </c>
      <c r="Z105" s="4"/>
      <c r="AA105" s="4"/>
      <c r="AB105" s="4">
        <f>$K$105*$V$105</f>
        <v>1131.68</v>
      </c>
      <c r="AC105" s="4">
        <f>$M$105*$W$105</f>
        <v>0</v>
      </c>
      <c r="AD105" s="4">
        <f>$O$105*$X$105</f>
        <v>0</v>
      </c>
      <c r="AE105" s="4">
        <f ca="1">$K$105*$Y$105</f>
        <v>1142.8096558087509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21</v>
      </c>
      <c r="B106" s="3" t="s">
        <v>35</v>
      </c>
      <c r="C106" s="3" t="s">
        <v>60</v>
      </c>
      <c r="D106" s="3" t="s">
        <v>25</v>
      </c>
      <c r="E106" s="3" t="s">
        <v>25</v>
      </c>
      <c r="F106" s="3" t="s">
        <v>25</v>
      </c>
      <c r="G106" s="3" t="s">
        <v>61</v>
      </c>
      <c r="H106" s="3" t="s">
        <v>25</v>
      </c>
      <c r="I106" s="6">
        <v>44774</v>
      </c>
      <c r="J106" s="4">
        <v>2500</v>
      </c>
      <c r="K106" s="4">
        <v>1250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 t="s">
        <v>62</v>
      </c>
      <c r="R106" s="3">
        <v>29137</v>
      </c>
      <c r="S106" s="4">
        <v>16</v>
      </c>
      <c r="T106" s="4">
        <v>0</v>
      </c>
      <c r="U106" s="4">
        <v>0</v>
      </c>
      <c r="V106" s="4">
        <f>IF(ISERROR(VLOOKUP($S$106,'TAR FIN'!$A$1:$O$91,15,0)),0,VLOOKUP($S$106,'TAR FIN'!$A$1:$O$91,15,0))</f>
        <v>3.52</v>
      </c>
      <c r="W106" s="4">
        <f>IF(ISERROR(VLOOKUP($T$106,'TAR FIN'!$A$1:$O$91,15,0)),0,VLOOKUP($T$106,'TAR FIN'!$A$1:$O$91,15,0))</f>
        <v>0</v>
      </c>
      <c r="X106" s="4">
        <f>IF(ISERROR(VLOOKUP($U$106,'TAR FIN'!$A$1:$O$91,15,0)),0,VLOOKUP($U$106,'TAR FIN'!$A$1:$O$91,15,0))</f>
        <v>0</v>
      </c>
      <c r="Y106" s="4">
        <f ca="1">('TUSD BE'!$AM$12+'TUSD BF'!$AM$12+'TUSD CVA'!$AM$12)*1</f>
        <v>3.5546179029821179</v>
      </c>
      <c r="Z106" s="4"/>
      <c r="AA106" s="4"/>
      <c r="AB106" s="4">
        <f>$K$106*$V$106</f>
        <v>4400</v>
      </c>
      <c r="AC106" s="4">
        <f>$M$106*$W$106</f>
        <v>0</v>
      </c>
      <c r="AD106" s="4">
        <f>$O$106*$X$106</f>
        <v>0</v>
      </c>
      <c r="AE106" s="4">
        <f ca="1">$K$106*$Y$106</f>
        <v>4443.2723787276473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21</v>
      </c>
      <c r="B107" s="3" t="s">
        <v>35</v>
      </c>
      <c r="C107" s="3" t="s">
        <v>60</v>
      </c>
      <c r="D107" s="3" t="s">
        <v>25</v>
      </c>
      <c r="E107" s="3" t="s">
        <v>25</v>
      </c>
      <c r="F107" s="3" t="s">
        <v>25</v>
      </c>
      <c r="G107" s="3" t="s">
        <v>63</v>
      </c>
      <c r="H107" s="3" t="s">
        <v>25</v>
      </c>
      <c r="I107" s="6">
        <v>44774</v>
      </c>
      <c r="J107" s="4">
        <v>335</v>
      </c>
      <c r="K107" s="4">
        <v>167.5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3" t="s">
        <v>62</v>
      </c>
      <c r="S107" s="4">
        <v>16</v>
      </c>
      <c r="T107" s="4">
        <v>0</v>
      </c>
      <c r="U107" s="4">
        <v>0</v>
      </c>
      <c r="V107" s="4">
        <f>IF(ISERROR(VLOOKUP($S$107,'TAR FIN'!$A$1:$O$91,15,0)),0,VLOOKUP($S$107,'TAR FIN'!$A$1:$O$91,15,0))</f>
        <v>3.52</v>
      </c>
      <c r="W107" s="4">
        <f>IF(ISERROR(VLOOKUP($T$107,'TAR FIN'!$A$1:$O$91,15,0)),0,VLOOKUP($T$107,'TAR FIN'!$A$1:$O$91,15,0))</f>
        <v>0</v>
      </c>
      <c r="X107" s="4">
        <f>IF(ISERROR(VLOOKUP($U$107,'TAR FIN'!$A$1:$O$91,15,0)),0,VLOOKUP($U$107,'TAR FIN'!$A$1:$O$91,15,0))</f>
        <v>0</v>
      </c>
      <c r="Y107" s="4">
        <f ca="1">('TUSD BE'!$AM$12+'TUSD BF'!$AM$12+'TUSD CVA'!$AM$12)*1</f>
        <v>3.5546179029821179</v>
      </c>
      <c r="Z107" s="4"/>
      <c r="AA107" s="4"/>
      <c r="AB107" s="4">
        <f>$K$107*$V$107</f>
        <v>589.6</v>
      </c>
      <c r="AC107" s="4">
        <f>$M$107*$W$107</f>
        <v>0</v>
      </c>
      <c r="AD107" s="4">
        <f>$O$107*$X$107</f>
        <v>0</v>
      </c>
      <c r="AE107" s="4">
        <f ca="1">$K$107*$Y$107</f>
        <v>595.39849874950471</v>
      </c>
      <c r="AF107" s="4">
        <f>$M$107*$Z$107</f>
        <v>0</v>
      </c>
      <c r="AG107" s="4">
        <f>$O$107*$AA$107</f>
        <v>0</v>
      </c>
    </row>
    <row r="108" spans="1:33" ht="11.25" customHeight="1" x14ac:dyDescent="0.25">
      <c r="A108" s="3" t="s">
        <v>21</v>
      </c>
      <c r="B108" s="3" t="s">
        <v>35</v>
      </c>
      <c r="C108" s="3" t="s">
        <v>60</v>
      </c>
      <c r="D108" s="3" t="s">
        <v>25</v>
      </c>
      <c r="E108" s="3" t="s">
        <v>25</v>
      </c>
      <c r="F108" s="3" t="s">
        <v>25</v>
      </c>
      <c r="G108" s="3" t="s">
        <v>64</v>
      </c>
      <c r="H108" s="3" t="s">
        <v>25</v>
      </c>
      <c r="I108" s="6">
        <v>44774</v>
      </c>
      <c r="J108" s="4">
        <v>1000</v>
      </c>
      <c r="K108" s="4">
        <v>500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3" t="s">
        <v>62</v>
      </c>
      <c r="R108" s="3">
        <v>29425</v>
      </c>
      <c r="S108" s="4">
        <v>16</v>
      </c>
      <c r="T108" s="4">
        <v>0</v>
      </c>
      <c r="U108" s="4">
        <v>0</v>
      </c>
      <c r="V108" s="4">
        <f>IF(ISERROR(VLOOKUP($S$108,'TAR FIN'!$A$1:$O$91,15,0)),0,VLOOKUP($S$108,'TAR FIN'!$A$1:$O$91,15,0))</f>
        <v>3.52</v>
      </c>
      <c r="W108" s="4">
        <f>IF(ISERROR(VLOOKUP($T$108,'TAR FIN'!$A$1:$O$91,15,0)),0,VLOOKUP($T$108,'TAR FIN'!$A$1:$O$91,15,0))</f>
        <v>0</v>
      </c>
      <c r="X108" s="4">
        <f>IF(ISERROR(VLOOKUP($U$108,'TAR FIN'!$A$1:$O$91,15,0)),0,VLOOKUP($U$108,'TAR FIN'!$A$1:$O$91,15,0))</f>
        <v>0</v>
      </c>
      <c r="Y108" s="4">
        <f ca="1">('TUSD BE'!$AM$12+'TUSD BF'!$AM$12+'TUSD CVA'!$AM$12)*1</f>
        <v>3.5546179029821179</v>
      </c>
      <c r="Z108" s="4"/>
      <c r="AA108" s="4"/>
      <c r="AB108" s="4">
        <f>$K$108*$V$108</f>
        <v>1760</v>
      </c>
      <c r="AC108" s="4">
        <f>$M$108*$W$108</f>
        <v>0</v>
      </c>
      <c r="AD108" s="4">
        <f>$O$108*$X$108</f>
        <v>0</v>
      </c>
      <c r="AE108" s="4">
        <f ca="1">$K$108*$Y$108</f>
        <v>1777.3089514910589</v>
      </c>
      <c r="AF108" s="4">
        <f>$M$108*$Z$108</f>
        <v>0</v>
      </c>
      <c r="AG108" s="4">
        <f>$O$108*$AA$108</f>
        <v>0</v>
      </c>
    </row>
    <row r="109" spans="1:33" ht="11.25" customHeight="1" x14ac:dyDescent="0.25">
      <c r="A109" s="3" t="s">
        <v>21</v>
      </c>
      <c r="B109" s="3" t="s">
        <v>35</v>
      </c>
      <c r="C109" s="3" t="s">
        <v>60</v>
      </c>
      <c r="D109" s="3" t="s">
        <v>25</v>
      </c>
      <c r="E109" s="3" t="s">
        <v>25</v>
      </c>
      <c r="F109" s="3" t="s">
        <v>25</v>
      </c>
      <c r="G109" s="3" t="s">
        <v>65</v>
      </c>
      <c r="H109" s="3" t="s">
        <v>25</v>
      </c>
      <c r="I109" s="6">
        <v>44774</v>
      </c>
      <c r="J109" s="4">
        <v>605</v>
      </c>
      <c r="K109" s="4">
        <v>302.5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3" t="s">
        <v>62</v>
      </c>
      <c r="R109" s="3">
        <v>30591</v>
      </c>
      <c r="S109" s="4">
        <v>16</v>
      </c>
      <c r="T109" s="4">
        <v>0</v>
      </c>
      <c r="U109" s="4">
        <v>0</v>
      </c>
      <c r="V109" s="4">
        <f>IF(ISERROR(VLOOKUP($S$109,'TAR FIN'!$A$1:$O$91,15,0)),0,VLOOKUP($S$109,'TAR FIN'!$A$1:$O$91,15,0))</f>
        <v>3.52</v>
      </c>
      <c r="W109" s="4">
        <f>IF(ISERROR(VLOOKUP($T$109,'TAR FIN'!$A$1:$O$91,15,0)),0,VLOOKUP($T$109,'TAR FIN'!$A$1:$O$91,15,0))</f>
        <v>0</v>
      </c>
      <c r="X109" s="4">
        <f>IF(ISERROR(VLOOKUP($U$109,'TAR FIN'!$A$1:$O$91,15,0)),0,VLOOKUP($U$109,'TAR FIN'!$A$1:$O$91,15,0))</f>
        <v>0</v>
      </c>
      <c r="Y109" s="4">
        <f ca="1">('TUSD BE'!$AM$12+'TUSD BF'!$AM$12+'TUSD CVA'!$AM$12)*1</f>
        <v>3.5546179029821179</v>
      </c>
      <c r="Z109" s="4"/>
      <c r="AA109" s="4"/>
      <c r="AB109" s="4">
        <f>$K$109*$V$109</f>
        <v>1064.8</v>
      </c>
      <c r="AC109" s="4">
        <f>$M$109*$W$109</f>
        <v>0</v>
      </c>
      <c r="AD109" s="4">
        <f>$O$109*$X$109</f>
        <v>0</v>
      </c>
      <c r="AE109" s="4">
        <f ca="1">$K$109*$Y$109</f>
        <v>1075.2719156520907</v>
      </c>
      <c r="AF109" s="4">
        <f>$M$109*$Z$109</f>
        <v>0</v>
      </c>
      <c r="AG109" s="4">
        <f>$O$109*$AA$109</f>
        <v>0</v>
      </c>
    </row>
    <row r="110" spans="1:33" ht="11.25" customHeight="1" x14ac:dyDescent="0.25">
      <c r="A110" s="3" t="s">
        <v>21</v>
      </c>
      <c r="B110" s="3" t="s">
        <v>35</v>
      </c>
      <c r="C110" s="3" t="s">
        <v>36</v>
      </c>
      <c r="D110" s="3" t="s">
        <v>39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44440</v>
      </c>
      <c r="J110" s="4">
        <v>0</v>
      </c>
      <c r="K110" s="4">
        <v>0</v>
      </c>
      <c r="L110" s="4">
        <v>305.90199999999999</v>
      </c>
      <c r="M110" s="4">
        <v>305.90199999999999</v>
      </c>
      <c r="N110" s="4">
        <v>305.90199999999999</v>
      </c>
      <c r="O110" s="4">
        <v>305.90199999999999</v>
      </c>
      <c r="P110" s="4">
        <v>0</v>
      </c>
      <c r="Q110" s="3" t="s">
        <v>26</v>
      </c>
      <c r="R110" s="3">
        <v>0</v>
      </c>
      <c r="S110" s="4">
        <v>0</v>
      </c>
      <c r="T110" s="4">
        <v>13</v>
      </c>
      <c r="U110" s="4">
        <v>69</v>
      </c>
      <c r="V110" s="4">
        <f>IF(ISERROR(VLOOKUP($S$110,'TAR FIN'!$A$1:$O$91,15,0)),0,VLOOKUP($S$110,'TAR FIN'!$A$1:$O$91,15,0))</f>
        <v>0</v>
      </c>
      <c r="W110" s="4">
        <f>IF(ISERROR(VLOOKUP($T$110,'TAR FIN'!$A$1:$O$91,15,0)),0,VLOOKUP($T$110,'TAR FIN'!$A$1:$O$91,15,0))</f>
        <v>71.14</v>
      </c>
      <c r="X110" s="4">
        <f>IF(ISERROR(VLOOKUP($U$110,'TAR FIN'!$A$1:$O$91,15,0)),0,VLOOKUP($U$110,'TAR FIN'!$A$1:$O$91,15,0))</f>
        <v>249.25</v>
      </c>
      <c r="Y110" s="4"/>
      <c r="Z110" s="4">
        <f ca="1">('TUSD BE'!$AM$15+'TUSD BF'!$AM$15+'TUSD CVA'!$AM$15)*1</f>
        <v>102.88633971139855</v>
      </c>
      <c r="AA110" s="4">
        <f>('TE BE'!$AB$6+'TE BF'!$AB$6+'TE CVA'!$AB$6)*1</f>
        <v>203.38274236935246</v>
      </c>
      <c r="AB110" s="4">
        <f>$K$110*$V$110</f>
        <v>0</v>
      </c>
      <c r="AC110" s="4">
        <f>$M$110*$W$110</f>
        <v>21761.868279999999</v>
      </c>
      <c r="AD110" s="4">
        <f>$O$110*$X$110</f>
        <v>76246.073499999999</v>
      </c>
      <c r="AE110" s="4">
        <f>$K$110*$Y$110</f>
        <v>0</v>
      </c>
      <c r="AF110" s="4">
        <f ca="1">$M$110*$Z$110</f>
        <v>31473.137090396238</v>
      </c>
      <c r="AG110" s="4">
        <f>$O$110*$AA$110</f>
        <v>62215.187656269649</v>
      </c>
    </row>
    <row r="111" spans="1:33" ht="11.25" customHeight="1" x14ac:dyDescent="0.25">
      <c r="A111" s="3" t="s">
        <v>28</v>
      </c>
      <c r="B111" s="3" t="s">
        <v>35</v>
      </c>
      <c r="C111" s="3" t="s">
        <v>36</v>
      </c>
      <c r="D111" s="3" t="s">
        <v>39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44440</v>
      </c>
      <c r="J111" s="4">
        <v>0</v>
      </c>
      <c r="K111" s="4">
        <v>0</v>
      </c>
      <c r="L111" s="4">
        <v>12.711</v>
      </c>
      <c r="M111" s="4">
        <v>12.711</v>
      </c>
      <c r="N111" s="4">
        <v>12.711</v>
      </c>
      <c r="O111" s="4">
        <v>12.711</v>
      </c>
      <c r="P111" s="4">
        <v>0</v>
      </c>
      <c r="Q111" s="3" t="s">
        <v>26</v>
      </c>
      <c r="R111" s="3">
        <v>0</v>
      </c>
      <c r="S111" s="4">
        <v>0</v>
      </c>
      <c r="T111" s="4">
        <v>13</v>
      </c>
      <c r="U111" s="4">
        <v>69</v>
      </c>
      <c r="V111" s="4">
        <f>IF(ISERROR(VLOOKUP($S$111,'TAR FIN'!$A$1:$O$91,15,0)),0,VLOOKUP($S$111,'TAR FIN'!$A$1:$O$91,15,0))</f>
        <v>0</v>
      </c>
      <c r="W111" s="4">
        <f>IF(ISERROR(VLOOKUP($T$111,'TAR FIN'!$A$1:$O$91,15,0)),0,VLOOKUP($T$111,'TAR FIN'!$A$1:$O$91,15,0))</f>
        <v>71.14</v>
      </c>
      <c r="X111" s="4">
        <f>IF(ISERROR(VLOOKUP($U$111,'TAR FIN'!$A$1:$O$91,15,0)),0,VLOOKUP($U$111,'TAR FIN'!$A$1:$O$91,15,0))</f>
        <v>249.25</v>
      </c>
      <c r="Y111" s="4"/>
      <c r="Z111" s="4">
        <f ca="1">('TUSD BE'!$AM$15+'TUSD BF'!$AM$15+'TUSD CVA'!$AM$15)*1</f>
        <v>102.88633971139855</v>
      </c>
      <c r="AA111" s="4">
        <f>('TE BE'!$AB$6+'TE BF'!$AB$6+'TE CVA'!$AB$6)*1</f>
        <v>203.38274236935246</v>
      </c>
      <c r="AB111" s="4">
        <f>$K$111*$V$111</f>
        <v>0</v>
      </c>
      <c r="AC111" s="4">
        <f>$M$111*$W$111</f>
        <v>904.26053999999999</v>
      </c>
      <c r="AD111" s="4">
        <f>$O$111*$X$111</f>
        <v>3168.21675</v>
      </c>
      <c r="AE111" s="4">
        <f>$K$111*$Y$111</f>
        <v>0</v>
      </c>
      <c r="AF111" s="4">
        <f ca="1">$M$111*$Z$111</f>
        <v>1307.788264071587</v>
      </c>
      <c r="AG111" s="4">
        <f>$O$111*$AA$111</f>
        <v>2585.198038256839</v>
      </c>
    </row>
    <row r="112" spans="1:33" ht="11.25" customHeight="1" x14ac:dyDescent="0.25">
      <c r="A112" s="3" t="s">
        <v>21</v>
      </c>
      <c r="B112" s="3" t="s">
        <v>35</v>
      </c>
      <c r="C112" s="3" t="s">
        <v>36</v>
      </c>
      <c r="D112" s="3" t="s">
        <v>39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44470</v>
      </c>
      <c r="J112" s="4">
        <v>0</v>
      </c>
      <c r="K112" s="4">
        <v>0</v>
      </c>
      <c r="L112" s="4">
        <v>323.27699999999999</v>
      </c>
      <c r="M112" s="4">
        <v>323.27699999999999</v>
      </c>
      <c r="N112" s="4">
        <v>323.27699999999999</v>
      </c>
      <c r="O112" s="4">
        <v>323.27699999999999</v>
      </c>
      <c r="P112" s="4">
        <v>0</v>
      </c>
      <c r="Q112" s="3" t="s">
        <v>26</v>
      </c>
      <c r="R112" s="3">
        <v>0</v>
      </c>
      <c r="S112" s="4">
        <v>0</v>
      </c>
      <c r="T112" s="4">
        <v>13</v>
      </c>
      <c r="U112" s="4">
        <v>69</v>
      </c>
      <c r="V112" s="4">
        <f>IF(ISERROR(VLOOKUP($S$112,'TAR FIN'!$A$1:$O$91,15,0)),0,VLOOKUP($S$112,'TAR FIN'!$A$1:$O$91,15,0))</f>
        <v>0</v>
      </c>
      <c r="W112" s="4">
        <f>IF(ISERROR(VLOOKUP($T$112,'TAR FIN'!$A$1:$O$91,15,0)),0,VLOOKUP($T$112,'TAR FIN'!$A$1:$O$91,15,0))</f>
        <v>71.14</v>
      </c>
      <c r="X112" s="4">
        <f>IF(ISERROR(VLOOKUP($U$112,'TAR FIN'!$A$1:$O$91,15,0)),0,VLOOKUP($U$112,'TAR FIN'!$A$1:$O$91,15,0))</f>
        <v>249.25</v>
      </c>
      <c r="Y112" s="4"/>
      <c r="Z112" s="4">
        <f ca="1">('TUSD BE'!$AM$15+'TUSD BF'!$AM$15+'TUSD CVA'!$AM$15)*1</f>
        <v>102.88633971139855</v>
      </c>
      <c r="AA112" s="4">
        <f>('TE BE'!$AB$6+'TE BF'!$AB$6+'TE CVA'!$AB$6)*1</f>
        <v>203.38274236935246</v>
      </c>
      <c r="AB112" s="4">
        <f>$K$112*$V$112</f>
        <v>0</v>
      </c>
      <c r="AC112" s="4">
        <f>$M$112*$W$112</f>
        <v>22997.925779999998</v>
      </c>
      <c r="AD112" s="4">
        <f>$O$112*$X$112</f>
        <v>80576.792249999999</v>
      </c>
      <c r="AE112" s="4">
        <f>$K$112*$Y$112</f>
        <v>0</v>
      </c>
      <c r="AF112" s="4">
        <f ca="1">$M$112*$Z$112</f>
        <v>33260.787242881786</v>
      </c>
      <c r="AG112" s="4">
        <f>$O$112*$AA$112</f>
        <v>65748.962804937153</v>
      </c>
    </row>
    <row r="113" spans="1:33" ht="11.25" customHeight="1" x14ac:dyDescent="0.25">
      <c r="A113" s="3" t="s">
        <v>28</v>
      </c>
      <c r="B113" s="3" t="s">
        <v>35</v>
      </c>
      <c r="C113" s="3" t="s">
        <v>36</v>
      </c>
      <c r="D113" s="3" t="s">
        <v>39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44470</v>
      </c>
      <c r="J113" s="4">
        <v>0</v>
      </c>
      <c r="K113" s="4">
        <v>0</v>
      </c>
      <c r="L113" s="4">
        <v>13.173</v>
      </c>
      <c r="M113" s="4">
        <v>13.173</v>
      </c>
      <c r="N113" s="4">
        <v>13.173</v>
      </c>
      <c r="O113" s="4">
        <v>13.173</v>
      </c>
      <c r="P113" s="4">
        <v>0</v>
      </c>
      <c r="Q113" s="3" t="s">
        <v>26</v>
      </c>
      <c r="R113" s="3">
        <v>0</v>
      </c>
      <c r="S113" s="4">
        <v>0</v>
      </c>
      <c r="T113" s="4">
        <v>13</v>
      </c>
      <c r="U113" s="4">
        <v>69</v>
      </c>
      <c r="V113" s="4">
        <f>IF(ISERROR(VLOOKUP($S$113,'TAR FIN'!$A$1:$O$91,15,0)),0,VLOOKUP($S$113,'TAR FIN'!$A$1:$O$91,15,0))</f>
        <v>0</v>
      </c>
      <c r="W113" s="4">
        <f>IF(ISERROR(VLOOKUP($T$113,'TAR FIN'!$A$1:$O$91,15,0)),0,VLOOKUP($T$113,'TAR FIN'!$A$1:$O$91,15,0))</f>
        <v>71.14</v>
      </c>
      <c r="X113" s="4">
        <f>IF(ISERROR(VLOOKUP($U$113,'TAR FIN'!$A$1:$O$91,15,0)),0,VLOOKUP($U$113,'TAR FIN'!$A$1:$O$91,15,0))</f>
        <v>249.25</v>
      </c>
      <c r="Y113" s="4"/>
      <c r="Z113" s="4">
        <f ca="1">('TUSD BE'!$AM$15+'TUSD BF'!$AM$15+'TUSD CVA'!$AM$15)*1</f>
        <v>102.88633971139855</v>
      </c>
      <c r="AA113" s="4">
        <f>('TE BE'!$AB$6+'TE BF'!$AB$6+'TE CVA'!$AB$6)*1</f>
        <v>203.38274236935246</v>
      </c>
      <c r="AB113" s="4">
        <f>$K$113*$V$113</f>
        <v>0</v>
      </c>
      <c r="AC113" s="4">
        <f>$M$113*$W$113</f>
        <v>937.12721999999997</v>
      </c>
      <c r="AD113" s="4">
        <f>$O$113*$X$113</f>
        <v>3283.3702499999999</v>
      </c>
      <c r="AE113" s="4">
        <f>$K$113*$Y$113</f>
        <v>0</v>
      </c>
      <c r="AF113" s="4">
        <f ca="1">$M$113*$Z$113</f>
        <v>1355.321753018253</v>
      </c>
      <c r="AG113" s="4">
        <f>$O$113*$AA$113</f>
        <v>2679.1608652314799</v>
      </c>
    </row>
    <row r="114" spans="1:33" ht="11.25" customHeight="1" x14ac:dyDescent="0.25">
      <c r="A114" s="3" t="s">
        <v>21</v>
      </c>
      <c r="B114" s="3" t="s">
        <v>35</v>
      </c>
      <c r="C114" s="3" t="s">
        <v>36</v>
      </c>
      <c r="D114" s="3" t="s">
        <v>39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44501</v>
      </c>
      <c r="J114" s="4">
        <v>0</v>
      </c>
      <c r="K114" s="4">
        <v>0</v>
      </c>
      <c r="L114" s="4">
        <v>343.80900000000003</v>
      </c>
      <c r="M114" s="4">
        <v>343.80900000000003</v>
      </c>
      <c r="N114" s="4">
        <v>343.80900000000003</v>
      </c>
      <c r="O114" s="4">
        <v>343.80900000000003</v>
      </c>
      <c r="P114" s="4">
        <v>0</v>
      </c>
      <c r="Q114" s="3" t="s">
        <v>26</v>
      </c>
      <c r="R114" s="3">
        <v>0</v>
      </c>
      <c r="S114" s="4">
        <v>0</v>
      </c>
      <c r="T114" s="4">
        <v>13</v>
      </c>
      <c r="U114" s="4">
        <v>69</v>
      </c>
      <c r="V114" s="4">
        <f>IF(ISERROR(VLOOKUP($S$114,'TAR FIN'!$A$1:$O$91,15,0)),0,VLOOKUP($S$114,'TAR FIN'!$A$1:$O$91,15,0))</f>
        <v>0</v>
      </c>
      <c r="W114" s="4">
        <f>IF(ISERROR(VLOOKUP($T$114,'TAR FIN'!$A$1:$O$91,15,0)),0,VLOOKUP($T$114,'TAR FIN'!$A$1:$O$91,15,0))</f>
        <v>71.14</v>
      </c>
      <c r="X114" s="4">
        <f>IF(ISERROR(VLOOKUP($U$114,'TAR FIN'!$A$1:$O$91,15,0)),0,VLOOKUP($U$114,'TAR FIN'!$A$1:$O$91,15,0))</f>
        <v>249.25</v>
      </c>
      <c r="Y114" s="4"/>
      <c r="Z114" s="4">
        <f ca="1">('TUSD BE'!$AM$15+'TUSD BF'!$AM$15+'TUSD CVA'!$AM$15)*1</f>
        <v>102.88633971139855</v>
      </c>
      <c r="AA114" s="4">
        <f>('TE BE'!$AB$6+'TE BF'!$AB$6+'TE CVA'!$AB$6)*1</f>
        <v>203.38274236935246</v>
      </c>
      <c r="AB114" s="4">
        <f>$K$114*$V$114</f>
        <v>0</v>
      </c>
      <c r="AC114" s="4">
        <f>$M$114*$W$114</f>
        <v>24458.572260000001</v>
      </c>
      <c r="AD114" s="4">
        <f>$O$114*$X$114</f>
        <v>85694.393250000008</v>
      </c>
      <c r="AE114" s="4">
        <f>$K$114*$Y$114</f>
        <v>0</v>
      </c>
      <c r="AF114" s="4">
        <f ca="1">$M$114*$Z$114</f>
        <v>35373.249569836225</v>
      </c>
      <c r="AG114" s="4">
        <f>$O$114*$AA$114</f>
        <v>69924.817271264707</v>
      </c>
    </row>
    <row r="115" spans="1:33" ht="11.25" customHeight="1" x14ac:dyDescent="0.25">
      <c r="A115" s="3" t="s">
        <v>28</v>
      </c>
      <c r="B115" s="3" t="s">
        <v>35</v>
      </c>
      <c r="C115" s="3" t="s">
        <v>36</v>
      </c>
      <c r="D115" s="3" t="s">
        <v>39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44501</v>
      </c>
      <c r="J115" s="4">
        <v>0</v>
      </c>
      <c r="K115" s="4">
        <v>0</v>
      </c>
      <c r="L115" s="4">
        <v>16.893000000000001</v>
      </c>
      <c r="M115" s="4">
        <v>16.893000000000001</v>
      </c>
      <c r="N115" s="4">
        <v>16.893000000000001</v>
      </c>
      <c r="O115" s="4">
        <v>16.893000000000001</v>
      </c>
      <c r="P115" s="4">
        <v>0</v>
      </c>
      <c r="Q115" s="3" t="s">
        <v>26</v>
      </c>
      <c r="R115" s="3">
        <v>0</v>
      </c>
      <c r="S115" s="4">
        <v>0</v>
      </c>
      <c r="T115" s="4">
        <v>13</v>
      </c>
      <c r="U115" s="4">
        <v>69</v>
      </c>
      <c r="V115" s="4">
        <f>IF(ISERROR(VLOOKUP($S$115,'TAR FIN'!$A$1:$O$91,15,0)),0,VLOOKUP($S$115,'TAR FIN'!$A$1:$O$91,15,0))</f>
        <v>0</v>
      </c>
      <c r="W115" s="4">
        <f>IF(ISERROR(VLOOKUP($T$115,'TAR FIN'!$A$1:$O$91,15,0)),0,VLOOKUP($T$115,'TAR FIN'!$A$1:$O$91,15,0))</f>
        <v>71.14</v>
      </c>
      <c r="X115" s="4">
        <f>IF(ISERROR(VLOOKUP($U$115,'TAR FIN'!$A$1:$O$91,15,0)),0,VLOOKUP($U$115,'TAR FIN'!$A$1:$O$91,15,0))</f>
        <v>249.25</v>
      </c>
      <c r="Y115" s="4"/>
      <c r="Z115" s="4">
        <f ca="1">('TUSD BE'!$AM$15+'TUSD BF'!$AM$15+'TUSD CVA'!$AM$15)*1</f>
        <v>102.88633971139855</v>
      </c>
      <c r="AA115" s="4">
        <f>('TE BE'!$AB$6+'TE BF'!$AB$6+'TE CVA'!$AB$6)*1</f>
        <v>203.38274236935246</v>
      </c>
      <c r="AB115" s="4">
        <f>$K$115*$V$115</f>
        <v>0</v>
      </c>
      <c r="AC115" s="4">
        <f>$M$115*$W$115</f>
        <v>1201.76802</v>
      </c>
      <c r="AD115" s="4">
        <f>$O$115*$X$115</f>
        <v>4210.58025</v>
      </c>
      <c r="AE115" s="4">
        <f>$K$115*$Y$115</f>
        <v>0</v>
      </c>
      <c r="AF115" s="4">
        <f ca="1">$M$115*$Z$115</f>
        <v>1738.0589367446557</v>
      </c>
      <c r="AG115" s="4">
        <f>$O$115*$AA$115</f>
        <v>3435.7446668454713</v>
      </c>
    </row>
    <row r="116" spans="1:33" ht="11.25" customHeight="1" x14ac:dyDescent="0.25">
      <c r="A116" s="3" t="s">
        <v>21</v>
      </c>
      <c r="B116" s="3" t="s">
        <v>35</v>
      </c>
      <c r="C116" s="3" t="s">
        <v>36</v>
      </c>
      <c r="D116" s="3" t="s">
        <v>39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44531</v>
      </c>
      <c r="J116" s="4">
        <v>0</v>
      </c>
      <c r="K116" s="4">
        <v>0</v>
      </c>
      <c r="L116" s="4">
        <v>375.84699999999998</v>
      </c>
      <c r="M116" s="4">
        <v>375.84699999999998</v>
      </c>
      <c r="N116" s="4">
        <v>375.84699999999998</v>
      </c>
      <c r="O116" s="4">
        <v>375.84699999999998</v>
      </c>
      <c r="P116" s="4">
        <v>0</v>
      </c>
      <c r="Q116" s="3" t="s">
        <v>26</v>
      </c>
      <c r="R116" s="3">
        <v>0</v>
      </c>
      <c r="S116" s="4">
        <v>0</v>
      </c>
      <c r="T116" s="4">
        <v>13</v>
      </c>
      <c r="U116" s="4">
        <v>69</v>
      </c>
      <c r="V116" s="4">
        <f>IF(ISERROR(VLOOKUP($S$116,'TAR FIN'!$A$1:$O$91,15,0)),0,VLOOKUP($S$116,'TAR FIN'!$A$1:$O$91,15,0))</f>
        <v>0</v>
      </c>
      <c r="W116" s="4">
        <f>IF(ISERROR(VLOOKUP($T$116,'TAR FIN'!$A$1:$O$91,15,0)),0,VLOOKUP($T$116,'TAR FIN'!$A$1:$O$91,15,0))</f>
        <v>71.14</v>
      </c>
      <c r="X116" s="4">
        <f>IF(ISERROR(VLOOKUP($U$116,'TAR FIN'!$A$1:$O$91,15,0)),0,VLOOKUP($U$116,'TAR FIN'!$A$1:$O$91,15,0))</f>
        <v>249.25</v>
      </c>
      <c r="Y116" s="4"/>
      <c r="Z116" s="4">
        <f ca="1">('TUSD BE'!$AM$15+'TUSD BF'!$AM$15+'TUSD CVA'!$AM$15)*1</f>
        <v>102.88633971139855</v>
      </c>
      <c r="AA116" s="4">
        <f>('TE BE'!$AB$6+'TE BF'!$AB$6+'TE CVA'!$AB$6)*1</f>
        <v>203.38274236935246</v>
      </c>
      <c r="AB116" s="4">
        <f>$K$116*$V$116</f>
        <v>0</v>
      </c>
      <c r="AC116" s="4">
        <f>$M$116*$W$116</f>
        <v>26737.755579999997</v>
      </c>
      <c r="AD116" s="4">
        <f>$O$116*$X$116</f>
        <v>93679.864749999993</v>
      </c>
      <c r="AE116" s="4">
        <f>$K$116*$Y$116</f>
        <v>0</v>
      </c>
      <c r="AF116" s="4">
        <f ca="1">$M$116*$Z$116</f>
        <v>38669.52212151001</v>
      </c>
      <c r="AG116" s="4">
        <f>$O$116*$AA$116</f>
        <v>76440.793571294009</v>
      </c>
    </row>
    <row r="117" spans="1:33" ht="11.25" customHeight="1" x14ac:dyDescent="0.25">
      <c r="A117" s="3" t="s">
        <v>28</v>
      </c>
      <c r="B117" s="3" t="s">
        <v>35</v>
      </c>
      <c r="C117" s="3" t="s">
        <v>36</v>
      </c>
      <c r="D117" s="3" t="s">
        <v>39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44531</v>
      </c>
      <c r="J117" s="4">
        <v>0</v>
      </c>
      <c r="K117" s="4">
        <v>0</v>
      </c>
      <c r="L117" s="4">
        <v>18.68</v>
      </c>
      <c r="M117" s="4">
        <v>18.68</v>
      </c>
      <c r="N117" s="4">
        <v>18.68</v>
      </c>
      <c r="O117" s="4">
        <v>18.68</v>
      </c>
      <c r="P117" s="4">
        <v>0</v>
      </c>
      <c r="Q117" s="3" t="s">
        <v>26</v>
      </c>
      <c r="R117" s="3">
        <v>0</v>
      </c>
      <c r="S117" s="4">
        <v>0</v>
      </c>
      <c r="T117" s="4">
        <v>13</v>
      </c>
      <c r="U117" s="4">
        <v>69</v>
      </c>
      <c r="V117" s="4">
        <f>IF(ISERROR(VLOOKUP($S$117,'TAR FIN'!$A$1:$O$91,15,0)),0,VLOOKUP($S$117,'TAR FIN'!$A$1:$O$91,15,0))</f>
        <v>0</v>
      </c>
      <c r="W117" s="4">
        <f>IF(ISERROR(VLOOKUP($T$117,'TAR FIN'!$A$1:$O$91,15,0)),0,VLOOKUP($T$117,'TAR FIN'!$A$1:$O$91,15,0))</f>
        <v>71.14</v>
      </c>
      <c r="X117" s="4">
        <f>IF(ISERROR(VLOOKUP($U$117,'TAR FIN'!$A$1:$O$91,15,0)),0,VLOOKUP($U$117,'TAR FIN'!$A$1:$O$91,15,0))</f>
        <v>249.25</v>
      </c>
      <c r="Y117" s="4"/>
      <c r="Z117" s="4">
        <f ca="1">('TUSD BE'!$AM$15+'TUSD BF'!$AM$15+'TUSD CVA'!$AM$15)*1</f>
        <v>102.88633971139855</v>
      </c>
      <c r="AA117" s="4">
        <f>('TE BE'!$AB$6+'TE BF'!$AB$6+'TE CVA'!$AB$6)*1</f>
        <v>203.38274236935246</v>
      </c>
      <c r="AB117" s="4">
        <f>$K$117*$V$117</f>
        <v>0</v>
      </c>
      <c r="AC117" s="4">
        <f>$M$117*$W$117</f>
        <v>1328.8951999999999</v>
      </c>
      <c r="AD117" s="4">
        <f>$O$117*$X$117</f>
        <v>4655.99</v>
      </c>
      <c r="AE117" s="4">
        <f>$K$117*$Y$117</f>
        <v>0</v>
      </c>
      <c r="AF117" s="4">
        <f ca="1">$M$117*$Z$117</f>
        <v>1921.9168258089248</v>
      </c>
      <c r="AG117" s="4">
        <f>$O$117*$AA$117</f>
        <v>3799.1896274595038</v>
      </c>
    </row>
    <row r="118" spans="1:33" ht="11.25" customHeight="1" x14ac:dyDescent="0.25">
      <c r="A118" s="3" t="s">
        <v>21</v>
      </c>
      <c r="B118" s="3" t="s">
        <v>35</v>
      </c>
      <c r="C118" s="3" t="s">
        <v>36</v>
      </c>
      <c r="D118" s="3" t="s">
        <v>39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44562</v>
      </c>
      <c r="J118" s="4">
        <v>0</v>
      </c>
      <c r="K118" s="4">
        <v>0</v>
      </c>
      <c r="L118" s="4">
        <v>414.77</v>
      </c>
      <c r="M118" s="4">
        <v>414.77</v>
      </c>
      <c r="N118" s="4">
        <v>414.77</v>
      </c>
      <c r="O118" s="4">
        <v>414.77</v>
      </c>
      <c r="P118" s="4">
        <v>0</v>
      </c>
      <c r="Q118" s="3" t="s">
        <v>26</v>
      </c>
      <c r="R118" s="3">
        <v>0</v>
      </c>
      <c r="S118" s="4">
        <v>0</v>
      </c>
      <c r="T118" s="4">
        <v>13</v>
      </c>
      <c r="U118" s="4">
        <v>69</v>
      </c>
      <c r="V118" s="4">
        <f>IF(ISERROR(VLOOKUP($S$118,'TAR FIN'!$A$1:$O$91,15,0)),0,VLOOKUP($S$118,'TAR FIN'!$A$1:$O$91,15,0))</f>
        <v>0</v>
      </c>
      <c r="W118" s="4">
        <f>IF(ISERROR(VLOOKUP($T$118,'TAR FIN'!$A$1:$O$91,15,0)),0,VLOOKUP($T$118,'TAR FIN'!$A$1:$O$91,15,0))</f>
        <v>71.14</v>
      </c>
      <c r="X118" s="4">
        <f>IF(ISERROR(VLOOKUP($U$118,'TAR FIN'!$A$1:$O$91,15,0)),0,VLOOKUP($U$118,'TAR FIN'!$A$1:$O$91,15,0))</f>
        <v>249.25</v>
      </c>
      <c r="Y118" s="4"/>
      <c r="Z118" s="4">
        <f ca="1">('TUSD BE'!$AM$15+'TUSD BF'!$AM$15+'TUSD CVA'!$AM$15)*1</f>
        <v>102.88633971139855</v>
      </c>
      <c r="AA118" s="4">
        <f>('TE BE'!$AB$6+'TE BF'!$AB$6+'TE CVA'!$AB$6)*1</f>
        <v>203.38274236935246</v>
      </c>
      <c r="AB118" s="4">
        <f>$K$118*$V$118</f>
        <v>0</v>
      </c>
      <c r="AC118" s="4">
        <f>$M$118*$W$118</f>
        <v>29506.737799999999</v>
      </c>
      <c r="AD118" s="4">
        <f>$O$118*$X$118</f>
        <v>103381.4225</v>
      </c>
      <c r="AE118" s="4">
        <f>$K$118*$Y$118</f>
        <v>0</v>
      </c>
      <c r="AF118" s="4">
        <f ca="1">$M$118*$Z$118</f>
        <v>42674.167122096776</v>
      </c>
      <c r="AG118" s="4">
        <f>$O$118*$AA$118</f>
        <v>84357.060052536312</v>
      </c>
    </row>
    <row r="119" spans="1:33" ht="11.25" customHeight="1" x14ac:dyDescent="0.25">
      <c r="A119" s="3" t="s">
        <v>28</v>
      </c>
      <c r="B119" s="3" t="s">
        <v>35</v>
      </c>
      <c r="C119" s="3" t="s">
        <v>36</v>
      </c>
      <c r="D119" s="3" t="s">
        <v>39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44562</v>
      </c>
      <c r="J119" s="4">
        <v>0</v>
      </c>
      <c r="K119" s="4">
        <v>0</v>
      </c>
      <c r="L119" s="4">
        <v>28.218</v>
      </c>
      <c r="M119" s="4">
        <v>28.218</v>
      </c>
      <c r="N119" s="4">
        <v>28.218</v>
      </c>
      <c r="O119" s="4">
        <v>28.218</v>
      </c>
      <c r="P119" s="4">
        <v>0</v>
      </c>
      <c r="Q119" s="3" t="s">
        <v>26</v>
      </c>
      <c r="R119" s="3">
        <v>0</v>
      </c>
      <c r="S119" s="4">
        <v>0</v>
      </c>
      <c r="T119" s="4">
        <v>13</v>
      </c>
      <c r="U119" s="4">
        <v>69</v>
      </c>
      <c r="V119" s="4">
        <f>IF(ISERROR(VLOOKUP($S$119,'TAR FIN'!$A$1:$O$91,15,0)),0,VLOOKUP($S$119,'TAR FIN'!$A$1:$O$91,15,0))</f>
        <v>0</v>
      </c>
      <c r="W119" s="4">
        <f>IF(ISERROR(VLOOKUP($T$119,'TAR FIN'!$A$1:$O$91,15,0)),0,VLOOKUP($T$119,'TAR FIN'!$A$1:$O$91,15,0))</f>
        <v>71.14</v>
      </c>
      <c r="X119" s="4">
        <f>IF(ISERROR(VLOOKUP($U$119,'TAR FIN'!$A$1:$O$91,15,0)),0,VLOOKUP($U$119,'TAR FIN'!$A$1:$O$91,15,0))</f>
        <v>249.25</v>
      </c>
      <c r="Y119" s="4"/>
      <c r="Z119" s="4">
        <f ca="1">('TUSD BE'!$AM$15+'TUSD BF'!$AM$15+'TUSD CVA'!$AM$15)*1</f>
        <v>102.88633971139855</v>
      </c>
      <c r="AA119" s="4">
        <f>('TE BE'!$AB$6+'TE BF'!$AB$6+'TE CVA'!$AB$6)*1</f>
        <v>203.38274236935246</v>
      </c>
      <c r="AB119" s="4">
        <f>$K$119*$V$119</f>
        <v>0</v>
      </c>
      <c r="AC119" s="4">
        <f>$M$119*$W$119</f>
        <v>2007.4285199999999</v>
      </c>
      <c r="AD119" s="4">
        <f>$O$119*$X$119</f>
        <v>7033.3365000000003</v>
      </c>
      <c r="AE119" s="4">
        <f>$K$119*$Y$119</f>
        <v>0</v>
      </c>
      <c r="AF119" s="4">
        <f ca="1">$M$119*$Z$119</f>
        <v>2903.2467339762443</v>
      </c>
      <c r="AG119" s="4">
        <f>$O$119*$AA$119</f>
        <v>5739.0542241783878</v>
      </c>
    </row>
    <row r="120" spans="1:33" ht="11.25" customHeight="1" x14ac:dyDescent="0.25">
      <c r="A120" s="3" t="s">
        <v>21</v>
      </c>
      <c r="B120" s="3" t="s">
        <v>35</v>
      </c>
      <c r="C120" s="3" t="s">
        <v>36</v>
      </c>
      <c r="D120" s="3" t="s">
        <v>39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44593</v>
      </c>
      <c r="J120" s="4">
        <v>0</v>
      </c>
      <c r="K120" s="4">
        <v>0</v>
      </c>
      <c r="L120" s="4">
        <v>368.68900000000002</v>
      </c>
      <c r="M120" s="4">
        <v>368.68900000000002</v>
      </c>
      <c r="N120" s="4">
        <v>368.68900000000002</v>
      </c>
      <c r="O120" s="4">
        <v>368.68900000000002</v>
      </c>
      <c r="P120" s="4">
        <v>0</v>
      </c>
      <c r="Q120" s="3" t="s">
        <v>26</v>
      </c>
      <c r="R120" s="3">
        <v>0</v>
      </c>
      <c r="S120" s="4">
        <v>0</v>
      </c>
      <c r="T120" s="4">
        <v>13</v>
      </c>
      <c r="U120" s="4">
        <v>69</v>
      </c>
      <c r="V120" s="4">
        <f>IF(ISERROR(VLOOKUP($S$120,'TAR FIN'!$A$1:$O$91,15,0)),0,VLOOKUP($S$120,'TAR FIN'!$A$1:$O$91,15,0))</f>
        <v>0</v>
      </c>
      <c r="W120" s="4">
        <f>IF(ISERROR(VLOOKUP($T$120,'TAR FIN'!$A$1:$O$91,15,0)),0,VLOOKUP($T$120,'TAR FIN'!$A$1:$O$91,15,0))</f>
        <v>71.14</v>
      </c>
      <c r="X120" s="4">
        <f>IF(ISERROR(VLOOKUP($U$120,'TAR FIN'!$A$1:$O$91,15,0)),0,VLOOKUP($U$120,'TAR FIN'!$A$1:$O$91,15,0))</f>
        <v>249.25</v>
      </c>
      <c r="Y120" s="4"/>
      <c r="Z120" s="4">
        <f ca="1">('TUSD BE'!$AM$15+'TUSD BF'!$AM$15+'TUSD CVA'!$AM$15)*1</f>
        <v>102.88633971139855</v>
      </c>
      <c r="AA120" s="4">
        <f>('TE BE'!$AB$6+'TE BF'!$AB$6+'TE CVA'!$AB$6)*1</f>
        <v>203.38274236935246</v>
      </c>
      <c r="AB120" s="4">
        <f>$K$120*$V$120</f>
        <v>0</v>
      </c>
      <c r="AC120" s="4">
        <f>$M$120*$W$120</f>
        <v>26228.535460000003</v>
      </c>
      <c r="AD120" s="4">
        <f>$O$120*$X$120</f>
        <v>91895.733250000005</v>
      </c>
      <c r="AE120" s="4">
        <f>$K$120*$Y$120</f>
        <v>0</v>
      </c>
      <c r="AF120" s="4">
        <f ca="1">$M$120*$Z$120</f>
        <v>37933.061701855819</v>
      </c>
      <c r="AG120" s="4">
        <f>$O$120*$AA$120</f>
        <v>74984.97990141419</v>
      </c>
    </row>
    <row r="121" spans="1:33" ht="11.25" customHeight="1" x14ac:dyDescent="0.25">
      <c r="A121" s="3" t="s">
        <v>28</v>
      </c>
      <c r="B121" s="3" t="s">
        <v>35</v>
      </c>
      <c r="C121" s="3" t="s">
        <v>36</v>
      </c>
      <c r="D121" s="3" t="s">
        <v>39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44593</v>
      </c>
      <c r="J121" s="4">
        <v>0</v>
      </c>
      <c r="K121" s="4">
        <v>0</v>
      </c>
      <c r="L121" s="4">
        <v>24.192</v>
      </c>
      <c r="M121" s="4">
        <v>24.192</v>
      </c>
      <c r="N121" s="4">
        <v>24.192</v>
      </c>
      <c r="O121" s="4">
        <v>24.192</v>
      </c>
      <c r="P121" s="4">
        <v>0</v>
      </c>
      <c r="Q121" s="3" t="s">
        <v>26</v>
      </c>
      <c r="R121" s="3">
        <v>0</v>
      </c>
      <c r="S121" s="4">
        <v>0</v>
      </c>
      <c r="T121" s="4">
        <v>13</v>
      </c>
      <c r="U121" s="4">
        <v>69</v>
      </c>
      <c r="V121" s="4">
        <f>IF(ISERROR(VLOOKUP($S$121,'TAR FIN'!$A$1:$O$91,15,0)),0,VLOOKUP($S$121,'TAR FIN'!$A$1:$O$91,15,0))</f>
        <v>0</v>
      </c>
      <c r="W121" s="4">
        <f>IF(ISERROR(VLOOKUP($T$121,'TAR FIN'!$A$1:$O$91,15,0)),0,VLOOKUP($T$121,'TAR FIN'!$A$1:$O$91,15,0))</f>
        <v>71.14</v>
      </c>
      <c r="X121" s="4">
        <f>IF(ISERROR(VLOOKUP($U$121,'TAR FIN'!$A$1:$O$91,15,0)),0,VLOOKUP($U$121,'TAR FIN'!$A$1:$O$91,15,0))</f>
        <v>249.25</v>
      </c>
      <c r="Y121" s="4"/>
      <c r="Z121" s="4">
        <f ca="1">('TUSD BE'!$AM$15+'TUSD BF'!$AM$15+'TUSD CVA'!$AM$15)*1</f>
        <v>102.88633971139855</v>
      </c>
      <c r="AA121" s="4">
        <f>('TE BE'!$AB$6+'TE BF'!$AB$6+'TE CVA'!$AB$6)*1</f>
        <v>203.38274236935246</v>
      </c>
      <c r="AB121" s="4">
        <f>$K$121*$V$121</f>
        <v>0</v>
      </c>
      <c r="AC121" s="4">
        <f>$M$121*$W$121</f>
        <v>1721.0188800000001</v>
      </c>
      <c r="AD121" s="4">
        <f>$O$121*$X$121</f>
        <v>6029.8559999999998</v>
      </c>
      <c r="AE121" s="4">
        <f>$K$121*$Y$121</f>
        <v>0</v>
      </c>
      <c r="AF121" s="4">
        <f ca="1">$M$121*$Z$121</f>
        <v>2489.0263302981539</v>
      </c>
      <c r="AG121" s="4">
        <f>$O$121*$AA$121</f>
        <v>4920.235303399375</v>
      </c>
    </row>
    <row r="122" spans="1:33" ht="11.25" customHeight="1" x14ac:dyDescent="0.25">
      <c r="A122" s="3" t="s">
        <v>21</v>
      </c>
      <c r="B122" s="3" t="s">
        <v>35</v>
      </c>
      <c r="C122" s="3" t="s">
        <v>36</v>
      </c>
      <c r="D122" s="3" t="s">
        <v>39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44621</v>
      </c>
      <c r="J122" s="4">
        <v>0</v>
      </c>
      <c r="K122" s="4">
        <v>0</v>
      </c>
      <c r="L122" s="4">
        <v>381.88099999999997</v>
      </c>
      <c r="M122" s="4">
        <v>381.88099999999997</v>
      </c>
      <c r="N122" s="4">
        <v>381.88099999999997</v>
      </c>
      <c r="O122" s="4">
        <v>381.88099999999997</v>
      </c>
      <c r="P122" s="4">
        <v>0</v>
      </c>
      <c r="Q122" s="3" t="s">
        <v>26</v>
      </c>
      <c r="R122" s="3">
        <v>0</v>
      </c>
      <c r="S122" s="4">
        <v>0</v>
      </c>
      <c r="T122" s="4">
        <v>13</v>
      </c>
      <c r="U122" s="4">
        <v>69</v>
      </c>
      <c r="V122" s="4">
        <f>IF(ISERROR(VLOOKUP($S$122,'TAR FIN'!$A$1:$O$91,15,0)),0,VLOOKUP($S$122,'TAR FIN'!$A$1:$O$91,15,0))</f>
        <v>0</v>
      </c>
      <c r="W122" s="4">
        <f>IF(ISERROR(VLOOKUP($T$122,'TAR FIN'!$A$1:$O$91,15,0)),0,VLOOKUP($T$122,'TAR FIN'!$A$1:$O$91,15,0))</f>
        <v>71.14</v>
      </c>
      <c r="X122" s="4">
        <f>IF(ISERROR(VLOOKUP($U$122,'TAR FIN'!$A$1:$O$91,15,0)),0,VLOOKUP($U$122,'TAR FIN'!$A$1:$O$91,15,0))</f>
        <v>249.25</v>
      </c>
      <c r="Y122" s="4"/>
      <c r="Z122" s="4">
        <f ca="1">('TUSD BE'!$AM$15+'TUSD BF'!$AM$15+'TUSD CVA'!$AM$15)*1</f>
        <v>102.88633971139855</v>
      </c>
      <c r="AA122" s="4">
        <f>('TE BE'!$AB$6+'TE BF'!$AB$6+'TE CVA'!$AB$6)*1</f>
        <v>203.38274236935246</v>
      </c>
      <c r="AB122" s="4">
        <f>$K$122*$V$122</f>
        <v>0</v>
      </c>
      <c r="AC122" s="4">
        <f>$M$122*$W$122</f>
        <v>27167.014339999998</v>
      </c>
      <c r="AD122" s="4">
        <f>$O$122*$X$122</f>
        <v>95183.83924999999</v>
      </c>
      <c r="AE122" s="4">
        <f>$K$122*$Y$122</f>
        <v>0</v>
      </c>
      <c r="AF122" s="4">
        <f ca="1">$M$122*$Z$122</f>
        <v>39290.338295328584</v>
      </c>
      <c r="AG122" s="4">
        <f>$O$122*$AA$122</f>
        <v>77668.005038750678</v>
      </c>
    </row>
    <row r="123" spans="1:33" ht="11.25" customHeight="1" x14ac:dyDescent="0.25">
      <c r="A123" s="3" t="s">
        <v>28</v>
      </c>
      <c r="B123" s="3" t="s">
        <v>35</v>
      </c>
      <c r="C123" s="3" t="s">
        <v>36</v>
      </c>
      <c r="D123" s="3" t="s">
        <v>39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44621</v>
      </c>
      <c r="J123" s="4">
        <v>0</v>
      </c>
      <c r="K123" s="4">
        <v>0</v>
      </c>
      <c r="L123" s="4">
        <v>21.207000000000001</v>
      </c>
      <c r="M123" s="4">
        <v>21.207000000000001</v>
      </c>
      <c r="N123" s="4">
        <v>21.207000000000001</v>
      </c>
      <c r="O123" s="4">
        <v>21.207000000000001</v>
      </c>
      <c r="P123" s="4">
        <v>0</v>
      </c>
      <c r="Q123" s="3" t="s">
        <v>26</v>
      </c>
      <c r="R123" s="3">
        <v>0</v>
      </c>
      <c r="S123" s="4">
        <v>0</v>
      </c>
      <c r="T123" s="4">
        <v>13</v>
      </c>
      <c r="U123" s="4">
        <v>69</v>
      </c>
      <c r="V123" s="4">
        <f>IF(ISERROR(VLOOKUP($S$123,'TAR FIN'!$A$1:$O$91,15,0)),0,VLOOKUP($S$123,'TAR FIN'!$A$1:$O$91,15,0))</f>
        <v>0</v>
      </c>
      <c r="W123" s="4">
        <f>IF(ISERROR(VLOOKUP($T$123,'TAR FIN'!$A$1:$O$91,15,0)),0,VLOOKUP($T$123,'TAR FIN'!$A$1:$O$91,15,0))</f>
        <v>71.14</v>
      </c>
      <c r="X123" s="4">
        <f>IF(ISERROR(VLOOKUP($U$123,'TAR FIN'!$A$1:$O$91,15,0)),0,VLOOKUP($U$123,'TAR FIN'!$A$1:$O$91,15,0))</f>
        <v>249.25</v>
      </c>
      <c r="Y123" s="4"/>
      <c r="Z123" s="4">
        <f ca="1">('TUSD BE'!$AM$15+'TUSD BF'!$AM$15+'TUSD CVA'!$AM$15)*1</f>
        <v>102.88633971139855</v>
      </c>
      <c r="AA123" s="4">
        <f>('TE BE'!$AB$6+'TE BF'!$AB$6+'TE CVA'!$AB$6)*1</f>
        <v>203.38274236935246</v>
      </c>
      <c r="AB123" s="4">
        <f>$K$123*$V$123</f>
        <v>0</v>
      </c>
      <c r="AC123" s="4">
        <f>$M$123*$W$123</f>
        <v>1508.66598</v>
      </c>
      <c r="AD123" s="4">
        <f>$O$123*$X$123</f>
        <v>5285.8447500000002</v>
      </c>
      <c r="AE123" s="4">
        <f>$K$123*$Y$123</f>
        <v>0</v>
      </c>
      <c r="AF123" s="4">
        <f ca="1">$M$123*$Z$123</f>
        <v>2181.9106062596293</v>
      </c>
      <c r="AG123" s="4">
        <f>$O$123*$AA$123</f>
        <v>4313.1378174268575</v>
      </c>
    </row>
    <row r="124" spans="1:33" ht="11.25" customHeight="1" x14ac:dyDescent="0.25">
      <c r="A124" s="3" t="s">
        <v>21</v>
      </c>
      <c r="B124" s="3" t="s">
        <v>35</v>
      </c>
      <c r="C124" s="3" t="s">
        <v>36</v>
      </c>
      <c r="D124" s="3" t="s">
        <v>39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44652</v>
      </c>
      <c r="J124" s="4">
        <v>0</v>
      </c>
      <c r="K124" s="4">
        <v>0</v>
      </c>
      <c r="L124" s="4">
        <v>325.738</v>
      </c>
      <c r="M124" s="4">
        <v>325.738</v>
      </c>
      <c r="N124" s="4">
        <v>325.738</v>
      </c>
      <c r="O124" s="4">
        <v>325.738</v>
      </c>
      <c r="P124" s="4">
        <v>0</v>
      </c>
      <c r="Q124" s="3" t="s">
        <v>26</v>
      </c>
      <c r="R124" s="3">
        <v>0</v>
      </c>
      <c r="S124" s="4">
        <v>0</v>
      </c>
      <c r="T124" s="4">
        <v>13</v>
      </c>
      <c r="U124" s="4">
        <v>69</v>
      </c>
      <c r="V124" s="4">
        <f>IF(ISERROR(VLOOKUP($S$124,'TAR FIN'!$A$1:$O$91,15,0)),0,VLOOKUP($S$124,'TAR FIN'!$A$1:$O$91,15,0))</f>
        <v>0</v>
      </c>
      <c r="W124" s="4">
        <f>IF(ISERROR(VLOOKUP($T$124,'TAR FIN'!$A$1:$O$91,15,0)),0,VLOOKUP($T$124,'TAR FIN'!$A$1:$O$91,15,0))</f>
        <v>71.14</v>
      </c>
      <c r="X124" s="4">
        <f>IF(ISERROR(VLOOKUP($U$124,'TAR FIN'!$A$1:$O$91,15,0)),0,VLOOKUP($U$124,'TAR FIN'!$A$1:$O$91,15,0))</f>
        <v>249.25</v>
      </c>
      <c r="Y124" s="4"/>
      <c r="Z124" s="4">
        <f ca="1">('TUSD BE'!$AM$15+'TUSD BF'!$AM$15+'TUSD CVA'!$AM$15)*1</f>
        <v>102.88633971139855</v>
      </c>
      <c r="AA124" s="4">
        <f>('TE BE'!$AB$6+'TE BF'!$AB$6+'TE CVA'!$AB$6)*1</f>
        <v>203.38274236935246</v>
      </c>
      <c r="AB124" s="4">
        <f>$K$124*$V$124</f>
        <v>0</v>
      </c>
      <c r="AC124" s="4">
        <f>$M$124*$W$124</f>
        <v>23173.001319999999</v>
      </c>
      <c r="AD124" s="4">
        <f>$O$124*$X$124</f>
        <v>81190.196500000005</v>
      </c>
      <c r="AE124" s="4">
        <f>$K$124*$Y$124</f>
        <v>0</v>
      </c>
      <c r="AF124" s="4">
        <f ca="1">$M$124*$Z$124</f>
        <v>33513.99052491154</v>
      </c>
      <c r="AG124" s="4">
        <f>$O$124*$AA$124</f>
        <v>66249.487733908129</v>
      </c>
    </row>
    <row r="125" spans="1:33" ht="11.25" customHeight="1" x14ac:dyDescent="0.25">
      <c r="A125" s="3" t="s">
        <v>28</v>
      </c>
      <c r="B125" s="3" t="s">
        <v>35</v>
      </c>
      <c r="C125" s="3" t="s">
        <v>36</v>
      </c>
      <c r="D125" s="3" t="s">
        <v>39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12.904</v>
      </c>
      <c r="M125" s="4">
        <v>12.904</v>
      </c>
      <c r="N125" s="4">
        <v>12.904</v>
      </c>
      <c r="O125" s="4">
        <v>12.904</v>
      </c>
      <c r="P125" s="4">
        <v>0</v>
      </c>
      <c r="Q125" s="3" t="s">
        <v>26</v>
      </c>
      <c r="R125" s="3">
        <v>0</v>
      </c>
      <c r="S125" s="4">
        <v>0</v>
      </c>
      <c r="T125" s="4">
        <v>13</v>
      </c>
      <c r="U125" s="4">
        <v>69</v>
      </c>
      <c r="V125" s="4">
        <f>IF(ISERROR(VLOOKUP($S$125,'TAR FIN'!$A$1:$O$91,15,0)),0,VLOOKUP($S$125,'TAR FIN'!$A$1:$O$91,15,0))</f>
        <v>0</v>
      </c>
      <c r="W125" s="4">
        <f>IF(ISERROR(VLOOKUP($T$125,'TAR FIN'!$A$1:$O$91,15,0)),0,VLOOKUP($T$125,'TAR FIN'!$A$1:$O$91,15,0))</f>
        <v>71.14</v>
      </c>
      <c r="X125" s="4">
        <f>IF(ISERROR(VLOOKUP($U$125,'TAR FIN'!$A$1:$O$91,15,0)),0,VLOOKUP($U$125,'TAR FIN'!$A$1:$O$91,15,0))</f>
        <v>249.25</v>
      </c>
      <c r="Y125" s="4"/>
      <c r="Z125" s="4">
        <f ca="1">('TUSD BE'!$AM$15+'TUSD BF'!$AM$15+'TUSD CVA'!$AM$15)*1</f>
        <v>102.88633971139855</v>
      </c>
      <c r="AA125" s="4">
        <f>('TE BE'!$AB$6+'TE BF'!$AB$6+'TE CVA'!$AB$6)*1</f>
        <v>203.38274236935246</v>
      </c>
      <c r="AB125" s="4">
        <f>$K$125*$V$125</f>
        <v>0</v>
      </c>
      <c r="AC125" s="4">
        <f>$M$125*$W$125</f>
        <v>917.99055999999996</v>
      </c>
      <c r="AD125" s="4">
        <f>$O$125*$X$125</f>
        <v>3216.3220000000001</v>
      </c>
      <c r="AE125" s="4">
        <f>$K$125*$Y$125</f>
        <v>0</v>
      </c>
      <c r="AF125" s="4">
        <f ca="1">$M$125*$Z$125</f>
        <v>1327.6453276358868</v>
      </c>
      <c r="AG125" s="4">
        <f>$O$125*$AA$125</f>
        <v>2624.4509075341239</v>
      </c>
    </row>
    <row r="126" spans="1:33" ht="11.25" customHeight="1" x14ac:dyDescent="0.25">
      <c r="A126" s="3" t="s">
        <v>21</v>
      </c>
      <c r="B126" s="3" t="s">
        <v>35</v>
      </c>
      <c r="C126" s="3" t="s">
        <v>36</v>
      </c>
      <c r="D126" s="3" t="s">
        <v>39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304.75299999999999</v>
      </c>
      <c r="M126" s="4">
        <v>304.75299999999999</v>
      </c>
      <c r="N126" s="4">
        <v>304.75299999999999</v>
      </c>
      <c r="O126" s="4">
        <v>304.75299999999999</v>
      </c>
      <c r="P126" s="4">
        <v>0</v>
      </c>
      <c r="Q126" s="3" t="s">
        <v>26</v>
      </c>
      <c r="R126" s="3">
        <v>0</v>
      </c>
      <c r="S126" s="4">
        <v>0</v>
      </c>
      <c r="T126" s="4">
        <v>13</v>
      </c>
      <c r="U126" s="4">
        <v>69</v>
      </c>
      <c r="V126" s="4">
        <f>IF(ISERROR(VLOOKUP($S$126,'TAR FIN'!$A$1:$O$91,15,0)),0,VLOOKUP($S$126,'TAR FIN'!$A$1:$O$91,15,0))</f>
        <v>0</v>
      </c>
      <c r="W126" s="4">
        <f>IF(ISERROR(VLOOKUP($T$126,'TAR FIN'!$A$1:$O$91,15,0)),0,VLOOKUP($T$126,'TAR FIN'!$A$1:$O$91,15,0))</f>
        <v>71.14</v>
      </c>
      <c r="X126" s="4">
        <f>IF(ISERROR(VLOOKUP($U$126,'TAR FIN'!$A$1:$O$91,15,0)),0,VLOOKUP($U$126,'TAR FIN'!$A$1:$O$91,15,0))</f>
        <v>249.25</v>
      </c>
      <c r="Y126" s="4"/>
      <c r="Z126" s="4">
        <f ca="1">('TUSD BE'!$AM$15+'TUSD BF'!$AM$15+'TUSD CVA'!$AM$15)*1</f>
        <v>102.88633971139855</v>
      </c>
      <c r="AA126" s="4">
        <f>('TE BE'!$AB$6+'TE BF'!$AB$6+'TE CVA'!$AB$6)*1</f>
        <v>203.38274236935246</v>
      </c>
      <c r="AB126" s="4">
        <f>$K$126*$V$126</f>
        <v>0</v>
      </c>
      <c r="AC126" s="4">
        <f>$M$126*$W$126</f>
        <v>21680.128420000001</v>
      </c>
      <c r="AD126" s="4">
        <f>$O$126*$X$126</f>
        <v>75959.685249999995</v>
      </c>
      <c r="AE126" s="4">
        <f>$K$126*$Y$126</f>
        <v>0</v>
      </c>
      <c r="AF126" s="4">
        <f ca="1">$M$126*$Z$126</f>
        <v>31354.920686067839</v>
      </c>
      <c r="AG126" s="4">
        <f>$O$126*$AA$126</f>
        <v>61981.500885287263</v>
      </c>
    </row>
    <row r="127" spans="1:33" ht="11.25" customHeight="1" x14ac:dyDescent="0.25">
      <c r="A127" s="3" t="s">
        <v>28</v>
      </c>
      <c r="B127" s="3" t="s">
        <v>35</v>
      </c>
      <c r="C127" s="3" t="s">
        <v>36</v>
      </c>
      <c r="D127" s="3" t="s">
        <v>39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44682</v>
      </c>
      <c r="J127" s="4">
        <v>0</v>
      </c>
      <c r="K127" s="4">
        <v>0</v>
      </c>
      <c r="L127" s="4">
        <v>8.58</v>
      </c>
      <c r="M127" s="4">
        <v>8.58</v>
      </c>
      <c r="N127" s="4">
        <v>8.58</v>
      </c>
      <c r="O127" s="4">
        <v>8.58</v>
      </c>
      <c r="P127" s="4">
        <v>0</v>
      </c>
      <c r="Q127" s="3" t="s">
        <v>26</v>
      </c>
      <c r="R127" s="3">
        <v>0</v>
      </c>
      <c r="S127" s="4">
        <v>0</v>
      </c>
      <c r="T127" s="4">
        <v>13</v>
      </c>
      <c r="U127" s="4">
        <v>69</v>
      </c>
      <c r="V127" s="4">
        <f>IF(ISERROR(VLOOKUP($S$127,'TAR FIN'!$A$1:$O$91,15,0)),0,VLOOKUP($S$127,'TAR FIN'!$A$1:$O$91,15,0))</f>
        <v>0</v>
      </c>
      <c r="W127" s="4">
        <f>IF(ISERROR(VLOOKUP($T$127,'TAR FIN'!$A$1:$O$91,15,0)),0,VLOOKUP($T$127,'TAR FIN'!$A$1:$O$91,15,0))</f>
        <v>71.14</v>
      </c>
      <c r="X127" s="4">
        <f>IF(ISERROR(VLOOKUP($U$127,'TAR FIN'!$A$1:$O$91,15,0)),0,VLOOKUP($U$127,'TAR FIN'!$A$1:$O$91,15,0))</f>
        <v>249.25</v>
      </c>
      <c r="Y127" s="4"/>
      <c r="Z127" s="4">
        <f ca="1">('TUSD BE'!$AM$15+'TUSD BF'!$AM$15+'TUSD CVA'!$AM$15)*1</f>
        <v>102.88633971139855</v>
      </c>
      <c r="AA127" s="4">
        <f>('TE BE'!$AB$6+'TE BF'!$AB$6+'TE CVA'!$AB$6)*1</f>
        <v>203.38274236935246</v>
      </c>
      <c r="AB127" s="4">
        <f>$K$127*$V$127</f>
        <v>0</v>
      </c>
      <c r="AC127" s="4">
        <f>$M$127*$W$127</f>
        <v>610.38120000000004</v>
      </c>
      <c r="AD127" s="4">
        <f>$O$127*$X$127</f>
        <v>2138.5650000000001</v>
      </c>
      <c r="AE127" s="4">
        <f>$K$127*$Y$127</f>
        <v>0</v>
      </c>
      <c r="AF127" s="4">
        <f ca="1">$M$127*$Z$127</f>
        <v>882.76479472379958</v>
      </c>
      <c r="AG127" s="4">
        <f>$O$127*$AA$127</f>
        <v>1745.0239295290442</v>
      </c>
    </row>
    <row r="128" spans="1:33" ht="11.25" customHeight="1" x14ac:dyDescent="0.25">
      <c r="A128" s="3" t="s">
        <v>21</v>
      </c>
      <c r="B128" s="3" t="s">
        <v>35</v>
      </c>
      <c r="C128" s="3" t="s">
        <v>36</v>
      </c>
      <c r="D128" s="3" t="s">
        <v>39</v>
      </c>
      <c r="E128" s="3" t="s">
        <v>25</v>
      </c>
      <c r="F128" s="3" t="s">
        <v>25</v>
      </c>
      <c r="G128" s="3" t="s">
        <v>25</v>
      </c>
      <c r="H128" s="3" t="s">
        <v>38</v>
      </c>
      <c r="I128" s="6">
        <v>44713</v>
      </c>
      <c r="J128" s="4">
        <v>0</v>
      </c>
      <c r="K128" s="4">
        <v>0</v>
      </c>
      <c r="L128" s="4">
        <v>282.12700000000001</v>
      </c>
      <c r="M128" s="4">
        <v>282.12700000000001</v>
      </c>
      <c r="N128" s="4">
        <v>282.12700000000001</v>
      </c>
      <c r="O128" s="4">
        <v>282.12700000000001</v>
      </c>
      <c r="P128" s="4">
        <v>0</v>
      </c>
      <c r="Q128" s="3" t="s">
        <v>26</v>
      </c>
      <c r="R128" s="3">
        <v>0</v>
      </c>
      <c r="S128" s="4">
        <v>0</v>
      </c>
      <c r="T128" s="4">
        <v>13</v>
      </c>
      <c r="U128" s="4">
        <v>69</v>
      </c>
      <c r="V128" s="4">
        <f>IF(ISERROR(VLOOKUP($S$128,'TAR FIN'!$A$1:$O$91,15,0)),0,VLOOKUP($S$128,'TAR FIN'!$A$1:$O$91,15,0))</f>
        <v>0</v>
      </c>
      <c r="W128" s="4">
        <f>IF(ISERROR(VLOOKUP($T$128,'TAR FIN'!$A$1:$O$91,15,0)),0,VLOOKUP($T$128,'TAR FIN'!$A$1:$O$91,15,0))</f>
        <v>71.14</v>
      </c>
      <c r="X128" s="4">
        <f>IF(ISERROR(VLOOKUP($U$128,'TAR FIN'!$A$1:$O$91,15,0)),0,VLOOKUP($U$128,'TAR FIN'!$A$1:$O$91,15,0))</f>
        <v>249.25</v>
      </c>
      <c r="Y128" s="4"/>
      <c r="Z128" s="4">
        <f ca="1">('TUSD BE'!$AM$15+'TUSD BF'!$AM$15+'TUSD CVA'!$AM$15)*1</f>
        <v>102.88633971139855</v>
      </c>
      <c r="AA128" s="4">
        <f>('TE BE'!$AB$6+'TE BF'!$AB$6+'TE CVA'!$AB$6)*1</f>
        <v>203.38274236935246</v>
      </c>
      <c r="AB128" s="4">
        <f>$K$128*$V$128</f>
        <v>0</v>
      </c>
      <c r="AC128" s="4">
        <f>$M$128*$W$128</f>
        <v>20070.514780000001</v>
      </c>
      <c r="AD128" s="4">
        <f>$O$128*$X$128</f>
        <v>70320.154750000002</v>
      </c>
      <c r="AE128" s="4">
        <f>$K$128*$Y$128</f>
        <v>0</v>
      </c>
      <c r="AF128" s="4">
        <f ca="1">$M$128*$Z$128</f>
        <v>29027.014363757738</v>
      </c>
      <c r="AG128" s="4">
        <f>$O$128*$AA$128</f>
        <v>57379.762956438302</v>
      </c>
    </row>
    <row r="129" spans="1:33" ht="11.25" customHeight="1" x14ac:dyDescent="0.25">
      <c r="A129" s="3" t="s">
        <v>28</v>
      </c>
      <c r="B129" s="3" t="s">
        <v>35</v>
      </c>
      <c r="C129" s="3" t="s">
        <v>36</v>
      </c>
      <c r="D129" s="3" t="s">
        <v>39</v>
      </c>
      <c r="E129" s="3" t="s">
        <v>25</v>
      </c>
      <c r="F129" s="3" t="s">
        <v>25</v>
      </c>
      <c r="G129" s="3" t="s">
        <v>25</v>
      </c>
      <c r="H129" s="3" t="s">
        <v>38</v>
      </c>
      <c r="I129" s="6">
        <v>44713</v>
      </c>
      <c r="J129" s="4">
        <v>0</v>
      </c>
      <c r="K129" s="4">
        <v>0</v>
      </c>
      <c r="L129" s="4">
        <v>13.981999999999999</v>
      </c>
      <c r="M129" s="4">
        <v>13.981999999999999</v>
      </c>
      <c r="N129" s="4">
        <v>13.981999999999999</v>
      </c>
      <c r="O129" s="4">
        <v>13.981999999999999</v>
      </c>
      <c r="P129" s="4">
        <v>0</v>
      </c>
      <c r="Q129" s="3" t="s">
        <v>26</v>
      </c>
      <c r="R129" s="3">
        <v>0</v>
      </c>
      <c r="S129" s="4">
        <v>0</v>
      </c>
      <c r="T129" s="4">
        <v>13</v>
      </c>
      <c r="U129" s="4">
        <v>69</v>
      </c>
      <c r="V129" s="4">
        <f>IF(ISERROR(VLOOKUP($S$129,'TAR FIN'!$A$1:$O$91,15,0)),0,VLOOKUP($S$129,'TAR FIN'!$A$1:$O$91,15,0))</f>
        <v>0</v>
      </c>
      <c r="W129" s="4">
        <f>IF(ISERROR(VLOOKUP($T$129,'TAR FIN'!$A$1:$O$91,15,0)),0,VLOOKUP($T$129,'TAR FIN'!$A$1:$O$91,15,0))</f>
        <v>71.14</v>
      </c>
      <c r="X129" s="4">
        <f>IF(ISERROR(VLOOKUP($U$129,'TAR FIN'!$A$1:$O$91,15,0)),0,VLOOKUP($U$129,'TAR FIN'!$A$1:$O$91,15,0))</f>
        <v>249.25</v>
      </c>
      <c r="Y129" s="4"/>
      <c r="Z129" s="4">
        <f ca="1">('TUSD BE'!$AM$15+'TUSD BF'!$AM$15+'TUSD CVA'!$AM$15)*1</f>
        <v>102.88633971139855</v>
      </c>
      <c r="AA129" s="4">
        <f>('TE BE'!$AB$6+'TE BF'!$AB$6+'TE CVA'!$AB$6)*1</f>
        <v>203.38274236935246</v>
      </c>
      <c r="AB129" s="4">
        <f>$K$129*$V$129</f>
        <v>0</v>
      </c>
      <c r="AC129" s="4">
        <f>$M$129*$W$129</f>
        <v>994.67948000000001</v>
      </c>
      <c r="AD129" s="4">
        <f>$O$129*$X$129</f>
        <v>3485.0135</v>
      </c>
      <c r="AE129" s="4">
        <f>$K$129*$Y$129</f>
        <v>0</v>
      </c>
      <c r="AF129" s="4">
        <f ca="1">$M$129*$Z$129</f>
        <v>1438.5568018447743</v>
      </c>
      <c r="AG129" s="4">
        <f>$O$129*$AA$129</f>
        <v>2843.697503808286</v>
      </c>
    </row>
    <row r="130" spans="1:33" ht="11.25" customHeight="1" x14ac:dyDescent="0.25">
      <c r="A130" s="3" t="s">
        <v>21</v>
      </c>
      <c r="B130" s="3" t="s">
        <v>35</v>
      </c>
      <c r="C130" s="3" t="s">
        <v>36</v>
      </c>
      <c r="D130" s="3" t="s">
        <v>39</v>
      </c>
      <c r="E130" s="3" t="s">
        <v>25</v>
      </c>
      <c r="F130" s="3" t="s">
        <v>25</v>
      </c>
      <c r="G130" s="3" t="s">
        <v>25</v>
      </c>
      <c r="H130" s="3" t="s">
        <v>38</v>
      </c>
      <c r="I130" s="6">
        <v>44743</v>
      </c>
      <c r="J130" s="4">
        <v>0</v>
      </c>
      <c r="K130" s="4">
        <v>0</v>
      </c>
      <c r="L130" s="4">
        <v>282.83699999999999</v>
      </c>
      <c r="M130" s="4">
        <v>282.83699999999999</v>
      </c>
      <c r="N130" s="4">
        <v>282.83699999999999</v>
      </c>
      <c r="O130" s="4">
        <v>282.83699999999999</v>
      </c>
      <c r="P130" s="4">
        <v>0</v>
      </c>
      <c r="Q130" s="3" t="s">
        <v>26</v>
      </c>
      <c r="R130" s="3">
        <v>0</v>
      </c>
      <c r="S130" s="4">
        <v>0</v>
      </c>
      <c r="T130" s="4">
        <v>13</v>
      </c>
      <c r="U130" s="4">
        <v>69</v>
      </c>
      <c r="V130" s="4">
        <f>IF(ISERROR(VLOOKUP($S$130,'TAR FIN'!$A$1:$O$91,15,0)),0,VLOOKUP($S$130,'TAR FIN'!$A$1:$O$91,15,0))</f>
        <v>0</v>
      </c>
      <c r="W130" s="4">
        <f>IF(ISERROR(VLOOKUP($T$130,'TAR FIN'!$A$1:$O$91,15,0)),0,VLOOKUP($T$130,'TAR FIN'!$A$1:$O$91,15,0))</f>
        <v>71.14</v>
      </c>
      <c r="X130" s="4">
        <f>IF(ISERROR(VLOOKUP($U$130,'TAR FIN'!$A$1:$O$91,15,0)),0,VLOOKUP($U$130,'TAR FIN'!$A$1:$O$91,15,0))</f>
        <v>249.25</v>
      </c>
      <c r="Y130" s="4"/>
      <c r="Z130" s="4">
        <f ca="1">('TUSD BE'!$AM$15+'TUSD BF'!$AM$15+'TUSD CVA'!$AM$15)*1</f>
        <v>102.88633971139855</v>
      </c>
      <c r="AA130" s="4">
        <f>('TE BE'!$AB$6+'TE BF'!$AB$6+'TE CVA'!$AB$6)*1</f>
        <v>203.38274236935246</v>
      </c>
      <c r="AB130" s="4">
        <f>$K$130*$V$130</f>
        <v>0</v>
      </c>
      <c r="AC130" s="4">
        <f>$M$130*$W$130</f>
        <v>20121.02418</v>
      </c>
      <c r="AD130" s="4">
        <f>$O$130*$X$130</f>
        <v>70497.12225</v>
      </c>
      <c r="AE130" s="4">
        <f>$K$130*$Y$130</f>
        <v>0</v>
      </c>
      <c r="AF130" s="4">
        <f ca="1">$M$130*$Z$130</f>
        <v>29100.063664952831</v>
      </c>
      <c r="AG130" s="4">
        <f>$O$130*$AA$130</f>
        <v>57524.164703520539</v>
      </c>
    </row>
    <row r="131" spans="1:33" ht="11.25" customHeight="1" x14ac:dyDescent="0.25">
      <c r="A131" s="3" t="s">
        <v>21</v>
      </c>
      <c r="B131" s="3" t="s">
        <v>35</v>
      </c>
      <c r="C131" s="3" t="s">
        <v>36</v>
      </c>
      <c r="D131" s="3" t="s">
        <v>39</v>
      </c>
      <c r="E131" s="3" t="s">
        <v>25</v>
      </c>
      <c r="F131" s="3" t="s">
        <v>25</v>
      </c>
      <c r="G131" s="3" t="s">
        <v>25</v>
      </c>
      <c r="H131" s="3" t="s">
        <v>38</v>
      </c>
      <c r="I131" s="6">
        <v>44774</v>
      </c>
      <c r="J131" s="4">
        <v>0</v>
      </c>
      <c r="K131" s="4">
        <v>0</v>
      </c>
      <c r="L131" s="4">
        <v>289.649</v>
      </c>
      <c r="M131" s="4">
        <v>289.649</v>
      </c>
      <c r="N131" s="4">
        <v>289.649</v>
      </c>
      <c r="O131" s="4">
        <v>289.649</v>
      </c>
      <c r="P131" s="4">
        <v>0</v>
      </c>
      <c r="Q131" s="3" t="s">
        <v>26</v>
      </c>
      <c r="R131" s="3">
        <v>0</v>
      </c>
      <c r="S131" s="4">
        <v>0</v>
      </c>
      <c r="T131" s="4">
        <v>13</v>
      </c>
      <c r="U131" s="4">
        <v>69</v>
      </c>
      <c r="V131" s="4">
        <f>IF(ISERROR(VLOOKUP($S$131,'TAR FIN'!$A$1:$O$91,15,0)),0,VLOOKUP($S$131,'TAR FIN'!$A$1:$O$91,15,0))</f>
        <v>0</v>
      </c>
      <c r="W131" s="4">
        <f>IF(ISERROR(VLOOKUP($T$131,'TAR FIN'!$A$1:$O$91,15,0)),0,VLOOKUP($T$131,'TAR FIN'!$A$1:$O$91,15,0))</f>
        <v>71.14</v>
      </c>
      <c r="X131" s="4">
        <f>IF(ISERROR(VLOOKUP($U$131,'TAR FIN'!$A$1:$O$91,15,0)),0,VLOOKUP($U$131,'TAR FIN'!$A$1:$O$91,15,0))</f>
        <v>249.25</v>
      </c>
      <c r="Y131" s="4"/>
      <c r="Z131" s="4">
        <f ca="1">('TUSD BE'!$AM$15+'TUSD BF'!$AM$15+'TUSD CVA'!$AM$15)*1</f>
        <v>102.88633971139855</v>
      </c>
      <c r="AA131" s="4">
        <f>('TE BE'!$AB$6+'TE BF'!$AB$6+'TE CVA'!$AB$6)*1</f>
        <v>203.38274236935246</v>
      </c>
      <c r="AB131" s="4">
        <f>$K$131*$V$131</f>
        <v>0</v>
      </c>
      <c r="AC131" s="4">
        <f>$M$131*$W$131</f>
        <v>20605.629860000001</v>
      </c>
      <c r="AD131" s="4">
        <f>$O$131*$X$131</f>
        <v>72195.013250000004</v>
      </c>
      <c r="AE131" s="4">
        <f>$K$131*$Y$131</f>
        <v>0</v>
      </c>
      <c r="AF131" s="4">
        <f ca="1">$M$131*$Z$131</f>
        <v>29800.925411066877</v>
      </c>
      <c r="AG131" s="4">
        <f>$O$131*$AA$131</f>
        <v>58909.60794454057</v>
      </c>
    </row>
    <row r="132" spans="1:33" ht="11.25" customHeight="1" x14ac:dyDescent="0.25">
      <c r="A132" s="3" t="s">
        <v>28</v>
      </c>
      <c r="B132" s="3" t="s">
        <v>35</v>
      </c>
      <c r="C132" s="3" t="s">
        <v>36</v>
      </c>
      <c r="D132" s="3" t="s">
        <v>39</v>
      </c>
      <c r="E132" s="3" t="s">
        <v>25</v>
      </c>
      <c r="F132" s="3" t="s">
        <v>25</v>
      </c>
      <c r="G132" s="3" t="s">
        <v>25</v>
      </c>
      <c r="H132" s="3" t="s">
        <v>38</v>
      </c>
      <c r="I132" s="6">
        <v>44774</v>
      </c>
      <c r="J132" s="4">
        <v>0</v>
      </c>
      <c r="K132" s="4">
        <v>0</v>
      </c>
      <c r="L132" s="4">
        <v>7.3029999999999999</v>
      </c>
      <c r="M132" s="4">
        <v>7.3029999999999999</v>
      </c>
      <c r="N132" s="4">
        <v>7.3029999999999999</v>
      </c>
      <c r="O132" s="4">
        <v>7.3029999999999999</v>
      </c>
      <c r="P132" s="4">
        <v>0</v>
      </c>
      <c r="Q132" s="3" t="s">
        <v>26</v>
      </c>
      <c r="R132" s="3">
        <v>0</v>
      </c>
      <c r="S132" s="4">
        <v>0</v>
      </c>
      <c r="T132" s="4">
        <v>13</v>
      </c>
      <c r="U132" s="4">
        <v>69</v>
      </c>
      <c r="V132" s="4">
        <f>IF(ISERROR(VLOOKUP($S$132,'TAR FIN'!$A$1:$O$91,15,0)),0,VLOOKUP($S$132,'TAR FIN'!$A$1:$O$91,15,0))</f>
        <v>0</v>
      </c>
      <c r="W132" s="4">
        <f>IF(ISERROR(VLOOKUP($T$132,'TAR FIN'!$A$1:$O$91,15,0)),0,VLOOKUP($T$132,'TAR FIN'!$A$1:$O$91,15,0))</f>
        <v>71.14</v>
      </c>
      <c r="X132" s="4">
        <f>IF(ISERROR(VLOOKUP($U$132,'TAR FIN'!$A$1:$O$91,15,0)),0,VLOOKUP($U$132,'TAR FIN'!$A$1:$O$91,15,0))</f>
        <v>249.25</v>
      </c>
      <c r="Y132" s="4"/>
      <c r="Z132" s="4">
        <f ca="1">('TUSD BE'!$AM$15+'TUSD BF'!$AM$15+'TUSD CVA'!$AM$15)*1</f>
        <v>102.88633971139855</v>
      </c>
      <c r="AA132" s="4">
        <f>('TE BE'!$AB$6+'TE BF'!$AB$6+'TE CVA'!$AB$6)*1</f>
        <v>203.38274236935246</v>
      </c>
      <c r="AB132" s="4">
        <f>$K$132*$V$132</f>
        <v>0</v>
      </c>
      <c r="AC132" s="4">
        <f>$M$132*$W$132</f>
        <v>519.53542000000004</v>
      </c>
      <c r="AD132" s="4">
        <f>$O$132*$X$132</f>
        <v>1820.2727500000001</v>
      </c>
      <c r="AE132" s="4">
        <f>$K$132*$Y$132</f>
        <v>0</v>
      </c>
      <c r="AF132" s="4">
        <f ca="1">$M$132*$Z$132</f>
        <v>751.37893891234364</v>
      </c>
      <c r="AG132" s="4">
        <f>$O$132*$AA$132</f>
        <v>1485.304167523381</v>
      </c>
    </row>
    <row r="133" spans="1:33" ht="11.25" customHeight="1" x14ac:dyDescent="0.25">
      <c r="A133" s="3" t="s">
        <v>21</v>
      </c>
      <c r="B133" s="3" t="s">
        <v>35</v>
      </c>
      <c r="C133" s="3" t="s">
        <v>36</v>
      </c>
      <c r="D133" s="3" t="s">
        <v>39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44440</v>
      </c>
      <c r="J133" s="4">
        <v>1307</v>
      </c>
      <c r="K133" s="4">
        <v>1307</v>
      </c>
      <c r="L133" s="4">
        <v>0</v>
      </c>
      <c r="M133" s="4">
        <v>0</v>
      </c>
      <c r="N133" s="4">
        <v>0</v>
      </c>
      <c r="O133" s="4">
        <v>0</v>
      </c>
      <c r="P133" s="4">
        <v>12</v>
      </c>
      <c r="Q133" s="3" t="s">
        <v>26</v>
      </c>
      <c r="R133" s="3">
        <v>0</v>
      </c>
      <c r="S133" s="4">
        <v>9</v>
      </c>
      <c r="T133" s="4">
        <v>0</v>
      </c>
      <c r="U133" s="4">
        <v>0</v>
      </c>
      <c r="V133" s="4">
        <f>IF(ISERROR(VLOOKUP($S$133,'TAR FIN'!$A$1:$O$91,15,0)),0,VLOOKUP($S$133,'TAR FIN'!$A$1:$O$91,15,0))</f>
        <v>18.149999999999999</v>
      </c>
      <c r="W133" s="4">
        <f>IF(ISERROR(VLOOKUP($T$133,'TAR FIN'!$A$1:$O$91,15,0)),0,VLOOKUP($T$133,'TAR FIN'!$A$1:$O$91,15,0))</f>
        <v>0</v>
      </c>
      <c r="X133" s="4">
        <f>IF(ISERROR(VLOOKUP($U$133,'TAR FIN'!$A$1:$O$91,15,0)),0,VLOOKUP($U$133,'TAR FIN'!$A$1:$O$91,15,0))</f>
        <v>0</v>
      </c>
      <c r="Y133" s="4">
        <f ca="1">('TUSD BE'!$AM$13+'TUSD BF'!$AM$13+'TUSD CVA'!$AM$13)*1</f>
        <v>21.278333841554378</v>
      </c>
      <c r="Z133" s="4"/>
      <c r="AA133" s="4"/>
      <c r="AB133" s="4">
        <f>$K$133*$V$133</f>
        <v>23722.05</v>
      </c>
      <c r="AC133" s="4">
        <f>$M$133*$W$133</f>
        <v>0</v>
      </c>
      <c r="AD133" s="4">
        <f>$O$133*$X$133</f>
        <v>0</v>
      </c>
      <c r="AE133" s="4">
        <f ca="1">$K$133*$Y$133</f>
        <v>27810.782330911574</v>
      </c>
      <c r="AF133" s="4">
        <f>$M$133*$Z$133</f>
        <v>0</v>
      </c>
      <c r="AG133" s="4">
        <f>$O$133*$AA$133</f>
        <v>0</v>
      </c>
    </row>
    <row r="134" spans="1:33" ht="11.25" customHeight="1" x14ac:dyDescent="0.25">
      <c r="A134" s="3" t="s">
        <v>28</v>
      </c>
      <c r="B134" s="3" t="s">
        <v>35</v>
      </c>
      <c r="C134" s="3" t="s">
        <v>36</v>
      </c>
      <c r="D134" s="3" t="s">
        <v>39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120</v>
      </c>
      <c r="K134" s="4">
        <v>120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3" t="s">
        <v>26</v>
      </c>
      <c r="R134" s="3">
        <v>0</v>
      </c>
      <c r="S134" s="4">
        <v>9</v>
      </c>
      <c r="T134" s="4">
        <v>0</v>
      </c>
      <c r="U134" s="4">
        <v>0</v>
      </c>
      <c r="V134" s="4">
        <f>IF(ISERROR(VLOOKUP($S$134,'TAR FIN'!$A$1:$O$91,15,0)),0,VLOOKUP($S$134,'TAR FIN'!$A$1:$O$91,15,0))</f>
        <v>18.149999999999999</v>
      </c>
      <c r="W134" s="4">
        <f>IF(ISERROR(VLOOKUP($T$134,'TAR FIN'!$A$1:$O$91,15,0)),0,VLOOKUP($T$134,'TAR FIN'!$A$1:$O$91,15,0))</f>
        <v>0</v>
      </c>
      <c r="X134" s="4">
        <f>IF(ISERROR(VLOOKUP($U$134,'TAR FIN'!$A$1:$O$91,15,0)),0,VLOOKUP($U$134,'TAR FIN'!$A$1:$O$91,15,0))</f>
        <v>0</v>
      </c>
      <c r="Y134" s="4">
        <f ca="1">('TUSD BE'!$AM$13+'TUSD BF'!$AM$13+'TUSD CVA'!$AM$13)*1</f>
        <v>21.278333841554378</v>
      </c>
      <c r="Z134" s="4"/>
      <c r="AA134" s="4"/>
      <c r="AB134" s="4">
        <f>$K$134*$V$134</f>
        <v>2178</v>
      </c>
      <c r="AC134" s="4">
        <f>$M$134*$W$134</f>
        <v>0</v>
      </c>
      <c r="AD134" s="4">
        <f>$O$134*$X$134</f>
        <v>0</v>
      </c>
      <c r="AE134" s="4">
        <f ca="1">$K$134*$Y$134</f>
        <v>2553.4000609865252</v>
      </c>
      <c r="AF134" s="4">
        <f>$M$134*$Z$134</f>
        <v>0</v>
      </c>
      <c r="AG134" s="4">
        <f>$O$134*$AA$134</f>
        <v>0</v>
      </c>
    </row>
    <row r="135" spans="1:33" ht="11.25" customHeight="1" x14ac:dyDescent="0.25">
      <c r="A135" s="3" t="s">
        <v>21</v>
      </c>
      <c r="B135" s="3" t="s">
        <v>35</v>
      </c>
      <c r="C135" s="3" t="s">
        <v>36</v>
      </c>
      <c r="D135" s="3" t="s">
        <v>39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44470</v>
      </c>
      <c r="J135" s="4">
        <v>1332</v>
      </c>
      <c r="K135" s="4">
        <v>1332</v>
      </c>
      <c r="L135" s="4">
        <v>0</v>
      </c>
      <c r="M135" s="4">
        <v>0</v>
      </c>
      <c r="N135" s="4">
        <v>0</v>
      </c>
      <c r="O135" s="4">
        <v>0</v>
      </c>
      <c r="P135" s="4">
        <v>12</v>
      </c>
      <c r="Q135" s="3" t="s">
        <v>26</v>
      </c>
      <c r="R135" s="3">
        <v>0</v>
      </c>
      <c r="S135" s="4">
        <v>9</v>
      </c>
      <c r="T135" s="4">
        <v>0</v>
      </c>
      <c r="U135" s="4">
        <v>0</v>
      </c>
      <c r="V135" s="4">
        <f>IF(ISERROR(VLOOKUP($S$135,'TAR FIN'!$A$1:$O$91,15,0)),0,VLOOKUP($S$135,'TAR FIN'!$A$1:$O$91,15,0))</f>
        <v>18.149999999999999</v>
      </c>
      <c r="W135" s="4">
        <f>IF(ISERROR(VLOOKUP($T$135,'TAR FIN'!$A$1:$O$91,15,0)),0,VLOOKUP($T$135,'TAR FIN'!$A$1:$O$91,15,0))</f>
        <v>0</v>
      </c>
      <c r="X135" s="4">
        <f>IF(ISERROR(VLOOKUP($U$135,'TAR FIN'!$A$1:$O$91,15,0)),0,VLOOKUP($U$135,'TAR FIN'!$A$1:$O$91,15,0))</f>
        <v>0</v>
      </c>
      <c r="Y135" s="4">
        <f ca="1">('TUSD BE'!$AM$13+'TUSD BF'!$AM$13+'TUSD CVA'!$AM$13)*1</f>
        <v>21.278333841554378</v>
      </c>
      <c r="Z135" s="4"/>
      <c r="AA135" s="4"/>
      <c r="AB135" s="4">
        <f>$K$135*$V$135</f>
        <v>24175.8</v>
      </c>
      <c r="AC135" s="4">
        <f>$M$135*$W$135</f>
        <v>0</v>
      </c>
      <c r="AD135" s="4">
        <f>$O$135*$X$135</f>
        <v>0</v>
      </c>
      <c r="AE135" s="4">
        <f ca="1">$K$135*$Y$135</f>
        <v>28342.74067695043</v>
      </c>
      <c r="AF135" s="4">
        <f>$M$135*$Z$135</f>
        <v>0</v>
      </c>
      <c r="AG135" s="4">
        <f>$O$135*$AA$135</f>
        <v>0</v>
      </c>
    </row>
    <row r="136" spans="1:33" ht="11.25" customHeight="1" x14ac:dyDescent="0.25">
      <c r="A136" s="3" t="s">
        <v>28</v>
      </c>
      <c r="B136" s="3" t="s">
        <v>35</v>
      </c>
      <c r="C136" s="3" t="s">
        <v>36</v>
      </c>
      <c r="D136" s="3" t="s">
        <v>39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44470</v>
      </c>
      <c r="J136" s="4">
        <v>120</v>
      </c>
      <c r="K136" s="4">
        <v>120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3" t="s">
        <v>26</v>
      </c>
      <c r="R136" s="3">
        <v>0</v>
      </c>
      <c r="S136" s="4">
        <v>9</v>
      </c>
      <c r="T136" s="4">
        <v>0</v>
      </c>
      <c r="U136" s="4">
        <v>0</v>
      </c>
      <c r="V136" s="4">
        <f>IF(ISERROR(VLOOKUP($S$136,'TAR FIN'!$A$1:$O$91,15,0)),0,VLOOKUP($S$136,'TAR FIN'!$A$1:$O$91,15,0))</f>
        <v>18.149999999999999</v>
      </c>
      <c r="W136" s="4">
        <f>IF(ISERROR(VLOOKUP($T$136,'TAR FIN'!$A$1:$O$91,15,0)),0,VLOOKUP($T$136,'TAR FIN'!$A$1:$O$91,15,0))</f>
        <v>0</v>
      </c>
      <c r="X136" s="4">
        <f>IF(ISERROR(VLOOKUP($U$136,'TAR FIN'!$A$1:$O$91,15,0)),0,VLOOKUP($U$136,'TAR FIN'!$A$1:$O$91,15,0))</f>
        <v>0</v>
      </c>
      <c r="Y136" s="4">
        <f ca="1">('TUSD BE'!$AM$13+'TUSD BF'!$AM$13+'TUSD CVA'!$AM$13)*1</f>
        <v>21.278333841554378</v>
      </c>
      <c r="Z136" s="4"/>
      <c r="AA136" s="4"/>
      <c r="AB136" s="4">
        <f>$K$136*$V$136</f>
        <v>2178</v>
      </c>
      <c r="AC136" s="4">
        <f>$M$136*$W$136</f>
        <v>0</v>
      </c>
      <c r="AD136" s="4">
        <f>$O$136*$X$136</f>
        <v>0</v>
      </c>
      <c r="AE136" s="4">
        <f ca="1">$K$136*$Y$136</f>
        <v>2553.4000609865252</v>
      </c>
      <c r="AF136" s="4">
        <f>$M$136*$Z$136</f>
        <v>0</v>
      </c>
      <c r="AG136" s="4">
        <f>$O$136*$AA$136</f>
        <v>0</v>
      </c>
    </row>
    <row r="137" spans="1:33" ht="11.25" customHeight="1" x14ac:dyDescent="0.25">
      <c r="A137" s="3" t="s">
        <v>21</v>
      </c>
      <c r="B137" s="3" t="s">
        <v>35</v>
      </c>
      <c r="C137" s="3" t="s">
        <v>36</v>
      </c>
      <c r="D137" s="3" t="s">
        <v>39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44501</v>
      </c>
      <c r="J137" s="4">
        <v>1388</v>
      </c>
      <c r="K137" s="4">
        <v>1388</v>
      </c>
      <c r="L137" s="4">
        <v>0</v>
      </c>
      <c r="M137" s="4">
        <v>0</v>
      </c>
      <c r="N137" s="4">
        <v>0</v>
      </c>
      <c r="O137" s="4">
        <v>0</v>
      </c>
      <c r="P137" s="4">
        <v>12</v>
      </c>
      <c r="Q137" s="3" t="s">
        <v>26</v>
      </c>
      <c r="R137" s="3">
        <v>0</v>
      </c>
      <c r="S137" s="4">
        <v>9</v>
      </c>
      <c r="T137" s="4">
        <v>0</v>
      </c>
      <c r="U137" s="4">
        <v>0</v>
      </c>
      <c r="V137" s="4">
        <f>IF(ISERROR(VLOOKUP($S$137,'TAR FIN'!$A$1:$O$91,15,0)),0,VLOOKUP($S$137,'TAR FIN'!$A$1:$O$91,15,0))</f>
        <v>18.149999999999999</v>
      </c>
      <c r="W137" s="4">
        <f>IF(ISERROR(VLOOKUP($T$137,'TAR FIN'!$A$1:$O$91,15,0)),0,VLOOKUP($T$137,'TAR FIN'!$A$1:$O$91,15,0))</f>
        <v>0</v>
      </c>
      <c r="X137" s="4">
        <f>IF(ISERROR(VLOOKUP($U$137,'TAR FIN'!$A$1:$O$91,15,0)),0,VLOOKUP($U$137,'TAR FIN'!$A$1:$O$91,15,0))</f>
        <v>0</v>
      </c>
      <c r="Y137" s="4">
        <f ca="1">('TUSD BE'!$AM$13+'TUSD BF'!$AM$13+'TUSD CVA'!$AM$13)*1</f>
        <v>21.278333841554378</v>
      </c>
      <c r="Z137" s="4"/>
      <c r="AA137" s="4"/>
      <c r="AB137" s="4">
        <f>$K$137*$V$137</f>
        <v>25192.199999999997</v>
      </c>
      <c r="AC137" s="4">
        <f>$M$137*$W$137</f>
        <v>0</v>
      </c>
      <c r="AD137" s="4">
        <f>$O$137*$X$137</f>
        <v>0</v>
      </c>
      <c r="AE137" s="4">
        <f ca="1">$K$137*$Y$137</f>
        <v>29534.327372077478</v>
      </c>
      <c r="AF137" s="4">
        <f>$M$137*$Z$137</f>
        <v>0</v>
      </c>
      <c r="AG137" s="4">
        <f>$O$137*$AA$137</f>
        <v>0</v>
      </c>
    </row>
    <row r="138" spans="1:33" ht="11.25" customHeight="1" x14ac:dyDescent="0.25">
      <c r="A138" s="3" t="s">
        <v>28</v>
      </c>
      <c r="B138" s="3" t="s">
        <v>35</v>
      </c>
      <c r="C138" s="3" t="s">
        <v>36</v>
      </c>
      <c r="D138" s="3" t="s">
        <v>39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44501</v>
      </c>
      <c r="J138" s="4">
        <v>120</v>
      </c>
      <c r="K138" s="4">
        <v>120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3" t="s">
        <v>26</v>
      </c>
      <c r="R138" s="3">
        <v>0</v>
      </c>
      <c r="S138" s="4">
        <v>9</v>
      </c>
      <c r="T138" s="4">
        <v>0</v>
      </c>
      <c r="U138" s="4">
        <v>0</v>
      </c>
      <c r="V138" s="4">
        <f>IF(ISERROR(VLOOKUP($S$138,'TAR FIN'!$A$1:$O$91,15,0)),0,VLOOKUP($S$138,'TAR FIN'!$A$1:$O$91,15,0))</f>
        <v>18.149999999999999</v>
      </c>
      <c r="W138" s="4">
        <f>IF(ISERROR(VLOOKUP($T$138,'TAR FIN'!$A$1:$O$91,15,0)),0,VLOOKUP($T$138,'TAR FIN'!$A$1:$O$91,15,0))</f>
        <v>0</v>
      </c>
      <c r="X138" s="4">
        <f>IF(ISERROR(VLOOKUP($U$138,'TAR FIN'!$A$1:$O$91,15,0)),0,VLOOKUP($U$138,'TAR FIN'!$A$1:$O$91,15,0))</f>
        <v>0</v>
      </c>
      <c r="Y138" s="4">
        <f ca="1">('TUSD BE'!$AM$13+'TUSD BF'!$AM$13+'TUSD CVA'!$AM$13)*1</f>
        <v>21.278333841554378</v>
      </c>
      <c r="Z138" s="4"/>
      <c r="AA138" s="4"/>
      <c r="AB138" s="4">
        <f>$K$138*$V$138</f>
        <v>2178</v>
      </c>
      <c r="AC138" s="4">
        <f>$M$138*$W$138</f>
        <v>0</v>
      </c>
      <c r="AD138" s="4">
        <f>$O$138*$X$138</f>
        <v>0</v>
      </c>
      <c r="AE138" s="4">
        <f ca="1">$K$138*$Y$138</f>
        <v>2553.4000609865252</v>
      </c>
      <c r="AF138" s="4">
        <f>$M$138*$Z$138</f>
        <v>0</v>
      </c>
      <c r="AG138" s="4">
        <f>$O$138*$AA$138</f>
        <v>0</v>
      </c>
    </row>
    <row r="139" spans="1:33" ht="11.25" customHeight="1" x14ac:dyDescent="0.25">
      <c r="A139" s="3" t="s">
        <v>21</v>
      </c>
      <c r="B139" s="3" t="s">
        <v>35</v>
      </c>
      <c r="C139" s="3" t="s">
        <v>36</v>
      </c>
      <c r="D139" s="3" t="s">
        <v>39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1386</v>
      </c>
      <c r="K139" s="4">
        <v>1386</v>
      </c>
      <c r="L139" s="4">
        <v>0</v>
      </c>
      <c r="M139" s="4">
        <v>0</v>
      </c>
      <c r="N139" s="4">
        <v>0</v>
      </c>
      <c r="O139" s="4">
        <v>0</v>
      </c>
      <c r="P139" s="4">
        <v>12</v>
      </c>
      <c r="Q139" s="3" t="s">
        <v>26</v>
      </c>
      <c r="R139" s="3">
        <v>0</v>
      </c>
      <c r="S139" s="4">
        <v>9</v>
      </c>
      <c r="T139" s="4">
        <v>0</v>
      </c>
      <c r="U139" s="4">
        <v>0</v>
      </c>
      <c r="V139" s="4">
        <f>IF(ISERROR(VLOOKUP($S$139,'TAR FIN'!$A$1:$O$91,15,0)),0,VLOOKUP($S$139,'TAR FIN'!$A$1:$O$91,15,0))</f>
        <v>18.149999999999999</v>
      </c>
      <c r="W139" s="4">
        <f>IF(ISERROR(VLOOKUP($T$139,'TAR FIN'!$A$1:$O$91,15,0)),0,VLOOKUP($T$139,'TAR FIN'!$A$1:$O$91,15,0))</f>
        <v>0</v>
      </c>
      <c r="X139" s="4">
        <f>IF(ISERROR(VLOOKUP($U$139,'TAR FIN'!$A$1:$O$91,15,0)),0,VLOOKUP($U$139,'TAR FIN'!$A$1:$O$91,15,0))</f>
        <v>0</v>
      </c>
      <c r="Y139" s="4">
        <f ca="1">('TUSD BE'!$AM$13+'TUSD BF'!$AM$13+'TUSD CVA'!$AM$13)*1</f>
        <v>21.278333841554378</v>
      </c>
      <c r="Z139" s="4"/>
      <c r="AA139" s="4"/>
      <c r="AB139" s="4">
        <f>$K$139*$V$139</f>
        <v>25155.899999999998</v>
      </c>
      <c r="AC139" s="4">
        <f>$M$139*$W$139</f>
        <v>0</v>
      </c>
      <c r="AD139" s="4">
        <f>$O$139*$X$139</f>
        <v>0</v>
      </c>
      <c r="AE139" s="4">
        <f ca="1">$K$139*$Y$139</f>
        <v>29491.770704394366</v>
      </c>
      <c r="AF139" s="4">
        <f>$M$139*$Z$139</f>
        <v>0</v>
      </c>
      <c r="AG139" s="4">
        <f>$O$139*$AA$139</f>
        <v>0</v>
      </c>
    </row>
    <row r="140" spans="1:33" ht="11.25" customHeight="1" x14ac:dyDescent="0.25">
      <c r="A140" s="3" t="s">
        <v>28</v>
      </c>
      <c r="B140" s="3" t="s">
        <v>35</v>
      </c>
      <c r="C140" s="3" t="s">
        <v>36</v>
      </c>
      <c r="D140" s="3" t="s">
        <v>39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120</v>
      </c>
      <c r="K140" s="4">
        <v>120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3" t="s">
        <v>26</v>
      </c>
      <c r="R140" s="3">
        <v>0</v>
      </c>
      <c r="S140" s="4">
        <v>9</v>
      </c>
      <c r="T140" s="4">
        <v>0</v>
      </c>
      <c r="U140" s="4">
        <v>0</v>
      </c>
      <c r="V140" s="4">
        <f>IF(ISERROR(VLOOKUP($S$140,'TAR FIN'!$A$1:$O$91,15,0)),0,VLOOKUP($S$140,'TAR FIN'!$A$1:$O$91,15,0))</f>
        <v>18.149999999999999</v>
      </c>
      <c r="W140" s="4">
        <f>IF(ISERROR(VLOOKUP($T$140,'TAR FIN'!$A$1:$O$91,15,0)),0,VLOOKUP($T$140,'TAR FIN'!$A$1:$O$91,15,0))</f>
        <v>0</v>
      </c>
      <c r="X140" s="4">
        <f>IF(ISERROR(VLOOKUP($U$140,'TAR FIN'!$A$1:$O$91,15,0)),0,VLOOKUP($U$140,'TAR FIN'!$A$1:$O$91,15,0))</f>
        <v>0</v>
      </c>
      <c r="Y140" s="4">
        <f ca="1">('TUSD BE'!$AM$13+'TUSD BF'!$AM$13+'TUSD CVA'!$AM$13)*1</f>
        <v>21.278333841554378</v>
      </c>
      <c r="Z140" s="4"/>
      <c r="AA140" s="4"/>
      <c r="AB140" s="4">
        <f>$K$140*$V$140</f>
        <v>2178</v>
      </c>
      <c r="AC140" s="4">
        <f>$M$140*$W$140</f>
        <v>0</v>
      </c>
      <c r="AD140" s="4">
        <f>$O$140*$X$140</f>
        <v>0</v>
      </c>
      <c r="AE140" s="4">
        <f ca="1">$K$140*$Y$140</f>
        <v>2553.4000609865252</v>
      </c>
      <c r="AF140" s="4">
        <f>$M$140*$Z$140</f>
        <v>0</v>
      </c>
      <c r="AG140" s="4">
        <f>$O$140*$AA$140</f>
        <v>0</v>
      </c>
    </row>
    <row r="141" spans="1:33" ht="11.25" customHeight="1" x14ac:dyDescent="0.25">
      <c r="A141" s="3" t="s">
        <v>21</v>
      </c>
      <c r="B141" s="3" t="s">
        <v>35</v>
      </c>
      <c r="C141" s="3" t="s">
        <v>36</v>
      </c>
      <c r="D141" s="3" t="s">
        <v>39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1425</v>
      </c>
      <c r="K141" s="4">
        <v>1425</v>
      </c>
      <c r="L141" s="4">
        <v>0</v>
      </c>
      <c r="M141" s="4">
        <v>0</v>
      </c>
      <c r="N141" s="4">
        <v>0</v>
      </c>
      <c r="O141" s="4">
        <v>0</v>
      </c>
      <c r="P141" s="4">
        <v>12</v>
      </c>
      <c r="Q141" s="3" t="s">
        <v>26</v>
      </c>
      <c r="R141" s="3">
        <v>0</v>
      </c>
      <c r="S141" s="4">
        <v>9</v>
      </c>
      <c r="T141" s="4">
        <v>0</v>
      </c>
      <c r="U141" s="4">
        <v>0</v>
      </c>
      <c r="V141" s="4">
        <f>IF(ISERROR(VLOOKUP($S$141,'TAR FIN'!$A$1:$O$91,15,0)),0,VLOOKUP($S$141,'TAR FIN'!$A$1:$O$91,15,0))</f>
        <v>18.149999999999999</v>
      </c>
      <c r="W141" s="4">
        <f>IF(ISERROR(VLOOKUP($T$141,'TAR FIN'!$A$1:$O$91,15,0)),0,VLOOKUP($T$141,'TAR FIN'!$A$1:$O$91,15,0))</f>
        <v>0</v>
      </c>
      <c r="X141" s="4">
        <f>IF(ISERROR(VLOOKUP($U$141,'TAR FIN'!$A$1:$O$91,15,0)),0,VLOOKUP($U$141,'TAR FIN'!$A$1:$O$91,15,0))</f>
        <v>0</v>
      </c>
      <c r="Y141" s="4">
        <f ca="1">('TUSD BE'!$AM$13+'TUSD BF'!$AM$13+'TUSD CVA'!$AM$13)*1</f>
        <v>21.278333841554378</v>
      </c>
      <c r="Z141" s="4"/>
      <c r="AA141" s="4"/>
      <c r="AB141" s="4">
        <f>$K$141*$V$141</f>
        <v>25863.749999999996</v>
      </c>
      <c r="AC141" s="4">
        <f>$M$141*$W$141</f>
        <v>0</v>
      </c>
      <c r="AD141" s="4">
        <f>$O$141*$X$141</f>
        <v>0</v>
      </c>
      <c r="AE141" s="4">
        <f ca="1">$K$141*$Y$141</f>
        <v>30321.625724214988</v>
      </c>
      <c r="AF141" s="4">
        <f>$M$141*$Z$141</f>
        <v>0</v>
      </c>
      <c r="AG141" s="4">
        <f>$O$141*$AA$141</f>
        <v>0</v>
      </c>
    </row>
    <row r="142" spans="1:33" ht="11.25" customHeight="1" x14ac:dyDescent="0.25">
      <c r="A142" s="3" t="s">
        <v>28</v>
      </c>
      <c r="B142" s="3" t="s">
        <v>35</v>
      </c>
      <c r="C142" s="3" t="s">
        <v>36</v>
      </c>
      <c r="D142" s="3" t="s">
        <v>39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44562</v>
      </c>
      <c r="J142" s="4">
        <v>135</v>
      </c>
      <c r="K142" s="4">
        <v>135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3" t="s">
        <v>26</v>
      </c>
      <c r="R142" s="3">
        <v>0</v>
      </c>
      <c r="S142" s="4">
        <v>9</v>
      </c>
      <c r="T142" s="4">
        <v>0</v>
      </c>
      <c r="U142" s="4">
        <v>0</v>
      </c>
      <c r="V142" s="4">
        <f>IF(ISERROR(VLOOKUP($S$142,'TAR FIN'!$A$1:$O$91,15,0)),0,VLOOKUP($S$142,'TAR FIN'!$A$1:$O$91,15,0))</f>
        <v>18.149999999999999</v>
      </c>
      <c r="W142" s="4">
        <f>IF(ISERROR(VLOOKUP($T$142,'TAR FIN'!$A$1:$O$91,15,0)),0,VLOOKUP($T$142,'TAR FIN'!$A$1:$O$91,15,0))</f>
        <v>0</v>
      </c>
      <c r="X142" s="4">
        <f>IF(ISERROR(VLOOKUP($U$142,'TAR FIN'!$A$1:$O$91,15,0)),0,VLOOKUP($U$142,'TAR FIN'!$A$1:$O$91,15,0))</f>
        <v>0</v>
      </c>
      <c r="Y142" s="4">
        <f ca="1">('TUSD BE'!$AM$13+'TUSD BF'!$AM$13+'TUSD CVA'!$AM$13)*1</f>
        <v>21.278333841554378</v>
      </c>
      <c r="Z142" s="4"/>
      <c r="AA142" s="4"/>
      <c r="AB142" s="4">
        <f>$K$142*$V$142</f>
        <v>2450.25</v>
      </c>
      <c r="AC142" s="4">
        <f>$M$142*$W$142</f>
        <v>0</v>
      </c>
      <c r="AD142" s="4">
        <f>$O$142*$X$142</f>
        <v>0</v>
      </c>
      <c r="AE142" s="4">
        <f ca="1">$K$142*$Y$142</f>
        <v>2872.5750686098409</v>
      </c>
      <c r="AF142" s="4">
        <f>$M$142*$Z$142</f>
        <v>0</v>
      </c>
      <c r="AG142" s="4">
        <f>$O$142*$AA$142</f>
        <v>0</v>
      </c>
    </row>
    <row r="143" spans="1:33" ht="11.25" customHeight="1" x14ac:dyDescent="0.25">
      <c r="A143" s="3" t="s">
        <v>21</v>
      </c>
      <c r="B143" s="3" t="s">
        <v>35</v>
      </c>
      <c r="C143" s="3" t="s">
        <v>36</v>
      </c>
      <c r="D143" s="3" t="s">
        <v>39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1425</v>
      </c>
      <c r="K143" s="4">
        <v>1425</v>
      </c>
      <c r="L143" s="4">
        <v>0</v>
      </c>
      <c r="M143" s="4">
        <v>0</v>
      </c>
      <c r="N143" s="4">
        <v>0</v>
      </c>
      <c r="O143" s="4">
        <v>0</v>
      </c>
      <c r="P143" s="4">
        <v>12</v>
      </c>
      <c r="Q143" s="3" t="s">
        <v>26</v>
      </c>
      <c r="R143" s="3">
        <v>0</v>
      </c>
      <c r="S143" s="4">
        <v>9</v>
      </c>
      <c r="T143" s="4">
        <v>0</v>
      </c>
      <c r="U143" s="4">
        <v>0</v>
      </c>
      <c r="V143" s="4">
        <f>IF(ISERROR(VLOOKUP($S$143,'TAR FIN'!$A$1:$O$91,15,0)),0,VLOOKUP($S$143,'TAR FIN'!$A$1:$O$91,15,0))</f>
        <v>18.149999999999999</v>
      </c>
      <c r="W143" s="4">
        <f>IF(ISERROR(VLOOKUP($T$143,'TAR FIN'!$A$1:$O$91,15,0)),0,VLOOKUP($T$143,'TAR FIN'!$A$1:$O$91,15,0))</f>
        <v>0</v>
      </c>
      <c r="X143" s="4">
        <f>IF(ISERROR(VLOOKUP($U$143,'TAR FIN'!$A$1:$O$91,15,0)),0,VLOOKUP($U$143,'TAR FIN'!$A$1:$O$91,15,0))</f>
        <v>0</v>
      </c>
      <c r="Y143" s="4">
        <f ca="1">('TUSD BE'!$AM$13+'TUSD BF'!$AM$13+'TUSD CVA'!$AM$13)*1</f>
        <v>21.278333841554378</v>
      </c>
      <c r="Z143" s="4"/>
      <c r="AA143" s="4"/>
      <c r="AB143" s="4">
        <f>$K$143*$V$143</f>
        <v>25863.749999999996</v>
      </c>
      <c r="AC143" s="4">
        <f>$M$143*$W$143</f>
        <v>0</v>
      </c>
      <c r="AD143" s="4">
        <f>$O$143*$X$143</f>
        <v>0</v>
      </c>
      <c r="AE143" s="4">
        <f ca="1">$K$143*$Y$143</f>
        <v>30321.625724214988</v>
      </c>
      <c r="AF143" s="4">
        <f>$M$143*$Z$143</f>
        <v>0</v>
      </c>
      <c r="AG143" s="4">
        <f>$O$143*$AA$143</f>
        <v>0</v>
      </c>
    </row>
    <row r="144" spans="1:33" ht="11.25" customHeight="1" x14ac:dyDescent="0.25">
      <c r="A144" s="3" t="s">
        <v>28</v>
      </c>
      <c r="B144" s="3" t="s">
        <v>35</v>
      </c>
      <c r="C144" s="3" t="s">
        <v>36</v>
      </c>
      <c r="D144" s="3" t="s">
        <v>39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120</v>
      </c>
      <c r="K144" s="4">
        <v>120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3" t="s">
        <v>26</v>
      </c>
      <c r="R144" s="3">
        <v>0</v>
      </c>
      <c r="S144" s="4">
        <v>9</v>
      </c>
      <c r="T144" s="4">
        <v>0</v>
      </c>
      <c r="U144" s="4">
        <v>0</v>
      </c>
      <c r="V144" s="4">
        <f>IF(ISERROR(VLOOKUP($S$144,'TAR FIN'!$A$1:$O$91,15,0)),0,VLOOKUP($S$144,'TAR FIN'!$A$1:$O$91,15,0))</f>
        <v>18.149999999999999</v>
      </c>
      <c r="W144" s="4">
        <f>IF(ISERROR(VLOOKUP($T$144,'TAR FIN'!$A$1:$O$91,15,0)),0,VLOOKUP($T$144,'TAR FIN'!$A$1:$O$91,15,0))</f>
        <v>0</v>
      </c>
      <c r="X144" s="4">
        <f>IF(ISERROR(VLOOKUP($U$144,'TAR FIN'!$A$1:$O$91,15,0)),0,VLOOKUP($U$144,'TAR FIN'!$A$1:$O$91,15,0))</f>
        <v>0</v>
      </c>
      <c r="Y144" s="4">
        <f ca="1">('TUSD BE'!$AM$13+'TUSD BF'!$AM$13+'TUSD CVA'!$AM$13)*1</f>
        <v>21.278333841554378</v>
      </c>
      <c r="Z144" s="4"/>
      <c r="AA144" s="4"/>
      <c r="AB144" s="4">
        <f>$K$144*$V$144</f>
        <v>2178</v>
      </c>
      <c r="AC144" s="4">
        <f>$M$144*$W$144</f>
        <v>0</v>
      </c>
      <c r="AD144" s="4">
        <f>$O$144*$X$144</f>
        <v>0</v>
      </c>
      <c r="AE144" s="4">
        <f ca="1">$K$144*$Y$144</f>
        <v>2553.4000609865252</v>
      </c>
      <c r="AF144" s="4">
        <f>$M$144*$Z$144</f>
        <v>0</v>
      </c>
      <c r="AG144" s="4">
        <f>$O$144*$AA$144</f>
        <v>0</v>
      </c>
    </row>
    <row r="145" spans="1:33" ht="11.25" customHeight="1" x14ac:dyDescent="0.25">
      <c r="A145" s="3" t="s">
        <v>21</v>
      </c>
      <c r="B145" s="3" t="s">
        <v>35</v>
      </c>
      <c r="C145" s="3" t="s">
        <v>36</v>
      </c>
      <c r="D145" s="3" t="s">
        <v>39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44621</v>
      </c>
      <c r="J145" s="4">
        <v>1536</v>
      </c>
      <c r="K145" s="4">
        <v>1536</v>
      </c>
      <c r="L145" s="4">
        <v>0</v>
      </c>
      <c r="M145" s="4">
        <v>0</v>
      </c>
      <c r="N145" s="4">
        <v>0</v>
      </c>
      <c r="O145" s="4">
        <v>0</v>
      </c>
      <c r="P145" s="4">
        <v>13</v>
      </c>
      <c r="Q145" s="3" t="s">
        <v>26</v>
      </c>
      <c r="R145" s="3">
        <v>0</v>
      </c>
      <c r="S145" s="4">
        <v>9</v>
      </c>
      <c r="T145" s="4">
        <v>0</v>
      </c>
      <c r="U145" s="4">
        <v>0</v>
      </c>
      <c r="V145" s="4">
        <f>IF(ISERROR(VLOOKUP($S$145,'TAR FIN'!$A$1:$O$91,15,0)),0,VLOOKUP($S$145,'TAR FIN'!$A$1:$O$91,15,0))</f>
        <v>18.149999999999999</v>
      </c>
      <c r="W145" s="4">
        <f>IF(ISERROR(VLOOKUP($T$145,'TAR FIN'!$A$1:$O$91,15,0)),0,VLOOKUP($T$145,'TAR FIN'!$A$1:$O$91,15,0))</f>
        <v>0</v>
      </c>
      <c r="X145" s="4">
        <f>IF(ISERROR(VLOOKUP($U$145,'TAR FIN'!$A$1:$O$91,15,0)),0,VLOOKUP($U$145,'TAR FIN'!$A$1:$O$91,15,0))</f>
        <v>0</v>
      </c>
      <c r="Y145" s="4">
        <f ca="1">('TUSD BE'!$AM$13+'TUSD BF'!$AM$13+'TUSD CVA'!$AM$13)*1</f>
        <v>21.278333841554378</v>
      </c>
      <c r="Z145" s="4"/>
      <c r="AA145" s="4"/>
      <c r="AB145" s="4">
        <f>$K$145*$V$145</f>
        <v>27878.399999999998</v>
      </c>
      <c r="AC145" s="4">
        <f>$M$145*$W$145</f>
        <v>0</v>
      </c>
      <c r="AD145" s="4">
        <f>$O$145*$X$145</f>
        <v>0</v>
      </c>
      <c r="AE145" s="4">
        <f ca="1">$K$145*$Y$145</f>
        <v>32683.520780627525</v>
      </c>
      <c r="AF145" s="4">
        <f>$M$145*$Z$145</f>
        <v>0</v>
      </c>
      <c r="AG145" s="4">
        <f>$O$145*$AA$145</f>
        <v>0</v>
      </c>
    </row>
    <row r="146" spans="1:33" ht="11.25" customHeight="1" x14ac:dyDescent="0.25">
      <c r="A146" s="3" t="s">
        <v>28</v>
      </c>
      <c r="B146" s="3" t="s">
        <v>35</v>
      </c>
      <c r="C146" s="3" t="s">
        <v>36</v>
      </c>
      <c r="D146" s="3" t="s">
        <v>39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133</v>
      </c>
      <c r="K146" s="4">
        <v>133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3" t="s">
        <v>26</v>
      </c>
      <c r="R146" s="3">
        <v>0</v>
      </c>
      <c r="S146" s="4">
        <v>9</v>
      </c>
      <c r="T146" s="4">
        <v>0</v>
      </c>
      <c r="U146" s="4">
        <v>0</v>
      </c>
      <c r="V146" s="4">
        <f>IF(ISERROR(VLOOKUP($S$146,'TAR FIN'!$A$1:$O$91,15,0)),0,VLOOKUP($S$146,'TAR FIN'!$A$1:$O$91,15,0))</f>
        <v>18.149999999999999</v>
      </c>
      <c r="W146" s="4">
        <f>IF(ISERROR(VLOOKUP($T$146,'TAR FIN'!$A$1:$O$91,15,0)),0,VLOOKUP($T$146,'TAR FIN'!$A$1:$O$91,15,0))</f>
        <v>0</v>
      </c>
      <c r="X146" s="4">
        <f>IF(ISERROR(VLOOKUP($U$146,'TAR FIN'!$A$1:$O$91,15,0)),0,VLOOKUP($U$146,'TAR FIN'!$A$1:$O$91,15,0))</f>
        <v>0</v>
      </c>
      <c r="Y146" s="4">
        <f ca="1">('TUSD BE'!$AM$13+'TUSD BF'!$AM$13+'TUSD CVA'!$AM$13)*1</f>
        <v>21.278333841554378</v>
      </c>
      <c r="Z146" s="4"/>
      <c r="AA146" s="4"/>
      <c r="AB146" s="4">
        <f>$K$146*$V$146</f>
        <v>2413.9499999999998</v>
      </c>
      <c r="AC146" s="4">
        <f>$M$146*$W$146</f>
        <v>0</v>
      </c>
      <c r="AD146" s="4">
        <f>$O$146*$X$146</f>
        <v>0</v>
      </c>
      <c r="AE146" s="4">
        <f ca="1">$K$146*$Y$146</f>
        <v>2830.0184009267323</v>
      </c>
      <c r="AF146" s="4">
        <f>$M$146*$Z$146</f>
        <v>0</v>
      </c>
      <c r="AG146" s="4">
        <f>$O$146*$AA$146</f>
        <v>0</v>
      </c>
    </row>
    <row r="147" spans="1:33" ht="11.25" customHeight="1" x14ac:dyDescent="0.25">
      <c r="A147" s="3" t="s">
        <v>21</v>
      </c>
      <c r="B147" s="3" t="s">
        <v>35</v>
      </c>
      <c r="C147" s="3" t="s">
        <v>36</v>
      </c>
      <c r="D147" s="3" t="s">
        <v>39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44652</v>
      </c>
      <c r="J147" s="4">
        <v>1399</v>
      </c>
      <c r="K147" s="4">
        <v>1399</v>
      </c>
      <c r="L147" s="4">
        <v>0</v>
      </c>
      <c r="M147" s="4">
        <v>0</v>
      </c>
      <c r="N147" s="4">
        <v>0</v>
      </c>
      <c r="O147" s="4">
        <v>0</v>
      </c>
      <c r="P147" s="4">
        <v>13</v>
      </c>
      <c r="Q147" s="3" t="s">
        <v>26</v>
      </c>
      <c r="R147" s="3">
        <v>0</v>
      </c>
      <c r="S147" s="4">
        <v>9</v>
      </c>
      <c r="T147" s="4">
        <v>0</v>
      </c>
      <c r="U147" s="4">
        <v>0</v>
      </c>
      <c r="V147" s="4">
        <f>IF(ISERROR(VLOOKUP($S$147,'TAR FIN'!$A$1:$O$91,15,0)),0,VLOOKUP($S$147,'TAR FIN'!$A$1:$O$91,15,0))</f>
        <v>18.149999999999999</v>
      </c>
      <c r="W147" s="4">
        <f>IF(ISERROR(VLOOKUP($T$147,'TAR FIN'!$A$1:$O$91,15,0)),0,VLOOKUP($T$147,'TAR FIN'!$A$1:$O$91,15,0))</f>
        <v>0</v>
      </c>
      <c r="X147" s="4">
        <f>IF(ISERROR(VLOOKUP($U$147,'TAR FIN'!$A$1:$O$91,15,0)),0,VLOOKUP($U$147,'TAR FIN'!$A$1:$O$91,15,0))</f>
        <v>0</v>
      </c>
      <c r="Y147" s="4">
        <f ca="1">('TUSD BE'!$AM$13+'TUSD BF'!$AM$13+'TUSD CVA'!$AM$13)*1</f>
        <v>21.278333841554378</v>
      </c>
      <c r="Z147" s="4"/>
      <c r="AA147" s="4"/>
      <c r="AB147" s="4">
        <f>$K$147*$V$147</f>
        <v>25391.85</v>
      </c>
      <c r="AC147" s="4">
        <f>$M$147*$W$147</f>
        <v>0</v>
      </c>
      <c r="AD147" s="4">
        <f>$O$147*$X$147</f>
        <v>0</v>
      </c>
      <c r="AE147" s="4">
        <f ca="1">$K$147*$Y$147</f>
        <v>29768.389044334574</v>
      </c>
      <c r="AF147" s="4">
        <f>$M$147*$Z$147</f>
        <v>0</v>
      </c>
      <c r="AG147" s="4">
        <f>$O$147*$AA$147</f>
        <v>0</v>
      </c>
    </row>
    <row r="148" spans="1:33" ht="11.25" customHeight="1" x14ac:dyDescent="0.25">
      <c r="A148" s="3" t="s">
        <v>28</v>
      </c>
      <c r="B148" s="3" t="s">
        <v>35</v>
      </c>
      <c r="C148" s="3" t="s">
        <v>36</v>
      </c>
      <c r="D148" s="3" t="s">
        <v>39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120</v>
      </c>
      <c r="K148" s="4">
        <v>120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3" t="s">
        <v>26</v>
      </c>
      <c r="R148" s="3">
        <v>0</v>
      </c>
      <c r="S148" s="4">
        <v>9</v>
      </c>
      <c r="T148" s="4">
        <v>0</v>
      </c>
      <c r="U148" s="4">
        <v>0</v>
      </c>
      <c r="V148" s="4">
        <f>IF(ISERROR(VLOOKUP($S$148,'TAR FIN'!$A$1:$O$91,15,0)),0,VLOOKUP($S$148,'TAR FIN'!$A$1:$O$91,15,0))</f>
        <v>18.149999999999999</v>
      </c>
      <c r="W148" s="4">
        <f>IF(ISERROR(VLOOKUP($T$148,'TAR FIN'!$A$1:$O$91,15,0)),0,VLOOKUP($T$148,'TAR FIN'!$A$1:$O$91,15,0))</f>
        <v>0</v>
      </c>
      <c r="X148" s="4">
        <f>IF(ISERROR(VLOOKUP($U$148,'TAR FIN'!$A$1:$O$91,15,0)),0,VLOOKUP($U$148,'TAR FIN'!$A$1:$O$91,15,0))</f>
        <v>0</v>
      </c>
      <c r="Y148" s="4">
        <f ca="1">('TUSD BE'!$AM$13+'TUSD BF'!$AM$13+'TUSD CVA'!$AM$13)*1</f>
        <v>21.278333841554378</v>
      </c>
      <c r="Z148" s="4"/>
      <c r="AA148" s="4"/>
      <c r="AB148" s="4">
        <f>$K$148*$V$148</f>
        <v>2178</v>
      </c>
      <c r="AC148" s="4">
        <f>$M$148*$W$148</f>
        <v>0</v>
      </c>
      <c r="AD148" s="4">
        <f>$O$148*$X$148</f>
        <v>0</v>
      </c>
      <c r="AE148" s="4">
        <f ca="1">$K$148*$Y$148</f>
        <v>2553.4000609865252</v>
      </c>
      <c r="AF148" s="4">
        <f>$M$148*$Z$148</f>
        <v>0</v>
      </c>
      <c r="AG148" s="4">
        <f>$O$148*$AA$148</f>
        <v>0</v>
      </c>
    </row>
    <row r="149" spans="1:33" ht="11.25" customHeight="1" x14ac:dyDescent="0.25">
      <c r="A149" s="3" t="s">
        <v>21</v>
      </c>
      <c r="B149" s="3" t="s">
        <v>35</v>
      </c>
      <c r="C149" s="3" t="s">
        <v>36</v>
      </c>
      <c r="D149" s="3" t="s">
        <v>39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1380</v>
      </c>
      <c r="K149" s="4">
        <v>1380</v>
      </c>
      <c r="L149" s="4">
        <v>0</v>
      </c>
      <c r="M149" s="4">
        <v>0</v>
      </c>
      <c r="N149" s="4">
        <v>0</v>
      </c>
      <c r="O149" s="4">
        <v>0</v>
      </c>
      <c r="P149" s="4">
        <v>13</v>
      </c>
      <c r="Q149" s="3" t="s">
        <v>26</v>
      </c>
      <c r="R149" s="3">
        <v>0</v>
      </c>
      <c r="S149" s="4">
        <v>9</v>
      </c>
      <c r="T149" s="4">
        <v>0</v>
      </c>
      <c r="U149" s="4">
        <v>0</v>
      </c>
      <c r="V149" s="4">
        <f>IF(ISERROR(VLOOKUP($S$149,'TAR FIN'!$A$1:$O$91,15,0)),0,VLOOKUP($S$149,'TAR FIN'!$A$1:$O$91,15,0))</f>
        <v>18.149999999999999</v>
      </c>
      <c r="W149" s="4">
        <f>IF(ISERROR(VLOOKUP($T$149,'TAR FIN'!$A$1:$O$91,15,0)),0,VLOOKUP($T$149,'TAR FIN'!$A$1:$O$91,15,0))</f>
        <v>0</v>
      </c>
      <c r="X149" s="4">
        <f>IF(ISERROR(VLOOKUP($U$149,'TAR FIN'!$A$1:$O$91,15,0)),0,VLOOKUP($U$149,'TAR FIN'!$A$1:$O$91,15,0))</f>
        <v>0</v>
      </c>
      <c r="Y149" s="4">
        <f ca="1">('TUSD BE'!$AM$13+'TUSD BF'!$AM$13+'TUSD CVA'!$AM$13)*1</f>
        <v>21.278333841554378</v>
      </c>
      <c r="Z149" s="4"/>
      <c r="AA149" s="4"/>
      <c r="AB149" s="4">
        <f>$K$149*$V$149</f>
        <v>25046.999999999996</v>
      </c>
      <c r="AC149" s="4">
        <f>$M$149*$W$149</f>
        <v>0</v>
      </c>
      <c r="AD149" s="4">
        <f>$O$149*$X$149</f>
        <v>0</v>
      </c>
      <c r="AE149" s="4">
        <f ca="1">$K$149*$Y$149</f>
        <v>29364.100701345043</v>
      </c>
      <c r="AF149" s="4">
        <f>$M$149*$Z$149</f>
        <v>0</v>
      </c>
      <c r="AG149" s="4">
        <f>$O$149*$AA$149</f>
        <v>0</v>
      </c>
    </row>
    <row r="150" spans="1:33" ht="11.25" customHeight="1" x14ac:dyDescent="0.25">
      <c r="A150" s="3" t="s">
        <v>28</v>
      </c>
      <c r="B150" s="3" t="s">
        <v>35</v>
      </c>
      <c r="C150" s="3" t="s">
        <v>36</v>
      </c>
      <c r="D150" s="3" t="s">
        <v>39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120</v>
      </c>
      <c r="K150" s="4">
        <v>120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3" t="s">
        <v>26</v>
      </c>
      <c r="R150" s="3">
        <v>0</v>
      </c>
      <c r="S150" s="4">
        <v>9</v>
      </c>
      <c r="T150" s="4">
        <v>0</v>
      </c>
      <c r="U150" s="4">
        <v>0</v>
      </c>
      <c r="V150" s="4">
        <f>IF(ISERROR(VLOOKUP($S$150,'TAR FIN'!$A$1:$O$91,15,0)),0,VLOOKUP($S$150,'TAR FIN'!$A$1:$O$91,15,0))</f>
        <v>18.149999999999999</v>
      </c>
      <c r="W150" s="4">
        <f>IF(ISERROR(VLOOKUP($T$150,'TAR FIN'!$A$1:$O$91,15,0)),0,VLOOKUP($T$150,'TAR FIN'!$A$1:$O$91,15,0))</f>
        <v>0</v>
      </c>
      <c r="X150" s="4">
        <f>IF(ISERROR(VLOOKUP($U$150,'TAR FIN'!$A$1:$O$91,15,0)),0,VLOOKUP($U$150,'TAR FIN'!$A$1:$O$91,15,0))</f>
        <v>0</v>
      </c>
      <c r="Y150" s="4">
        <f ca="1">('TUSD BE'!$AM$13+'TUSD BF'!$AM$13+'TUSD CVA'!$AM$13)*1</f>
        <v>21.278333841554378</v>
      </c>
      <c r="Z150" s="4"/>
      <c r="AA150" s="4"/>
      <c r="AB150" s="4">
        <f>$K$150*$V$150</f>
        <v>2178</v>
      </c>
      <c r="AC150" s="4">
        <f>$M$150*$W$150</f>
        <v>0</v>
      </c>
      <c r="AD150" s="4">
        <f>$O$150*$X$150</f>
        <v>0</v>
      </c>
      <c r="AE150" s="4">
        <f ca="1">$K$150*$Y$150</f>
        <v>2553.4000609865252</v>
      </c>
      <c r="AF150" s="4">
        <f>$M$150*$Z$150</f>
        <v>0</v>
      </c>
      <c r="AG150" s="4">
        <f>$O$150*$AA$150</f>
        <v>0</v>
      </c>
    </row>
    <row r="151" spans="1:33" ht="11.25" customHeight="1" x14ac:dyDescent="0.25">
      <c r="A151" s="3" t="s">
        <v>21</v>
      </c>
      <c r="B151" s="3" t="s">
        <v>35</v>
      </c>
      <c r="C151" s="3" t="s">
        <v>36</v>
      </c>
      <c r="D151" s="3" t="s">
        <v>39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44713</v>
      </c>
      <c r="J151" s="4">
        <v>1460</v>
      </c>
      <c r="K151" s="4">
        <v>1460</v>
      </c>
      <c r="L151" s="4">
        <v>0</v>
      </c>
      <c r="M151" s="4">
        <v>0</v>
      </c>
      <c r="N151" s="4">
        <v>0</v>
      </c>
      <c r="O151" s="4">
        <v>0</v>
      </c>
      <c r="P151" s="4">
        <v>13</v>
      </c>
      <c r="Q151" s="3" t="s">
        <v>26</v>
      </c>
      <c r="R151" s="3">
        <v>0</v>
      </c>
      <c r="S151" s="4">
        <v>9</v>
      </c>
      <c r="T151" s="4">
        <v>0</v>
      </c>
      <c r="U151" s="4">
        <v>0</v>
      </c>
      <c r="V151" s="4">
        <f>IF(ISERROR(VLOOKUP($S$151,'TAR FIN'!$A$1:$O$91,15,0)),0,VLOOKUP($S$151,'TAR FIN'!$A$1:$O$91,15,0))</f>
        <v>18.149999999999999</v>
      </c>
      <c r="W151" s="4">
        <f>IF(ISERROR(VLOOKUP($T$151,'TAR FIN'!$A$1:$O$91,15,0)),0,VLOOKUP($T$151,'TAR FIN'!$A$1:$O$91,15,0))</f>
        <v>0</v>
      </c>
      <c r="X151" s="4">
        <f>IF(ISERROR(VLOOKUP($U$151,'TAR FIN'!$A$1:$O$91,15,0)),0,VLOOKUP($U$151,'TAR FIN'!$A$1:$O$91,15,0))</f>
        <v>0</v>
      </c>
      <c r="Y151" s="4">
        <f ca="1">('TUSD BE'!$AM$13+'TUSD BF'!$AM$13+'TUSD CVA'!$AM$13)*1</f>
        <v>21.278333841554378</v>
      </c>
      <c r="Z151" s="4"/>
      <c r="AA151" s="4"/>
      <c r="AB151" s="4">
        <f>$K$151*$V$151</f>
        <v>26498.999999999996</v>
      </c>
      <c r="AC151" s="4">
        <f>$M$151*$W$151</f>
        <v>0</v>
      </c>
      <c r="AD151" s="4">
        <f>$O$151*$X$151</f>
        <v>0</v>
      </c>
      <c r="AE151" s="4">
        <f ca="1">$K$151*$Y$151</f>
        <v>31066.367408669394</v>
      </c>
      <c r="AF151" s="4">
        <f>$M$151*$Z$151</f>
        <v>0</v>
      </c>
      <c r="AG151" s="4">
        <f>$O$151*$AA$151</f>
        <v>0</v>
      </c>
    </row>
    <row r="152" spans="1:33" ht="11.25" customHeight="1" x14ac:dyDescent="0.25">
      <c r="A152" s="3" t="s">
        <v>28</v>
      </c>
      <c r="B152" s="3" t="s">
        <v>35</v>
      </c>
      <c r="C152" s="3" t="s">
        <v>36</v>
      </c>
      <c r="D152" s="3" t="s">
        <v>39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44713</v>
      </c>
      <c r="J152" s="4">
        <v>175</v>
      </c>
      <c r="K152" s="4">
        <v>175</v>
      </c>
      <c r="L152" s="4">
        <v>0</v>
      </c>
      <c r="M152" s="4">
        <v>0</v>
      </c>
      <c r="N152" s="4">
        <v>0</v>
      </c>
      <c r="O152" s="4">
        <v>0</v>
      </c>
      <c r="P152" s="4">
        <v>2</v>
      </c>
      <c r="Q152" s="3" t="s">
        <v>26</v>
      </c>
      <c r="R152" s="3">
        <v>0</v>
      </c>
      <c r="S152" s="4">
        <v>9</v>
      </c>
      <c r="T152" s="4">
        <v>0</v>
      </c>
      <c r="U152" s="4">
        <v>0</v>
      </c>
      <c r="V152" s="4">
        <f>IF(ISERROR(VLOOKUP($S$152,'TAR FIN'!$A$1:$O$91,15,0)),0,VLOOKUP($S$152,'TAR FIN'!$A$1:$O$91,15,0))</f>
        <v>18.149999999999999</v>
      </c>
      <c r="W152" s="4">
        <f>IF(ISERROR(VLOOKUP($T$152,'TAR FIN'!$A$1:$O$91,15,0)),0,VLOOKUP($T$152,'TAR FIN'!$A$1:$O$91,15,0))</f>
        <v>0</v>
      </c>
      <c r="X152" s="4">
        <f>IF(ISERROR(VLOOKUP($U$152,'TAR FIN'!$A$1:$O$91,15,0)),0,VLOOKUP($U$152,'TAR FIN'!$A$1:$O$91,15,0))</f>
        <v>0</v>
      </c>
      <c r="Y152" s="4">
        <f ca="1">('TUSD BE'!$AM$13+'TUSD BF'!$AM$13+'TUSD CVA'!$AM$13)*1</f>
        <v>21.278333841554378</v>
      </c>
      <c r="Z152" s="4"/>
      <c r="AA152" s="4"/>
      <c r="AB152" s="4">
        <f>$K$152*$V$152</f>
        <v>3176.2499999999995</v>
      </c>
      <c r="AC152" s="4">
        <f>$M$152*$W$152</f>
        <v>0</v>
      </c>
      <c r="AD152" s="4">
        <f>$O$152*$X$152</f>
        <v>0</v>
      </c>
      <c r="AE152" s="4">
        <f ca="1">$K$152*$Y$152</f>
        <v>3723.7084222720164</v>
      </c>
      <c r="AF152" s="4">
        <f>$M$152*$Z$152</f>
        <v>0</v>
      </c>
      <c r="AG152" s="4">
        <f>$O$152*$AA$152</f>
        <v>0</v>
      </c>
    </row>
    <row r="153" spans="1:33" ht="11.25" customHeight="1" x14ac:dyDescent="0.25">
      <c r="A153" s="3" t="s">
        <v>21</v>
      </c>
      <c r="B153" s="3" t="s">
        <v>35</v>
      </c>
      <c r="C153" s="3" t="s">
        <v>36</v>
      </c>
      <c r="D153" s="3" t="s">
        <v>39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44743</v>
      </c>
      <c r="J153" s="4">
        <v>1445</v>
      </c>
      <c r="K153" s="4">
        <v>1445</v>
      </c>
      <c r="L153" s="4">
        <v>0</v>
      </c>
      <c r="M153" s="4">
        <v>0</v>
      </c>
      <c r="N153" s="4">
        <v>0</v>
      </c>
      <c r="O153" s="4">
        <v>0</v>
      </c>
      <c r="P153" s="4">
        <v>13</v>
      </c>
      <c r="Q153" s="3" t="s">
        <v>26</v>
      </c>
      <c r="R153" s="3">
        <v>0</v>
      </c>
      <c r="S153" s="4">
        <v>9</v>
      </c>
      <c r="T153" s="4">
        <v>0</v>
      </c>
      <c r="U153" s="4">
        <v>0</v>
      </c>
      <c r="V153" s="4">
        <f>IF(ISERROR(VLOOKUP($S$153,'TAR FIN'!$A$1:$O$91,15,0)),0,VLOOKUP($S$153,'TAR FIN'!$A$1:$O$91,15,0))</f>
        <v>18.149999999999999</v>
      </c>
      <c r="W153" s="4">
        <f>IF(ISERROR(VLOOKUP($T$153,'TAR FIN'!$A$1:$O$91,15,0)),0,VLOOKUP($T$153,'TAR FIN'!$A$1:$O$91,15,0))</f>
        <v>0</v>
      </c>
      <c r="X153" s="4">
        <f>IF(ISERROR(VLOOKUP($U$153,'TAR FIN'!$A$1:$O$91,15,0)),0,VLOOKUP($U$153,'TAR FIN'!$A$1:$O$91,15,0))</f>
        <v>0</v>
      </c>
      <c r="Y153" s="4">
        <f ca="1">('TUSD BE'!$AM$13+'TUSD BF'!$AM$13+'TUSD CVA'!$AM$13)*1</f>
        <v>21.278333841554378</v>
      </c>
      <c r="Z153" s="4"/>
      <c r="AA153" s="4"/>
      <c r="AB153" s="4">
        <f>$K$153*$V$153</f>
        <v>26226.749999999996</v>
      </c>
      <c r="AC153" s="4">
        <f>$M$153*$W$153</f>
        <v>0</v>
      </c>
      <c r="AD153" s="4">
        <f>$O$153*$X$153</f>
        <v>0</v>
      </c>
      <c r="AE153" s="4">
        <f ca="1">$K$153*$Y$153</f>
        <v>30747.192401046075</v>
      </c>
      <c r="AF153" s="4">
        <f>$M$153*$Z$153</f>
        <v>0</v>
      </c>
      <c r="AG153" s="4">
        <f>$O$153*$AA$153</f>
        <v>0</v>
      </c>
    </row>
    <row r="154" spans="1:33" ht="11.25" customHeight="1" x14ac:dyDescent="0.25">
      <c r="A154" s="3" t="s">
        <v>21</v>
      </c>
      <c r="B154" s="3" t="s">
        <v>35</v>
      </c>
      <c r="C154" s="3" t="s">
        <v>36</v>
      </c>
      <c r="D154" s="3" t="s">
        <v>39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44774</v>
      </c>
      <c r="J154" s="4">
        <v>1421</v>
      </c>
      <c r="K154" s="4">
        <v>1421</v>
      </c>
      <c r="L154" s="4">
        <v>0</v>
      </c>
      <c r="M154" s="4">
        <v>0</v>
      </c>
      <c r="N154" s="4">
        <v>0</v>
      </c>
      <c r="O154" s="4">
        <v>0</v>
      </c>
      <c r="P154" s="4">
        <v>13</v>
      </c>
      <c r="Q154" s="3" t="s">
        <v>26</v>
      </c>
      <c r="R154" s="3">
        <v>0</v>
      </c>
      <c r="S154" s="4">
        <v>9</v>
      </c>
      <c r="T154" s="4">
        <v>0</v>
      </c>
      <c r="U154" s="4">
        <v>0</v>
      </c>
      <c r="V154" s="4">
        <f>IF(ISERROR(VLOOKUP($S$154,'TAR FIN'!$A$1:$O$91,15,0)),0,VLOOKUP($S$154,'TAR FIN'!$A$1:$O$91,15,0))</f>
        <v>18.149999999999999</v>
      </c>
      <c r="W154" s="4">
        <f>IF(ISERROR(VLOOKUP($T$154,'TAR FIN'!$A$1:$O$91,15,0)),0,VLOOKUP($T$154,'TAR FIN'!$A$1:$O$91,15,0))</f>
        <v>0</v>
      </c>
      <c r="X154" s="4">
        <f>IF(ISERROR(VLOOKUP($U$154,'TAR FIN'!$A$1:$O$91,15,0)),0,VLOOKUP($U$154,'TAR FIN'!$A$1:$O$91,15,0))</f>
        <v>0</v>
      </c>
      <c r="Y154" s="4">
        <f ca="1">('TUSD BE'!$AM$13+'TUSD BF'!$AM$13+'TUSD CVA'!$AM$13)*1</f>
        <v>21.278333841554378</v>
      </c>
      <c r="Z154" s="4"/>
      <c r="AA154" s="4"/>
      <c r="AB154" s="4">
        <f>$K$154*$V$154</f>
        <v>25791.149999999998</v>
      </c>
      <c r="AC154" s="4">
        <f>$M$154*$W$154</f>
        <v>0</v>
      </c>
      <c r="AD154" s="4">
        <f>$O$154*$X$154</f>
        <v>0</v>
      </c>
      <c r="AE154" s="4">
        <f ca="1">$K$154*$Y$154</f>
        <v>30236.512388848772</v>
      </c>
      <c r="AF154" s="4">
        <f>$M$154*$Z$154</f>
        <v>0</v>
      </c>
      <c r="AG154" s="4">
        <f>$O$154*$AA$154</f>
        <v>0</v>
      </c>
    </row>
    <row r="155" spans="1:33" ht="11.25" customHeight="1" x14ac:dyDescent="0.25">
      <c r="A155" s="3" t="s">
        <v>28</v>
      </c>
      <c r="B155" s="3" t="s">
        <v>35</v>
      </c>
      <c r="C155" s="3" t="s">
        <v>36</v>
      </c>
      <c r="D155" s="3" t="s">
        <v>39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44774</v>
      </c>
      <c r="J155" s="4">
        <v>178</v>
      </c>
      <c r="K155" s="4">
        <v>178</v>
      </c>
      <c r="L155" s="4">
        <v>0</v>
      </c>
      <c r="M155" s="4">
        <v>0</v>
      </c>
      <c r="N155" s="4">
        <v>0</v>
      </c>
      <c r="O155" s="4">
        <v>0</v>
      </c>
      <c r="P155" s="4">
        <v>2</v>
      </c>
      <c r="Q155" s="3" t="s">
        <v>26</v>
      </c>
      <c r="R155" s="3">
        <v>0</v>
      </c>
      <c r="S155" s="4">
        <v>9</v>
      </c>
      <c r="T155" s="4">
        <v>0</v>
      </c>
      <c r="U155" s="4">
        <v>0</v>
      </c>
      <c r="V155" s="4">
        <f>IF(ISERROR(VLOOKUP($S$155,'TAR FIN'!$A$1:$O$91,15,0)),0,VLOOKUP($S$155,'TAR FIN'!$A$1:$O$91,15,0))</f>
        <v>18.149999999999999</v>
      </c>
      <c r="W155" s="4">
        <f>IF(ISERROR(VLOOKUP($T$155,'TAR FIN'!$A$1:$O$91,15,0)),0,VLOOKUP($T$155,'TAR FIN'!$A$1:$O$91,15,0))</f>
        <v>0</v>
      </c>
      <c r="X155" s="4">
        <f>IF(ISERROR(VLOOKUP($U$155,'TAR FIN'!$A$1:$O$91,15,0)),0,VLOOKUP($U$155,'TAR FIN'!$A$1:$O$91,15,0))</f>
        <v>0</v>
      </c>
      <c r="Y155" s="4">
        <f ca="1">('TUSD BE'!$AM$13+'TUSD BF'!$AM$13+'TUSD CVA'!$AM$13)*1</f>
        <v>21.278333841554378</v>
      </c>
      <c r="Z155" s="4"/>
      <c r="AA155" s="4"/>
      <c r="AB155" s="4">
        <f>$K$155*$V$155</f>
        <v>3230.7</v>
      </c>
      <c r="AC155" s="4">
        <f>$M$155*$W$155</f>
        <v>0</v>
      </c>
      <c r="AD155" s="4">
        <f>$O$155*$X$155</f>
        <v>0</v>
      </c>
      <c r="AE155" s="4">
        <f ca="1">$K$155*$Y$155</f>
        <v>3787.5434237966792</v>
      </c>
      <c r="AF155" s="4">
        <f>$M$155*$Z$155</f>
        <v>0</v>
      </c>
      <c r="AG155" s="4">
        <f>$O$155*$AA$155</f>
        <v>0</v>
      </c>
    </row>
    <row r="156" spans="1:33" ht="11.25" customHeight="1" x14ac:dyDescent="0.25">
      <c r="A156" s="3" t="s">
        <v>21</v>
      </c>
      <c r="B156" s="3" t="s">
        <v>35</v>
      </c>
      <c r="C156" s="3" t="s">
        <v>36</v>
      </c>
      <c r="D156" s="3" t="s">
        <v>39</v>
      </c>
      <c r="E156" s="3" t="s">
        <v>25</v>
      </c>
      <c r="F156" s="3" t="s">
        <v>25</v>
      </c>
      <c r="G156" s="3" t="s">
        <v>25</v>
      </c>
      <c r="H156" s="3" t="s">
        <v>37</v>
      </c>
      <c r="I156" s="6">
        <v>44440</v>
      </c>
      <c r="J156" s="4">
        <v>0</v>
      </c>
      <c r="K156" s="4">
        <v>0</v>
      </c>
      <c r="L156" s="4">
        <v>29.524000000000001</v>
      </c>
      <c r="M156" s="4">
        <v>29.524000000000001</v>
      </c>
      <c r="N156" s="4">
        <v>29.524000000000001</v>
      </c>
      <c r="O156" s="4">
        <v>29.524000000000001</v>
      </c>
      <c r="P156" s="4">
        <v>0</v>
      </c>
      <c r="Q156" s="3" t="s">
        <v>26</v>
      </c>
      <c r="R156" s="3">
        <v>0</v>
      </c>
      <c r="S156" s="4">
        <v>0</v>
      </c>
      <c r="T156" s="4">
        <v>10</v>
      </c>
      <c r="U156" s="4">
        <v>77</v>
      </c>
      <c r="V156" s="4">
        <f>IF(ISERROR(VLOOKUP($S$156,'TAR FIN'!$A$1:$O$91,15,0)),0,VLOOKUP($S$156,'TAR FIN'!$A$1:$O$91,15,0))</f>
        <v>0</v>
      </c>
      <c r="W156" s="4">
        <f>IF(ISERROR(VLOOKUP($T$156,'TAR FIN'!$A$1:$O$91,15,0)),0,VLOOKUP($T$156,'TAR FIN'!$A$1:$O$91,15,0))</f>
        <v>1426.09</v>
      </c>
      <c r="X156" s="4">
        <f>IF(ISERROR(VLOOKUP($U$156,'TAR FIN'!$A$1:$O$91,15,0)),0,VLOOKUP($U$156,'TAR FIN'!$A$1:$O$91,15,0))</f>
        <v>249.25</v>
      </c>
      <c r="Y156" s="4"/>
      <c r="Z156" s="4">
        <f ca="1">('TUSD BE'!$AM$14+'TUSD BF'!$AM$14+'TUSD CVA'!$AM$14)*1</f>
        <v>1695.6228771157423</v>
      </c>
      <c r="AA156" s="4">
        <f>('TE BE'!$AB$5+'TE BF'!$AB$5+'TE CVA'!$AB$5)*1</f>
        <v>203.38274236935246</v>
      </c>
      <c r="AB156" s="4">
        <f>$K$156*$V$156</f>
        <v>0</v>
      </c>
      <c r="AC156" s="4">
        <f>$M$156*$W$156</f>
        <v>42103.881159999997</v>
      </c>
      <c r="AD156" s="4">
        <f>$O$156*$X$156</f>
        <v>7358.857</v>
      </c>
      <c r="AE156" s="4">
        <f>$K$156*$Y$156</f>
        <v>0</v>
      </c>
      <c r="AF156" s="4">
        <f ca="1">$M$156*$Z$156</f>
        <v>50061.569823965176</v>
      </c>
      <c r="AG156" s="4">
        <f>$O$156*$AA$156</f>
        <v>6004.6720857127621</v>
      </c>
    </row>
    <row r="157" spans="1:33" ht="11.25" customHeight="1" x14ac:dyDescent="0.25">
      <c r="A157" s="3" t="s">
        <v>28</v>
      </c>
      <c r="B157" s="3" t="s">
        <v>35</v>
      </c>
      <c r="C157" s="3" t="s">
        <v>36</v>
      </c>
      <c r="D157" s="3" t="s">
        <v>39</v>
      </c>
      <c r="E157" s="3" t="s">
        <v>25</v>
      </c>
      <c r="F157" s="3" t="s">
        <v>25</v>
      </c>
      <c r="G157" s="3" t="s">
        <v>25</v>
      </c>
      <c r="H157" s="3" t="s">
        <v>37</v>
      </c>
      <c r="I157" s="6">
        <v>44440</v>
      </c>
      <c r="J157" s="4">
        <v>0</v>
      </c>
      <c r="K157" s="4">
        <v>0</v>
      </c>
      <c r="L157" s="4">
        <v>3.823</v>
      </c>
      <c r="M157" s="4">
        <v>3.823</v>
      </c>
      <c r="N157" s="4">
        <v>3.823</v>
      </c>
      <c r="O157" s="4">
        <v>3.823</v>
      </c>
      <c r="P157" s="4">
        <v>0</v>
      </c>
      <c r="Q157" s="3" t="s">
        <v>26</v>
      </c>
      <c r="R157" s="3">
        <v>0</v>
      </c>
      <c r="S157" s="4">
        <v>0</v>
      </c>
      <c r="T157" s="4">
        <v>10</v>
      </c>
      <c r="U157" s="4">
        <v>77</v>
      </c>
      <c r="V157" s="4">
        <f>IF(ISERROR(VLOOKUP($S$157,'TAR FIN'!$A$1:$O$91,15,0)),0,VLOOKUP($S$157,'TAR FIN'!$A$1:$O$91,15,0))</f>
        <v>0</v>
      </c>
      <c r="W157" s="4">
        <f>IF(ISERROR(VLOOKUP($T$157,'TAR FIN'!$A$1:$O$91,15,0)),0,VLOOKUP($T$157,'TAR FIN'!$A$1:$O$91,15,0))</f>
        <v>1426.09</v>
      </c>
      <c r="X157" s="4">
        <f>IF(ISERROR(VLOOKUP($U$157,'TAR FIN'!$A$1:$O$91,15,0)),0,VLOOKUP($U$157,'TAR FIN'!$A$1:$O$91,15,0))</f>
        <v>249.25</v>
      </c>
      <c r="Y157" s="4"/>
      <c r="Z157" s="4">
        <f ca="1">('TUSD BE'!$AM$14+'TUSD BF'!$AM$14+'TUSD CVA'!$AM$14)*1</f>
        <v>1695.6228771157423</v>
      </c>
      <c r="AA157" s="4">
        <f>('TE BE'!$AB$5+'TE BF'!$AB$5+'TE CVA'!$AB$5)*1</f>
        <v>203.38274236935246</v>
      </c>
      <c r="AB157" s="4">
        <f>$K$157*$V$157</f>
        <v>0</v>
      </c>
      <c r="AC157" s="4">
        <f>$M$157*$W$157</f>
        <v>5451.9420700000001</v>
      </c>
      <c r="AD157" s="4">
        <f>$O$157*$X$157</f>
        <v>952.88274999999999</v>
      </c>
      <c r="AE157" s="4">
        <f>$K$157*$Y$157</f>
        <v>0</v>
      </c>
      <c r="AF157" s="4">
        <f ca="1">$M$157*$Z$157</f>
        <v>6482.3662592134824</v>
      </c>
      <c r="AG157" s="4">
        <f>$O$157*$AA$157</f>
        <v>777.53222407803446</v>
      </c>
    </row>
    <row r="158" spans="1:33" ht="11.25" customHeight="1" x14ac:dyDescent="0.25">
      <c r="A158" s="3" t="s">
        <v>21</v>
      </c>
      <c r="B158" s="3" t="s">
        <v>35</v>
      </c>
      <c r="C158" s="3" t="s">
        <v>36</v>
      </c>
      <c r="D158" s="3" t="s">
        <v>39</v>
      </c>
      <c r="E158" s="3" t="s">
        <v>25</v>
      </c>
      <c r="F158" s="3" t="s">
        <v>25</v>
      </c>
      <c r="G158" s="3" t="s">
        <v>25</v>
      </c>
      <c r="H158" s="3" t="s">
        <v>37</v>
      </c>
      <c r="I158" s="6">
        <v>44470</v>
      </c>
      <c r="J158" s="4">
        <v>0</v>
      </c>
      <c r="K158" s="4">
        <v>0</v>
      </c>
      <c r="L158" s="4">
        <v>30.707000000000001</v>
      </c>
      <c r="M158" s="4">
        <v>30.707000000000001</v>
      </c>
      <c r="N158" s="4">
        <v>30.707000000000001</v>
      </c>
      <c r="O158" s="4">
        <v>30.707000000000001</v>
      </c>
      <c r="P158" s="4">
        <v>0</v>
      </c>
      <c r="Q158" s="3" t="s">
        <v>26</v>
      </c>
      <c r="R158" s="3">
        <v>0</v>
      </c>
      <c r="S158" s="4">
        <v>0</v>
      </c>
      <c r="T158" s="4">
        <v>10</v>
      </c>
      <c r="U158" s="4">
        <v>77</v>
      </c>
      <c r="V158" s="4">
        <f>IF(ISERROR(VLOOKUP($S$158,'TAR FIN'!$A$1:$O$91,15,0)),0,VLOOKUP($S$158,'TAR FIN'!$A$1:$O$91,15,0))</f>
        <v>0</v>
      </c>
      <c r="W158" s="4">
        <f>IF(ISERROR(VLOOKUP($T$158,'TAR FIN'!$A$1:$O$91,15,0)),0,VLOOKUP($T$158,'TAR FIN'!$A$1:$O$91,15,0))</f>
        <v>1426.09</v>
      </c>
      <c r="X158" s="4">
        <f>IF(ISERROR(VLOOKUP($U$158,'TAR FIN'!$A$1:$O$91,15,0)),0,VLOOKUP($U$158,'TAR FIN'!$A$1:$O$91,15,0))</f>
        <v>249.25</v>
      </c>
      <c r="Y158" s="4"/>
      <c r="Z158" s="4">
        <f ca="1">('TUSD BE'!$AM$14+'TUSD BF'!$AM$14+'TUSD CVA'!$AM$14)*1</f>
        <v>1695.6228771157423</v>
      </c>
      <c r="AA158" s="4">
        <f>('TE BE'!$AB$5+'TE BF'!$AB$5+'TE CVA'!$AB$5)*1</f>
        <v>203.38274236935246</v>
      </c>
      <c r="AB158" s="4">
        <f>$K$158*$V$158</f>
        <v>0</v>
      </c>
      <c r="AC158" s="4">
        <f>$M$158*$W$158</f>
        <v>43790.945630000002</v>
      </c>
      <c r="AD158" s="4">
        <f>$O$158*$X$158</f>
        <v>7653.7197500000002</v>
      </c>
      <c r="AE158" s="4">
        <f>$K$158*$Y$158</f>
        <v>0</v>
      </c>
      <c r="AF158" s="4">
        <f ca="1">$M$158*$Z$158</f>
        <v>52067.491687593101</v>
      </c>
      <c r="AG158" s="4">
        <f>$O$158*$AA$158</f>
        <v>6245.273869935706</v>
      </c>
    </row>
    <row r="159" spans="1:33" ht="11.25" customHeight="1" x14ac:dyDescent="0.25">
      <c r="A159" s="3" t="s">
        <v>28</v>
      </c>
      <c r="B159" s="3" t="s">
        <v>35</v>
      </c>
      <c r="C159" s="3" t="s">
        <v>36</v>
      </c>
      <c r="D159" s="3" t="s">
        <v>39</v>
      </c>
      <c r="E159" s="3" t="s">
        <v>25</v>
      </c>
      <c r="F159" s="3" t="s">
        <v>25</v>
      </c>
      <c r="G159" s="3" t="s">
        <v>25</v>
      </c>
      <c r="H159" s="3" t="s">
        <v>37</v>
      </c>
      <c r="I159" s="6">
        <v>44470</v>
      </c>
      <c r="J159" s="4">
        <v>0</v>
      </c>
      <c r="K159" s="4">
        <v>0</v>
      </c>
      <c r="L159" s="4">
        <v>3.6850000000000001</v>
      </c>
      <c r="M159" s="4">
        <v>3.6850000000000001</v>
      </c>
      <c r="N159" s="4">
        <v>3.6850000000000001</v>
      </c>
      <c r="O159" s="4">
        <v>3.6850000000000001</v>
      </c>
      <c r="P159" s="4">
        <v>0</v>
      </c>
      <c r="Q159" s="3" t="s">
        <v>26</v>
      </c>
      <c r="R159" s="3">
        <v>0</v>
      </c>
      <c r="S159" s="4">
        <v>0</v>
      </c>
      <c r="T159" s="4">
        <v>10</v>
      </c>
      <c r="U159" s="4">
        <v>77</v>
      </c>
      <c r="V159" s="4">
        <f>IF(ISERROR(VLOOKUP($S$159,'TAR FIN'!$A$1:$O$91,15,0)),0,VLOOKUP($S$159,'TAR FIN'!$A$1:$O$91,15,0))</f>
        <v>0</v>
      </c>
      <c r="W159" s="4">
        <f>IF(ISERROR(VLOOKUP($T$159,'TAR FIN'!$A$1:$O$91,15,0)),0,VLOOKUP($T$159,'TAR FIN'!$A$1:$O$91,15,0))</f>
        <v>1426.09</v>
      </c>
      <c r="X159" s="4">
        <f>IF(ISERROR(VLOOKUP($U$159,'TAR FIN'!$A$1:$O$91,15,0)),0,VLOOKUP($U$159,'TAR FIN'!$A$1:$O$91,15,0))</f>
        <v>249.25</v>
      </c>
      <c r="Y159" s="4"/>
      <c r="Z159" s="4">
        <f ca="1">('TUSD BE'!$AM$14+'TUSD BF'!$AM$14+'TUSD CVA'!$AM$14)*1</f>
        <v>1695.6228771157423</v>
      </c>
      <c r="AA159" s="4">
        <f>('TE BE'!$AB$5+'TE BF'!$AB$5+'TE CVA'!$AB$5)*1</f>
        <v>203.38274236935246</v>
      </c>
      <c r="AB159" s="4">
        <f>$K$159*$V$159</f>
        <v>0</v>
      </c>
      <c r="AC159" s="4">
        <f>$M$159*$W$159</f>
        <v>5255.1416499999996</v>
      </c>
      <c r="AD159" s="4">
        <f>$O$159*$X$159</f>
        <v>918.48625000000004</v>
      </c>
      <c r="AE159" s="4">
        <f>$K$159*$Y$159</f>
        <v>0</v>
      </c>
      <c r="AF159" s="4">
        <f ca="1">$M$159*$Z$159</f>
        <v>6248.370302171511</v>
      </c>
      <c r="AG159" s="4">
        <f>$O$159*$AA$159</f>
        <v>749.46540563106385</v>
      </c>
    </row>
    <row r="160" spans="1:33" ht="11.25" customHeight="1" x14ac:dyDescent="0.25">
      <c r="A160" s="3" t="s">
        <v>21</v>
      </c>
      <c r="B160" s="3" t="s">
        <v>35</v>
      </c>
      <c r="C160" s="3" t="s">
        <v>36</v>
      </c>
      <c r="D160" s="3" t="s">
        <v>39</v>
      </c>
      <c r="E160" s="3" t="s">
        <v>25</v>
      </c>
      <c r="F160" s="3" t="s">
        <v>25</v>
      </c>
      <c r="G160" s="3" t="s">
        <v>25</v>
      </c>
      <c r="H160" s="3" t="s">
        <v>37</v>
      </c>
      <c r="I160" s="6">
        <v>44501</v>
      </c>
      <c r="J160" s="4">
        <v>0</v>
      </c>
      <c r="K160" s="4">
        <v>0</v>
      </c>
      <c r="L160" s="4">
        <v>33.686</v>
      </c>
      <c r="M160" s="4">
        <v>33.686</v>
      </c>
      <c r="N160" s="4">
        <v>33.686</v>
      </c>
      <c r="O160" s="4">
        <v>33.686</v>
      </c>
      <c r="P160" s="4">
        <v>0</v>
      </c>
      <c r="Q160" s="3" t="s">
        <v>26</v>
      </c>
      <c r="R160" s="3">
        <v>0</v>
      </c>
      <c r="S160" s="4">
        <v>0</v>
      </c>
      <c r="T160" s="4">
        <v>10</v>
      </c>
      <c r="U160" s="4">
        <v>77</v>
      </c>
      <c r="V160" s="4">
        <f>IF(ISERROR(VLOOKUP($S$160,'TAR FIN'!$A$1:$O$91,15,0)),0,VLOOKUP($S$160,'TAR FIN'!$A$1:$O$91,15,0))</f>
        <v>0</v>
      </c>
      <c r="W160" s="4">
        <f>IF(ISERROR(VLOOKUP($T$160,'TAR FIN'!$A$1:$O$91,15,0)),0,VLOOKUP($T$160,'TAR FIN'!$A$1:$O$91,15,0))</f>
        <v>1426.09</v>
      </c>
      <c r="X160" s="4">
        <f>IF(ISERROR(VLOOKUP($U$160,'TAR FIN'!$A$1:$O$91,15,0)),0,VLOOKUP($U$160,'TAR FIN'!$A$1:$O$91,15,0))</f>
        <v>249.25</v>
      </c>
      <c r="Y160" s="4"/>
      <c r="Z160" s="4">
        <f ca="1">('TUSD BE'!$AM$14+'TUSD BF'!$AM$14+'TUSD CVA'!$AM$14)*1</f>
        <v>1695.6228771157423</v>
      </c>
      <c r="AA160" s="4">
        <f>('TE BE'!$AB$5+'TE BF'!$AB$5+'TE CVA'!$AB$5)*1</f>
        <v>203.38274236935246</v>
      </c>
      <c r="AB160" s="4">
        <f>$K$160*$V$160</f>
        <v>0</v>
      </c>
      <c r="AC160" s="4">
        <f>$M$160*$W$160</f>
        <v>48039.267739999996</v>
      </c>
      <c r="AD160" s="4">
        <f>$O$160*$X$160</f>
        <v>8396.2355000000007</v>
      </c>
      <c r="AE160" s="4">
        <f>$K$160*$Y$160</f>
        <v>0</v>
      </c>
      <c r="AF160" s="4">
        <f ca="1">$M$160*$Z$160</f>
        <v>57118.752238520894</v>
      </c>
      <c r="AG160" s="4">
        <f>$O$160*$AA$160</f>
        <v>6851.1510594540068</v>
      </c>
    </row>
    <row r="161" spans="1:33" ht="11.25" customHeight="1" x14ac:dyDescent="0.25">
      <c r="A161" s="3" t="s">
        <v>28</v>
      </c>
      <c r="B161" s="3" t="s">
        <v>35</v>
      </c>
      <c r="C161" s="3" t="s">
        <v>36</v>
      </c>
      <c r="D161" s="3" t="s">
        <v>39</v>
      </c>
      <c r="E161" s="3" t="s">
        <v>25</v>
      </c>
      <c r="F161" s="3" t="s">
        <v>25</v>
      </c>
      <c r="G161" s="3" t="s">
        <v>25</v>
      </c>
      <c r="H161" s="3" t="s">
        <v>37</v>
      </c>
      <c r="I161" s="6">
        <v>44501</v>
      </c>
      <c r="J161" s="4">
        <v>0</v>
      </c>
      <c r="K161" s="4">
        <v>0</v>
      </c>
      <c r="L161" s="4">
        <v>4.4489999999999998</v>
      </c>
      <c r="M161" s="4">
        <v>4.4489999999999998</v>
      </c>
      <c r="N161" s="4">
        <v>4.4489999999999998</v>
      </c>
      <c r="O161" s="4">
        <v>4.4489999999999998</v>
      </c>
      <c r="P161" s="4">
        <v>0</v>
      </c>
      <c r="Q161" s="3" t="s">
        <v>26</v>
      </c>
      <c r="R161" s="3">
        <v>0</v>
      </c>
      <c r="S161" s="4">
        <v>0</v>
      </c>
      <c r="T161" s="4">
        <v>10</v>
      </c>
      <c r="U161" s="4">
        <v>77</v>
      </c>
      <c r="V161" s="4">
        <f>IF(ISERROR(VLOOKUP($S$161,'TAR FIN'!$A$1:$O$91,15,0)),0,VLOOKUP($S$161,'TAR FIN'!$A$1:$O$91,15,0))</f>
        <v>0</v>
      </c>
      <c r="W161" s="4">
        <f>IF(ISERROR(VLOOKUP($T$161,'TAR FIN'!$A$1:$O$91,15,0)),0,VLOOKUP($T$161,'TAR FIN'!$A$1:$O$91,15,0))</f>
        <v>1426.09</v>
      </c>
      <c r="X161" s="4">
        <f>IF(ISERROR(VLOOKUP($U$161,'TAR FIN'!$A$1:$O$91,15,0)),0,VLOOKUP($U$161,'TAR FIN'!$A$1:$O$91,15,0))</f>
        <v>249.25</v>
      </c>
      <c r="Y161" s="4"/>
      <c r="Z161" s="4">
        <f ca="1">('TUSD BE'!$AM$14+'TUSD BF'!$AM$14+'TUSD CVA'!$AM$14)*1</f>
        <v>1695.6228771157423</v>
      </c>
      <c r="AA161" s="4">
        <f>('TE BE'!$AB$5+'TE BF'!$AB$5+'TE CVA'!$AB$5)*1</f>
        <v>203.38274236935246</v>
      </c>
      <c r="AB161" s="4">
        <f>$K$161*$V$161</f>
        <v>0</v>
      </c>
      <c r="AC161" s="4">
        <f>$M$161*$W$161</f>
        <v>6344.6744099999996</v>
      </c>
      <c r="AD161" s="4">
        <f>$O$161*$X$161</f>
        <v>1108.9132500000001</v>
      </c>
      <c r="AE161" s="4">
        <f>$K$161*$Y$161</f>
        <v>0</v>
      </c>
      <c r="AF161" s="4">
        <f ca="1">$M$161*$Z$161</f>
        <v>7543.8261802879369</v>
      </c>
      <c r="AG161" s="4">
        <f>$O$161*$AA$161</f>
        <v>904.84982080124905</v>
      </c>
    </row>
    <row r="162" spans="1:33" ht="11.25" customHeight="1" x14ac:dyDescent="0.25">
      <c r="A162" s="3" t="s">
        <v>21</v>
      </c>
      <c r="B162" s="3" t="s">
        <v>35</v>
      </c>
      <c r="C162" s="3" t="s">
        <v>36</v>
      </c>
      <c r="D162" s="3" t="s">
        <v>39</v>
      </c>
      <c r="E162" s="3" t="s">
        <v>25</v>
      </c>
      <c r="F162" s="3" t="s">
        <v>25</v>
      </c>
      <c r="G162" s="3" t="s">
        <v>25</v>
      </c>
      <c r="H162" s="3" t="s">
        <v>37</v>
      </c>
      <c r="I162" s="6">
        <v>44531</v>
      </c>
      <c r="J162" s="4">
        <v>0</v>
      </c>
      <c r="K162" s="4">
        <v>0</v>
      </c>
      <c r="L162" s="4">
        <v>36.746000000000002</v>
      </c>
      <c r="M162" s="4">
        <v>36.746000000000002</v>
      </c>
      <c r="N162" s="4">
        <v>36.746000000000002</v>
      </c>
      <c r="O162" s="4">
        <v>36.746000000000002</v>
      </c>
      <c r="P162" s="4">
        <v>0</v>
      </c>
      <c r="Q162" s="3" t="s">
        <v>26</v>
      </c>
      <c r="R162" s="3">
        <v>0</v>
      </c>
      <c r="S162" s="4">
        <v>0</v>
      </c>
      <c r="T162" s="4">
        <v>10</v>
      </c>
      <c r="U162" s="4">
        <v>77</v>
      </c>
      <c r="V162" s="4">
        <f>IF(ISERROR(VLOOKUP($S$162,'TAR FIN'!$A$1:$O$91,15,0)),0,VLOOKUP($S$162,'TAR FIN'!$A$1:$O$91,15,0))</f>
        <v>0</v>
      </c>
      <c r="W162" s="4">
        <f>IF(ISERROR(VLOOKUP($T$162,'TAR FIN'!$A$1:$O$91,15,0)),0,VLOOKUP($T$162,'TAR FIN'!$A$1:$O$91,15,0))</f>
        <v>1426.09</v>
      </c>
      <c r="X162" s="4">
        <f>IF(ISERROR(VLOOKUP($U$162,'TAR FIN'!$A$1:$O$91,15,0)),0,VLOOKUP($U$162,'TAR FIN'!$A$1:$O$91,15,0))</f>
        <v>249.25</v>
      </c>
      <c r="Y162" s="4"/>
      <c r="Z162" s="4">
        <f ca="1">('TUSD BE'!$AM$14+'TUSD BF'!$AM$14+'TUSD CVA'!$AM$14)*1</f>
        <v>1695.6228771157423</v>
      </c>
      <c r="AA162" s="4">
        <f>('TE BE'!$AB$5+'TE BF'!$AB$5+'TE CVA'!$AB$5)*1</f>
        <v>203.38274236935246</v>
      </c>
      <c r="AB162" s="4">
        <f>$K$162*$V$162</f>
        <v>0</v>
      </c>
      <c r="AC162" s="4">
        <f>$M$162*$W$162</f>
        <v>52403.103139999999</v>
      </c>
      <c r="AD162" s="4">
        <f>$O$162*$X$162</f>
        <v>9158.9405000000006</v>
      </c>
      <c r="AE162" s="4">
        <f>$K$162*$Y$162</f>
        <v>0</v>
      </c>
      <c r="AF162" s="4">
        <f ca="1">$M$162*$Z$162</f>
        <v>62307.358242495073</v>
      </c>
      <c r="AG162" s="4">
        <f>$O$162*$AA$162</f>
        <v>7473.5022511042262</v>
      </c>
    </row>
    <row r="163" spans="1:33" ht="11.25" customHeight="1" x14ac:dyDescent="0.25">
      <c r="A163" s="3" t="s">
        <v>28</v>
      </c>
      <c r="B163" s="3" t="s">
        <v>35</v>
      </c>
      <c r="C163" s="3" t="s">
        <v>36</v>
      </c>
      <c r="D163" s="3" t="s">
        <v>39</v>
      </c>
      <c r="E163" s="3" t="s">
        <v>25</v>
      </c>
      <c r="F163" s="3" t="s">
        <v>25</v>
      </c>
      <c r="G163" s="3" t="s">
        <v>25</v>
      </c>
      <c r="H163" s="3" t="s">
        <v>37</v>
      </c>
      <c r="I163" s="6">
        <v>44531</v>
      </c>
      <c r="J163" s="4">
        <v>0</v>
      </c>
      <c r="K163" s="4">
        <v>0</v>
      </c>
      <c r="L163" s="4">
        <v>4.6210000000000004</v>
      </c>
      <c r="M163" s="4">
        <v>4.6210000000000004</v>
      </c>
      <c r="N163" s="4">
        <v>4.6210000000000004</v>
      </c>
      <c r="O163" s="4">
        <v>4.6210000000000004</v>
      </c>
      <c r="P163" s="4">
        <v>0</v>
      </c>
      <c r="Q163" s="3" t="s">
        <v>26</v>
      </c>
      <c r="R163" s="3">
        <v>0</v>
      </c>
      <c r="S163" s="4">
        <v>0</v>
      </c>
      <c r="T163" s="4">
        <v>10</v>
      </c>
      <c r="U163" s="4">
        <v>77</v>
      </c>
      <c r="V163" s="4">
        <f>IF(ISERROR(VLOOKUP($S$163,'TAR FIN'!$A$1:$O$91,15,0)),0,VLOOKUP($S$163,'TAR FIN'!$A$1:$O$91,15,0))</f>
        <v>0</v>
      </c>
      <c r="W163" s="4">
        <f>IF(ISERROR(VLOOKUP($T$163,'TAR FIN'!$A$1:$O$91,15,0)),0,VLOOKUP($T$163,'TAR FIN'!$A$1:$O$91,15,0))</f>
        <v>1426.09</v>
      </c>
      <c r="X163" s="4">
        <f>IF(ISERROR(VLOOKUP($U$163,'TAR FIN'!$A$1:$O$91,15,0)),0,VLOOKUP($U$163,'TAR FIN'!$A$1:$O$91,15,0))</f>
        <v>249.25</v>
      </c>
      <c r="Y163" s="4"/>
      <c r="Z163" s="4">
        <f ca="1">('TUSD BE'!$AM$14+'TUSD BF'!$AM$14+'TUSD CVA'!$AM$14)*1</f>
        <v>1695.6228771157423</v>
      </c>
      <c r="AA163" s="4">
        <f>('TE BE'!$AB$5+'TE BF'!$AB$5+'TE CVA'!$AB$5)*1</f>
        <v>203.38274236935246</v>
      </c>
      <c r="AB163" s="4">
        <f>$K$163*$V$163</f>
        <v>0</v>
      </c>
      <c r="AC163" s="4">
        <f>$M$163*$W$163</f>
        <v>6589.9618900000005</v>
      </c>
      <c r="AD163" s="4">
        <f>$O$163*$X$163</f>
        <v>1151.7842500000002</v>
      </c>
      <c r="AE163" s="4">
        <f>$K$163*$Y$163</f>
        <v>0</v>
      </c>
      <c r="AF163" s="4">
        <f ca="1">$M$163*$Z$163</f>
        <v>7835.4733151518458</v>
      </c>
      <c r="AG163" s="4">
        <f>$O$163*$AA$163</f>
        <v>939.83165248877776</v>
      </c>
    </row>
    <row r="164" spans="1:33" ht="11.25" customHeight="1" x14ac:dyDescent="0.25">
      <c r="A164" s="3" t="s">
        <v>21</v>
      </c>
      <c r="B164" s="3" t="s">
        <v>35</v>
      </c>
      <c r="C164" s="3" t="s">
        <v>36</v>
      </c>
      <c r="D164" s="3" t="s">
        <v>39</v>
      </c>
      <c r="E164" s="3" t="s">
        <v>25</v>
      </c>
      <c r="F164" s="3" t="s">
        <v>25</v>
      </c>
      <c r="G164" s="3" t="s">
        <v>25</v>
      </c>
      <c r="H164" s="3" t="s">
        <v>37</v>
      </c>
      <c r="I164" s="6">
        <v>44562</v>
      </c>
      <c r="J164" s="4">
        <v>0</v>
      </c>
      <c r="K164" s="4">
        <v>0</v>
      </c>
      <c r="L164" s="4">
        <v>38.350999999999999</v>
      </c>
      <c r="M164" s="4">
        <v>38.350999999999999</v>
      </c>
      <c r="N164" s="4">
        <v>38.350999999999999</v>
      </c>
      <c r="O164" s="4">
        <v>38.350999999999999</v>
      </c>
      <c r="P164" s="4">
        <v>0</v>
      </c>
      <c r="Q164" s="3" t="s">
        <v>26</v>
      </c>
      <c r="R164" s="3">
        <v>0</v>
      </c>
      <c r="S164" s="4">
        <v>0</v>
      </c>
      <c r="T164" s="4">
        <v>10</v>
      </c>
      <c r="U164" s="4">
        <v>77</v>
      </c>
      <c r="V164" s="4">
        <f>IF(ISERROR(VLOOKUP($S$164,'TAR FIN'!$A$1:$O$91,15,0)),0,VLOOKUP($S$164,'TAR FIN'!$A$1:$O$91,15,0))</f>
        <v>0</v>
      </c>
      <c r="W164" s="4">
        <f>IF(ISERROR(VLOOKUP($T$164,'TAR FIN'!$A$1:$O$91,15,0)),0,VLOOKUP($T$164,'TAR FIN'!$A$1:$O$91,15,0))</f>
        <v>1426.09</v>
      </c>
      <c r="X164" s="4">
        <f>IF(ISERROR(VLOOKUP($U$164,'TAR FIN'!$A$1:$O$91,15,0)),0,VLOOKUP($U$164,'TAR FIN'!$A$1:$O$91,15,0))</f>
        <v>249.25</v>
      </c>
      <c r="Y164" s="4"/>
      <c r="Z164" s="4">
        <f ca="1">('TUSD BE'!$AM$14+'TUSD BF'!$AM$14+'TUSD CVA'!$AM$14)*1</f>
        <v>1695.6228771157423</v>
      </c>
      <c r="AA164" s="4">
        <f>('TE BE'!$AB$5+'TE BF'!$AB$5+'TE CVA'!$AB$5)*1</f>
        <v>203.38274236935246</v>
      </c>
      <c r="AB164" s="4">
        <f>$K$164*$V$164</f>
        <v>0</v>
      </c>
      <c r="AC164" s="4">
        <f>$M$164*$W$164</f>
        <v>54691.977589999995</v>
      </c>
      <c r="AD164" s="4">
        <f>$O$164*$X$164</f>
        <v>9558.98675</v>
      </c>
      <c r="AE164" s="4">
        <f>$K$164*$Y$164</f>
        <v>0</v>
      </c>
      <c r="AF164" s="4">
        <f ca="1">$M$164*$Z$164</f>
        <v>65028.832960265834</v>
      </c>
      <c r="AG164" s="4">
        <f>$O$164*$AA$164</f>
        <v>7799.9315526070359</v>
      </c>
    </row>
    <row r="165" spans="1:33" ht="11.25" customHeight="1" x14ac:dyDescent="0.25">
      <c r="A165" s="3" t="s">
        <v>28</v>
      </c>
      <c r="B165" s="3" t="s">
        <v>35</v>
      </c>
      <c r="C165" s="3" t="s">
        <v>36</v>
      </c>
      <c r="D165" s="3" t="s">
        <v>39</v>
      </c>
      <c r="E165" s="3" t="s">
        <v>25</v>
      </c>
      <c r="F165" s="3" t="s">
        <v>25</v>
      </c>
      <c r="G165" s="3" t="s">
        <v>25</v>
      </c>
      <c r="H165" s="3" t="s">
        <v>37</v>
      </c>
      <c r="I165" s="6">
        <v>44562</v>
      </c>
      <c r="J165" s="4">
        <v>0</v>
      </c>
      <c r="K165" s="4">
        <v>0</v>
      </c>
      <c r="L165" s="4">
        <v>6.48</v>
      </c>
      <c r="M165" s="4">
        <v>6.48</v>
      </c>
      <c r="N165" s="4">
        <v>6.48</v>
      </c>
      <c r="O165" s="4">
        <v>6.48</v>
      </c>
      <c r="P165" s="4">
        <v>0</v>
      </c>
      <c r="Q165" s="3" t="s">
        <v>26</v>
      </c>
      <c r="R165" s="3">
        <v>0</v>
      </c>
      <c r="S165" s="4">
        <v>0</v>
      </c>
      <c r="T165" s="4">
        <v>10</v>
      </c>
      <c r="U165" s="4">
        <v>77</v>
      </c>
      <c r="V165" s="4">
        <f>IF(ISERROR(VLOOKUP($S$165,'TAR FIN'!$A$1:$O$91,15,0)),0,VLOOKUP($S$165,'TAR FIN'!$A$1:$O$91,15,0))</f>
        <v>0</v>
      </c>
      <c r="W165" s="4">
        <f>IF(ISERROR(VLOOKUP($T$165,'TAR FIN'!$A$1:$O$91,15,0)),0,VLOOKUP($T$165,'TAR FIN'!$A$1:$O$91,15,0))</f>
        <v>1426.09</v>
      </c>
      <c r="X165" s="4">
        <f>IF(ISERROR(VLOOKUP($U$165,'TAR FIN'!$A$1:$O$91,15,0)),0,VLOOKUP($U$165,'TAR FIN'!$A$1:$O$91,15,0))</f>
        <v>249.25</v>
      </c>
      <c r="Y165" s="4"/>
      <c r="Z165" s="4">
        <f ca="1">('TUSD BE'!$AM$14+'TUSD BF'!$AM$14+'TUSD CVA'!$AM$14)*1</f>
        <v>1695.6228771157423</v>
      </c>
      <c r="AA165" s="4">
        <f>('TE BE'!$AB$5+'TE BF'!$AB$5+'TE CVA'!$AB$5)*1</f>
        <v>203.38274236935246</v>
      </c>
      <c r="AB165" s="4">
        <f>$K$165*$V$165</f>
        <v>0</v>
      </c>
      <c r="AC165" s="4">
        <f>$M$165*$W$165</f>
        <v>9241.0632000000005</v>
      </c>
      <c r="AD165" s="4">
        <f>$O$165*$X$165</f>
        <v>1615.14</v>
      </c>
      <c r="AE165" s="4">
        <f>$K$165*$Y$165</f>
        <v>0</v>
      </c>
      <c r="AF165" s="4">
        <f ca="1">$M$165*$Z$165</f>
        <v>10987.636243710011</v>
      </c>
      <c r="AG165" s="4">
        <f>$O$165*$AA$165</f>
        <v>1317.920170553404</v>
      </c>
    </row>
    <row r="166" spans="1:33" ht="11.25" customHeight="1" x14ac:dyDescent="0.25">
      <c r="A166" s="3" t="s">
        <v>21</v>
      </c>
      <c r="B166" s="3" t="s">
        <v>35</v>
      </c>
      <c r="C166" s="3" t="s">
        <v>36</v>
      </c>
      <c r="D166" s="3" t="s">
        <v>39</v>
      </c>
      <c r="E166" s="3" t="s">
        <v>25</v>
      </c>
      <c r="F166" s="3" t="s">
        <v>25</v>
      </c>
      <c r="G166" s="3" t="s">
        <v>25</v>
      </c>
      <c r="H166" s="3" t="s">
        <v>37</v>
      </c>
      <c r="I166" s="6">
        <v>44593</v>
      </c>
      <c r="J166" s="4">
        <v>0</v>
      </c>
      <c r="K166" s="4">
        <v>0</v>
      </c>
      <c r="L166" s="4">
        <v>33.164999999999999</v>
      </c>
      <c r="M166" s="4">
        <v>33.164999999999999</v>
      </c>
      <c r="N166" s="4">
        <v>33.164999999999999</v>
      </c>
      <c r="O166" s="4">
        <v>33.164999999999999</v>
      </c>
      <c r="P166" s="4">
        <v>0</v>
      </c>
      <c r="Q166" s="3" t="s">
        <v>26</v>
      </c>
      <c r="R166" s="3">
        <v>0</v>
      </c>
      <c r="S166" s="4">
        <v>0</v>
      </c>
      <c r="T166" s="4">
        <v>10</v>
      </c>
      <c r="U166" s="4">
        <v>77</v>
      </c>
      <c r="V166" s="4">
        <f>IF(ISERROR(VLOOKUP($S$166,'TAR FIN'!$A$1:$O$91,15,0)),0,VLOOKUP($S$166,'TAR FIN'!$A$1:$O$91,15,0))</f>
        <v>0</v>
      </c>
      <c r="W166" s="4">
        <f>IF(ISERROR(VLOOKUP($T$166,'TAR FIN'!$A$1:$O$91,15,0)),0,VLOOKUP($T$166,'TAR FIN'!$A$1:$O$91,15,0))</f>
        <v>1426.09</v>
      </c>
      <c r="X166" s="4">
        <f>IF(ISERROR(VLOOKUP($U$166,'TAR FIN'!$A$1:$O$91,15,0)),0,VLOOKUP($U$166,'TAR FIN'!$A$1:$O$91,15,0))</f>
        <v>249.25</v>
      </c>
      <c r="Y166" s="4"/>
      <c r="Z166" s="4">
        <f ca="1">('TUSD BE'!$AM$14+'TUSD BF'!$AM$14+'TUSD CVA'!$AM$14)*1</f>
        <v>1695.6228771157423</v>
      </c>
      <c r="AA166" s="4">
        <f>('TE BE'!$AB$5+'TE BF'!$AB$5+'TE CVA'!$AB$5)*1</f>
        <v>203.38274236935246</v>
      </c>
      <c r="AB166" s="4">
        <f>$K$166*$V$166</f>
        <v>0</v>
      </c>
      <c r="AC166" s="4">
        <f>$M$166*$W$166</f>
        <v>47296.274849999994</v>
      </c>
      <c r="AD166" s="4">
        <f>$O$166*$X$166</f>
        <v>8266.3762499999993</v>
      </c>
      <c r="AE166" s="4">
        <f>$K$166*$Y$166</f>
        <v>0</v>
      </c>
      <c r="AF166" s="4">
        <f ca="1">$M$166*$Z$166</f>
        <v>56235.332719543592</v>
      </c>
      <c r="AG166" s="4">
        <f>$O$166*$AA$166</f>
        <v>6745.1886506795745</v>
      </c>
    </row>
    <row r="167" spans="1:33" ht="11.25" customHeight="1" x14ac:dyDescent="0.25">
      <c r="A167" s="3" t="s">
        <v>28</v>
      </c>
      <c r="B167" s="3" t="s">
        <v>35</v>
      </c>
      <c r="C167" s="3" t="s">
        <v>36</v>
      </c>
      <c r="D167" s="3" t="s">
        <v>39</v>
      </c>
      <c r="E167" s="3" t="s">
        <v>25</v>
      </c>
      <c r="F167" s="3" t="s">
        <v>25</v>
      </c>
      <c r="G167" s="3" t="s">
        <v>25</v>
      </c>
      <c r="H167" s="3" t="s">
        <v>37</v>
      </c>
      <c r="I167" s="6">
        <v>44593</v>
      </c>
      <c r="J167" s="4">
        <v>0</v>
      </c>
      <c r="K167" s="4">
        <v>0</v>
      </c>
      <c r="L167" s="4">
        <v>5.5640000000000001</v>
      </c>
      <c r="M167" s="4">
        <v>5.5640000000000001</v>
      </c>
      <c r="N167" s="4">
        <v>5.5640000000000001</v>
      </c>
      <c r="O167" s="4">
        <v>5.5640000000000001</v>
      </c>
      <c r="P167" s="4">
        <v>0</v>
      </c>
      <c r="Q167" s="3" t="s">
        <v>26</v>
      </c>
      <c r="R167" s="3">
        <v>0</v>
      </c>
      <c r="S167" s="4">
        <v>0</v>
      </c>
      <c r="T167" s="4">
        <v>10</v>
      </c>
      <c r="U167" s="4">
        <v>77</v>
      </c>
      <c r="V167" s="4">
        <f>IF(ISERROR(VLOOKUP($S$167,'TAR FIN'!$A$1:$O$91,15,0)),0,VLOOKUP($S$167,'TAR FIN'!$A$1:$O$91,15,0))</f>
        <v>0</v>
      </c>
      <c r="W167" s="4">
        <f>IF(ISERROR(VLOOKUP($T$167,'TAR FIN'!$A$1:$O$91,15,0)),0,VLOOKUP($T$167,'TAR FIN'!$A$1:$O$91,15,0))</f>
        <v>1426.09</v>
      </c>
      <c r="X167" s="4">
        <f>IF(ISERROR(VLOOKUP($U$167,'TAR FIN'!$A$1:$O$91,15,0)),0,VLOOKUP($U$167,'TAR FIN'!$A$1:$O$91,15,0))</f>
        <v>249.25</v>
      </c>
      <c r="Y167" s="4"/>
      <c r="Z167" s="4">
        <f ca="1">('TUSD BE'!$AM$14+'TUSD BF'!$AM$14+'TUSD CVA'!$AM$14)*1</f>
        <v>1695.6228771157423</v>
      </c>
      <c r="AA167" s="4">
        <f>('TE BE'!$AB$5+'TE BF'!$AB$5+'TE CVA'!$AB$5)*1</f>
        <v>203.38274236935246</v>
      </c>
      <c r="AB167" s="4">
        <f>$K$167*$V$167</f>
        <v>0</v>
      </c>
      <c r="AC167" s="4">
        <f>$M$167*$W$167</f>
        <v>7934.76476</v>
      </c>
      <c r="AD167" s="4">
        <f>$O$167*$X$167</f>
        <v>1386.827</v>
      </c>
      <c r="AE167" s="4">
        <f>$K$167*$Y$167</f>
        <v>0</v>
      </c>
      <c r="AF167" s="4">
        <f ca="1">$M$167*$Z$167</f>
        <v>9434.4456882719896</v>
      </c>
      <c r="AG167" s="4">
        <f>$O$167*$AA$167</f>
        <v>1131.621578543077</v>
      </c>
    </row>
    <row r="168" spans="1:33" ht="11.25" customHeight="1" x14ac:dyDescent="0.25">
      <c r="A168" s="3" t="s">
        <v>21</v>
      </c>
      <c r="B168" s="3" t="s">
        <v>35</v>
      </c>
      <c r="C168" s="3" t="s">
        <v>36</v>
      </c>
      <c r="D168" s="3" t="s">
        <v>39</v>
      </c>
      <c r="E168" s="3" t="s">
        <v>25</v>
      </c>
      <c r="F168" s="3" t="s">
        <v>25</v>
      </c>
      <c r="G168" s="3" t="s">
        <v>25</v>
      </c>
      <c r="H168" s="3" t="s">
        <v>37</v>
      </c>
      <c r="I168" s="6">
        <v>44621</v>
      </c>
      <c r="J168" s="4">
        <v>0</v>
      </c>
      <c r="K168" s="4">
        <v>0</v>
      </c>
      <c r="L168" s="4">
        <v>35.601999999999997</v>
      </c>
      <c r="M168" s="4">
        <v>35.601999999999997</v>
      </c>
      <c r="N168" s="4">
        <v>35.601999999999997</v>
      </c>
      <c r="O168" s="4">
        <v>35.601999999999997</v>
      </c>
      <c r="P168" s="4">
        <v>0</v>
      </c>
      <c r="Q168" s="3" t="s">
        <v>26</v>
      </c>
      <c r="R168" s="3">
        <v>0</v>
      </c>
      <c r="S168" s="4">
        <v>0</v>
      </c>
      <c r="T168" s="4">
        <v>10</v>
      </c>
      <c r="U168" s="4">
        <v>77</v>
      </c>
      <c r="V168" s="4">
        <f>IF(ISERROR(VLOOKUP($S$168,'TAR FIN'!$A$1:$O$91,15,0)),0,VLOOKUP($S$168,'TAR FIN'!$A$1:$O$91,15,0))</f>
        <v>0</v>
      </c>
      <c r="W168" s="4">
        <f>IF(ISERROR(VLOOKUP($T$168,'TAR FIN'!$A$1:$O$91,15,0)),0,VLOOKUP($T$168,'TAR FIN'!$A$1:$O$91,15,0))</f>
        <v>1426.09</v>
      </c>
      <c r="X168" s="4">
        <f>IF(ISERROR(VLOOKUP($U$168,'TAR FIN'!$A$1:$O$91,15,0)),0,VLOOKUP($U$168,'TAR FIN'!$A$1:$O$91,15,0))</f>
        <v>249.25</v>
      </c>
      <c r="Y168" s="4"/>
      <c r="Z168" s="4">
        <f ca="1">('TUSD BE'!$AM$14+'TUSD BF'!$AM$14+'TUSD CVA'!$AM$14)*1</f>
        <v>1695.6228771157423</v>
      </c>
      <c r="AA168" s="4">
        <f>('TE BE'!$AB$5+'TE BF'!$AB$5+'TE CVA'!$AB$5)*1</f>
        <v>203.38274236935246</v>
      </c>
      <c r="AB168" s="4">
        <f>$K$168*$V$168</f>
        <v>0</v>
      </c>
      <c r="AC168" s="4">
        <f>$M$168*$W$168</f>
        <v>50771.656179999991</v>
      </c>
      <c r="AD168" s="4">
        <f>$O$168*$X$168</f>
        <v>8873.798499999999</v>
      </c>
      <c r="AE168" s="4">
        <f>$K$168*$Y$168</f>
        <v>0</v>
      </c>
      <c r="AF168" s="4">
        <f ca="1">$M$168*$Z$168</f>
        <v>60367.565671074655</v>
      </c>
      <c r="AG168" s="4">
        <f>$O$168*$AA$168</f>
        <v>7240.8323938336853</v>
      </c>
    </row>
    <row r="169" spans="1:33" ht="11.25" customHeight="1" x14ac:dyDescent="0.25">
      <c r="A169" s="3" t="s">
        <v>28</v>
      </c>
      <c r="B169" s="3" t="s">
        <v>35</v>
      </c>
      <c r="C169" s="3" t="s">
        <v>36</v>
      </c>
      <c r="D169" s="3" t="s">
        <v>39</v>
      </c>
      <c r="E169" s="3" t="s">
        <v>25</v>
      </c>
      <c r="F169" s="3" t="s">
        <v>25</v>
      </c>
      <c r="G169" s="3" t="s">
        <v>25</v>
      </c>
      <c r="H169" s="3" t="s">
        <v>37</v>
      </c>
      <c r="I169" s="6">
        <v>44621</v>
      </c>
      <c r="J169" s="4">
        <v>0</v>
      </c>
      <c r="K169" s="4">
        <v>0</v>
      </c>
      <c r="L169" s="4">
        <v>4.49</v>
      </c>
      <c r="M169" s="4">
        <v>4.49</v>
      </c>
      <c r="N169" s="4">
        <v>4.49</v>
      </c>
      <c r="O169" s="4">
        <v>4.49</v>
      </c>
      <c r="P169" s="4">
        <v>0</v>
      </c>
      <c r="Q169" s="3" t="s">
        <v>26</v>
      </c>
      <c r="R169" s="3">
        <v>0</v>
      </c>
      <c r="S169" s="4">
        <v>0</v>
      </c>
      <c r="T169" s="4">
        <v>10</v>
      </c>
      <c r="U169" s="4">
        <v>77</v>
      </c>
      <c r="V169" s="4">
        <f>IF(ISERROR(VLOOKUP($S$169,'TAR FIN'!$A$1:$O$91,15,0)),0,VLOOKUP($S$169,'TAR FIN'!$A$1:$O$91,15,0))</f>
        <v>0</v>
      </c>
      <c r="W169" s="4">
        <f>IF(ISERROR(VLOOKUP($T$169,'TAR FIN'!$A$1:$O$91,15,0)),0,VLOOKUP($T$169,'TAR FIN'!$A$1:$O$91,15,0))</f>
        <v>1426.09</v>
      </c>
      <c r="X169" s="4">
        <f>IF(ISERROR(VLOOKUP($U$169,'TAR FIN'!$A$1:$O$91,15,0)),0,VLOOKUP($U$169,'TAR FIN'!$A$1:$O$91,15,0))</f>
        <v>249.25</v>
      </c>
      <c r="Y169" s="4"/>
      <c r="Z169" s="4">
        <f ca="1">('TUSD BE'!$AM$14+'TUSD BF'!$AM$14+'TUSD CVA'!$AM$14)*1</f>
        <v>1695.6228771157423</v>
      </c>
      <c r="AA169" s="4">
        <f>('TE BE'!$AB$5+'TE BF'!$AB$5+'TE CVA'!$AB$5)*1</f>
        <v>203.38274236935246</v>
      </c>
      <c r="AB169" s="4">
        <f>$K$169*$V$169</f>
        <v>0</v>
      </c>
      <c r="AC169" s="4">
        <f>$M$169*$W$169</f>
        <v>6403.1440999999995</v>
      </c>
      <c r="AD169" s="4">
        <f>$O$169*$X$169</f>
        <v>1119.1325000000002</v>
      </c>
      <c r="AE169" s="4">
        <f>$K$169*$Y$169</f>
        <v>0</v>
      </c>
      <c r="AF169" s="4">
        <f ca="1">$M$169*$Z$169</f>
        <v>7613.3467182496834</v>
      </c>
      <c r="AG169" s="4">
        <f>$O$169*$AA$169</f>
        <v>913.1885132383926</v>
      </c>
    </row>
    <row r="170" spans="1:33" ht="11.25" customHeight="1" x14ac:dyDescent="0.25">
      <c r="A170" s="3" t="s">
        <v>21</v>
      </c>
      <c r="B170" s="3" t="s">
        <v>35</v>
      </c>
      <c r="C170" s="3" t="s">
        <v>36</v>
      </c>
      <c r="D170" s="3" t="s">
        <v>39</v>
      </c>
      <c r="E170" s="3" t="s">
        <v>25</v>
      </c>
      <c r="F170" s="3" t="s">
        <v>25</v>
      </c>
      <c r="G170" s="3" t="s">
        <v>25</v>
      </c>
      <c r="H170" s="3" t="s">
        <v>37</v>
      </c>
      <c r="I170" s="6">
        <v>44652</v>
      </c>
      <c r="J170" s="4">
        <v>0</v>
      </c>
      <c r="K170" s="4">
        <v>0</v>
      </c>
      <c r="L170" s="4">
        <v>27.852</v>
      </c>
      <c r="M170" s="4">
        <v>27.852</v>
      </c>
      <c r="N170" s="4">
        <v>27.852</v>
      </c>
      <c r="O170" s="4">
        <v>27.852</v>
      </c>
      <c r="P170" s="4">
        <v>0</v>
      </c>
      <c r="Q170" s="3" t="s">
        <v>26</v>
      </c>
      <c r="R170" s="3">
        <v>0</v>
      </c>
      <c r="S170" s="4">
        <v>0</v>
      </c>
      <c r="T170" s="4">
        <v>10</v>
      </c>
      <c r="U170" s="4">
        <v>77</v>
      </c>
      <c r="V170" s="4">
        <f>IF(ISERROR(VLOOKUP($S$170,'TAR FIN'!$A$1:$O$91,15,0)),0,VLOOKUP($S$170,'TAR FIN'!$A$1:$O$91,15,0))</f>
        <v>0</v>
      </c>
      <c r="W170" s="4">
        <f>IF(ISERROR(VLOOKUP($T$170,'TAR FIN'!$A$1:$O$91,15,0)),0,VLOOKUP($T$170,'TAR FIN'!$A$1:$O$91,15,0))</f>
        <v>1426.09</v>
      </c>
      <c r="X170" s="4">
        <f>IF(ISERROR(VLOOKUP($U$170,'TAR FIN'!$A$1:$O$91,15,0)),0,VLOOKUP($U$170,'TAR FIN'!$A$1:$O$91,15,0))</f>
        <v>249.25</v>
      </c>
      <c r="Y170" s="4"/>
      <c r="Z170" s="4">
        <f ca="1">('TUSD BE'!$AM$14+'TUSD BF'!$AM$14+'TUSD CVA'!$AM$14)*1</f>
        <v>1695.6228771157423</v>
      </c>
      <c r="AA170" s="4">
        <f>('TE BE'!$AB$5+'TE BF'!$AB$5+'TE CVA'!$AB$5)*1</f>
        <v>203.38274236935246</v>
      </c>
      <c r="AB170" s="4">
        <f>$K$170*$V$170</f>
        <v>0</v>
      </c>
      <c r="AC170" s="4">
        <f>$M$170*$W$170</f>
        <v>39719.458679999996</v>
      </c>
      <c r="AD170" s="4">
        <f>$O$170*$X$170</f>
        <v>6942.1109999999999</v>
      </c>
      <c r="AE170" s="4">
        <f>$K$170*$Y$170</f>
        <v>0</v>
      </c>
      <c r="AF170" s="4">
        <f ca="1">$M$170*$Z$170</f>
        <v>47226.488373427652</v>
      </c>
      <c r="AG170" s="4">
        <f>$O$170*$AA$170</f>
        <v>5664.6161404712047</v>
      </c>
    </row>
    <row r="171" spans="1:33" ht="11.25" customHeight="1" x14ac:dyDescent="0.25">
      <c r="A171" s="3" t="s">
        <v>28</v>
      </c>
      <c r="B171" s="3" t="s">
        <v>35</v>
      </c>
      <c r="C171" s="3" t="s">
        <v>36</v>
      </c>
      <c r="D171" s="3" t="s">
        <v>39</v>
      </c>
      <c r="E171" s="3" t="s">
        <v>25</v>
      </c>
      <c r="F171" s="3" t="s">
        <v>25</v>
      </c>
      <c r="G171" s="3" t="s">
        <v>25</v>
      </c>
      <c r="H171" s="3" t="s">
        <v>37</v>
      </c>
      <c r="I171" s="6">
        <v>44652</v>
      </c>
      <c r="J171" s="4">
        <v>0</v>
      </c>
      <c r="K171" s="4">
        <v>0</v>
      </c>
      <c r="L171" s="4">
        <v>3.7040000000000002</v>
      </c>
      <c r="M171" s="4">
        <v>3.7040000000000002</v>
      </c>
      <c r="N171" s="4">
        <v>3.7040000000000002</v>
      </c>
      <c r="O171" s="4">
        <v>3.7040000000000002</v>
      </c>
      <c r="P171" s="4">
        <v>0</v>
      </c>
      <c r="Q171" s="3" t="s">
        <v>26</v>
      </c>
      <c r="R171" s="3">
        <v>0</v>
      </c>
      <c r="S171" s="4">
        <v>0</v>
      </c>
      <c r="T171" s="4">
        <v>10</v>
      </c>
      <c r="U171" s="4">
        <v>77</v>
      </c>
      <c r="V171" s="4">
        <f>IF(ISERROR(VLOOKUP($S$171,'TAR FIN'!$A$1:$O$91,15,0)),0,VLOOKUP($S$171,'TAR FIN'!$A$1:$O$91,15,0))</f>
        <v>0</v>
      </c>
      <c r="W171" s="4">
        <f>IF(ISERROR(VLOOKUP($T$171,'TAR FIN'!$A$1:$O$91,15,0)),0,VLOOKUP($T$171,'TAR FIN'!$A$1:$O$91,15,0))</f>
        <v>1426.09</v>
      </c>
      <c r="X171" s="4">
        <f>IF(ISERROR(VLOOKUP($U$171,'TAR FIN'!$A$1:$O$91,15,0)),0,VLOOKUP($U$171,'TAR FIN'!$A$1:$O$91,15,0))</f>
        <v>249.25</v>
      </c>
      <c r="Y171" s="4"/>
      <c r="Z171" s="4">
        <f ca="1">('TUSD BE'!$AM$14+'TUSD BF'!$AM$14+'TUSD CVA'!$AM$14)*1</f>
        <v>1695.6228771157423</v>
      </c>
      <c r="AA171" s="4">
        <f>('TE BE'!$AB$5+'TE BF'!$AB$5+'TE CVA'!$AB$5)*1</f>
        <v>203.38274236935246</v>
      </c>
      <c r="AB171" s="4">
        <f>$K$171*$V$171</f>
        <v>0</v>
      </c>
      <c r="AC171" s="4">
        <f>$M$171*$W$171</f>
        <v>5282.2373600000001</v>
      </c>
      <c r="AD171" s="4">
        <f>$O$171*$X$171</f>
        <v>923.22200000000009</v>
      </c>
      <c r="AE171" s="4">
        <f>$K$171*$Y$171</f>
        <v>0</v>
      </c>
      <c r="AF171" s="4">
        <f ca="1">$M$171*$Z$171</f>
        <v>6280.5871368367098</v>
      </c>
      <c r="AG171" s="4">
        <f>$O$171*$AA$171</f>
        <v>753.32967773608152</v>
      </c>
    </row>
    <row r="172" spans="1:33" ht="11.25" customHeight="1" x14ac:dyDescent="0.25">
      <c r="A172" s="3" t="s">
        <v>21</v>
      </c>
      <c r="B172" s="3" t="s">
        <v>35</v>
      </c>
      <c r="C172" s="3" t="s">
        <v>36</v>
      </c>
      <c r="D172" s="3" t="s">
        <v>39</v>
      </c>
      <c r="E172" s="3" t="s">
        <v>25</v>
      </c>
      <c r="F172" s="3" t="s">
        <v>25</v>
      </c>
      <c r="G172" s="3" t="s">
        <v>25</v>
      </c>
      <c r="H172" s="3" t="s">
        <v>37</v>
      </c>
      <c r="I172" s="6">
        <v>44682</v>
      </c>
      <c r="J172" s="4">
        <v>0</v>
      </c>
      <c r="K172" s="4">
        <v>0</v>
      </c>
      <c r="L172" s="4">
        <v>24.446000000000002</v>
      </c>
      <c r="M172" s="4">
        <v>24.446000000000002</v>
      </c>
      <c r="N172" s="4">
        <v>24.446000000000002</v>
      </c>
      <c r="O172" s="4">
        <v>24.446000000000002</v>
      </c>
      <c r="P172" s="4">
        <v>0</v>
      </c>
      <c r="Q172" s="3" t="s">
        <v>26</v>
      </c>
      <c r="R172" s="3">
        <v>0</v>
      </c>
      <c r="S172" s="4">
        <v>0</v>
      </c>
      <c r="T172" s="4">
        <v>10</v>
      </c>
      <c r="U172" s="4">
        <v>77</v>
      </c>
      <c r="V172" s="4">
        <f>IF(ISERROR(VLOOKUP($S$172,'TAR FIN'!$A$1:$O$91,15,0)),0,VLOOKUP($S$172,'TAR FIN'!$A$1:$O$91,15,0))</f>
        <v>0</v>
      </c>
      <c r="W172" s="4">
        <f>IF(ISERROR(VLOOKUP($T$172,'TAR FIN'!$A$1:$O$91,15,0)),0,VLOOKUP($T$172,'TAR FIN'!$A$1:$O$91,15,0))</f>
        <v>1426.09</v>
      </c>
      <c r="X172" s="4">
        <f>IF(ISERROR(VLOOKUP($U$172,'TAR FIN'!$A$1:$O$91,15,0)),0,VLOOKUP($U$172,'TAR FIN'!$A$1:$O$91,15,0))</f>
        <v>249.25</v>
      </c>
      <c r="Y172" s="4"/>
      <c r="Z172" s="4">
        <f ca="1">('TUSD BE'!$AM$14+'TUSD BF'!$AM$14+'TUSD CVA'!$AM$14)*1</f>
        <v>1695.6228771157423</v>
      </c>
      <c r="AA172" s="4">
        <f>('TE BE'!$AB$5+'TE BF'!$AB$5+'TE CVA'!$AB$5)*1</f>
        <v>203.38274236935246</v>
      </c>
      <c r="AB172" s="4">
        <f>$K$172*$V$172</f>
        <v>0</v>
      </c>
      <c r="AC172" s="4">
        <f>$M$172*$W$172</f>
        <v>34862.19614</v>
      </c>
      <c r="AD172" s="4">
        <f>$O$172*$X$172</f>
        <v>6093.1655000000001</v>
      </c>
      <c r="AE172" s="4">
        <f>$K$172*$Y$172</f>
        <v>0</v>
      </c>
      <c r="AF172" s="4">
        <f ca="1">$M$172*$Z$172</f>
        <v>41451.196853971436</v>
      </c>
      <c r="AG172" s="4">
        <f>$O$172*$AA$172</f>
        <v>4971.8945199611908</v>
      </c>
    </row>
    <row r="173" spans="1:33" ht="11.25" customHeight="1" x14ac:dyDescent="0.25">
      <c r="A173" s="3" t="s">
        <v>28</v>
      </c>
      <c r="B173" s="3" t="s">
        <v>35</v>
      </c>
      <c r="C173" s="3" t="s">
        <v>36</v>
      </c>
      <c r="D173" s="3" t="s">
        <v>39</v>
      </c>
      <c r="E173" s="3" t="s">
        <v>25</v>
      </c>
      <c r="F173" s="3" t="s">
        <v>25</v>
      </c>
      <c r="G173" s="3" t="s">
        <v>25</v>
      </c>
      <c r="H173" s="3" t="s">
        <v>37</v>
      </c>
      <c r="I173" s="6">
        <v>44682</v>
      </c>
      <c r="J173" s="4">
        <v>0</v>
      </c>
      <c r="K173" s="4">
        <v>0</v>
      </c>
      <c r="L173" s="4">
        <v>3.0270000000000001</v>
      </c>
      <c r="M173" s="4">
        <v>3.0270000000000001</v>
      </c>
      <c r="N173" s="4">
        <v>3.0270000000000001</v>
      </c>
      <c r="O173" s="4">
        <v>3.0270000000000001</v>
      </c>
      <c r="P173" s="4">
        <v>0</v>
      </c>
      <c r="Q173" s="3" t="s">
        <v>26</v>
      </c>
      <c r="R173" s="3">
        <v>0</v>
      </c>
      <c r="S173" s="4">
        <v>0</v>
      </c>
      <c r="T173" s="4">
        <v>10</v>
      </c>
      <c r="U173" s="4">
        <v>77</v>
      </c>
      <c r="V173" s="4">
        <f>IF(ISERROR(VLOOKUP($S$173,'TAR FIN'!$A$1:$O$91,15,0)),0,VLOOKUP($S$173,'TAR FIN'!$A$1:$O$91,15,0))</f>
        <v>0</v>
      </c>
      <c r="W173" s="4">
        <f>IF(ISERROR(VLOOKUP($T$173,'TAR FIN'!$A$1:$O$91,15,0)),0,VLOOKUP($T$173,'TAR FIN'!$A$1:$O$91,15,0))</f>
        <v>1426.09</v>
      </c>
      <c r="X173" s="4">
        <f>IF(ISERROR(VLOOKUP($U$173,'TAR FIN'!$A$1:$O$91,15,0)),0,VLOOKUP($U$173,'TAR FIN'!$A$1:$O$91,15,0))</f>
        <v>249.25</v>
      </c>
      <c r="Y173" s="4"/>
      <c r="Z173" s="4">
        <f ca="1">('TUSD BE'!$AM$14+'TUSD BF'!$AM$14+'TUSD CVA'!$AM$14)*1</f>
        <v>1695.6228771157423</v>
      </c>
      <c r="AA173" s="4">
        <f>('TE BE'!$AB$5+'TE BF'!$AB$5+'TE CVA'!$AB$5)*1</f>
        <v>203.38274236935246</v>
      </c>
      <c r="AB173" s="4">
        <f>$K$173*$V$173</f>
        <v>0</v>
      </c>
      <c r="AC173" s="4">
        <f>$M$173*$W$173</f>
        <v>4316.7744300000004</v>
      </c>
      <c r="AD173" s="4">
        <f>$O$173*$X$173</f>
        <v>754.47975000000008</v>
      </c>
      <c r="AE173" s="4">
        <f>$K$173*$Y$173</f>
        <v>0</v>
      </c>
      <c r="AF173" s="4">
        <f ca="1">$M$173*$Z$173</f>
        <v>5132.6504490293519</v>
      </c>
      <c r="AG173" s="4">
        <f>$O$173*$AA$173</f>
        <v>615.63956115202996</v>
      </c>
    </row>
    <row r="174" spans="1:33" ht="11.25" customHeight="1" x14ac:dyDescent="0.25">
      <c r="A174" s="3" t="s">
        <v>21</v>
      </c>
      <c r="B174" s="3" t="s">
        <v>35</v>
      </c>
      <c r="C174" s="3" t="s">
        <v>36</v>
      </c>
      <c r="D174" s="3" t="s">
        <v>39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44713</v>
      </c>
      <c r="J174" s="4">
        <v>0</v>
      </c>
      <c r="K174" s="4">
        <v>0</v>
      </c>
      <c r="L174" s="4">
        <v>20.832999999999998</v>
      </c>
      <c r="M174" s="4">
        <v>20.832999999999998</v>
      </c>
      <c r="N174" s="4">
        <v>20.832999999999998</v>
      </c>
      <c r="O174" s="4">
        <v>20.832999999999998</v>
      </c>
      <c r="P174" s="4">
        <v>0</v>
      </c>
      <c r="Q174" s="3" t="s">
        <v>26</v>
      </c>
      <c r="R174" s="3">
        <v>0</v>
      </c>
      <c r="S174" s="4">
        <v>0</v>
      </c>
      <c r="T174" s="4">
        <v>10</v>
      </c>
      <c r="U174" s="4">
        <v>77</v>
      </c>
      <c r="V174" s="4">
        <f>IF(ISERROR(VLOOKUP($S$174,'TAR FIN'!$A$1:$O$91,15,0)),0,VLOOKUP($S$174,'TAR FIN'!$A$1:$O$91,15,0))</f>
        <v>0</v>
      </c>
      <c r="W174" s="4">
        <f>IF(ISERROR(VLOOKUP($T$174,'TAR FIN'!$A$1:$O$91,15,0)),0,VLOOKUP($T$174,'TAR FIN'!$A$1:$O$91,15,0))</f>
        <v>1426.09</v>
      </c>
      <c r="X174" s="4">
        <f>IF(ISERROR(VLOOKUP($U$174,'TAR FIN'!$A$1:$O$91,15,0)),0,VLOOKUP($U$174,'TAR FIN'!$A$1:$O$91,15,0))</f>
        <v>249.25</v>
      </c>
      <c r="Y174" s="4"/>
      <c r="Z174" s="4">
        <f ca="1">('TUSD BE'!$AM$14+'TUSD BF'!$AM$14+'TUSD CVA'!$AM$14)*1</f>
        <v>1695.6228771157423</v>
      </c>
      <c r="AA174" s="4">
        <f>('TE BE'!$AB$5+'TE BF'!$AB$5+'TE CVA'!$AB$5)*1</f>
        <v>203.38274236935246</v>
      </c>
      <c r="AB174" s="4">
        <f>$K$174*$V$174</f>
        <v>0</v>
      </c>
      <c r="AC174" s="4">
        <f>$M$174*$W$174</f>
        <v>29709.732969999997</v>
      </c>
      <c r="AD174" s="4">
        <f>$O$174*$X$174</f>
        <v>5192.6252500000001</v>
      </c>
      <c r="AE174" s="4">
        <f>$K$174*$Y$174</f>
        <v>0</v>
      </c>
      <c r="AF174" s="4">
        <f ca="1">$M$174*$Z$174</f>
        <v>35324.911398952259</v>
      </c>
      <c r="AG174" s="4">
        <f>$O$174*$AA$174</f>
        <v>4237.0726717807192</v>
      </c>
    </row>
    <row r="175" spans="1:33" ht="11.25" customHeight="1" x14ac:dyDescent="0.25">
      <c r="A175" s="3" t="s">
        <v>28</v>
      </c>
      <c r="B175" s="3" t="s">
        <v>35</v>
      </c>
      <c r="C175" s="3" t="s">
        <v>36</v>
      </c>
      <c r="D175" s="3" t="s">
        <v>39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44713</v>
      </c>
      <c r="J175" s="4">
        <v>0</v>
      </c>
      <c r="K175" s="4">
        <v>0</v>
      </c>
      <c r="L175" s="4">
        <v>3.5369999999999999</v>
      </c>
      <c r="M175" s="4">
        <v>3.5369999999999999</v>
      </c>
      <c r="N175" s="4">
        <v>3.5369999999999999</v>
      </c>
      <c r="O175" s="4">
        <v>3.5369999999999999</v>
      </c>
      <c r="P175" s="4">
        <v>0</v>
      </c>
      <c r="Q175" s="3" t="s">
        <v>26</v>
      </c>
      <c r="R175" s="3">
        <v>0</v>
      </c>
      <c r="S175" s="4">
        <v>0</v>
      </c>
      <c r="T175" s="4">
        <v>10</v>
      </c>
      <c r="U175" s="4">
        <v>77</v>
      </c>
      <c r="V175" s="4">
        <f>IF(ISERROR(VLOOKUP($S$175,'TAR FIN'!$A$1:$O$91,15,0)),0,VLOOKUP($S$175,'TAR FIN'!$A$1:$O$91,15,0))</f>
        <v>0</v>
      </c>
      <c r="W175" s="4">
        <f>IF(ISERROR(VLOOKUP($T$175,'TAR FIN'!$A$1:$O$91,15,0)),0,VLOOKUP($T$175,'TAR FIN'!$A$1:$O$91,15,0))</f>
        <v>1426.09</v>
      </c>
      <c r="X175" s="4">
        <f>IF(ISERROR(VLOOKUP($U$175,'TAR FIN'!$A$1:$O$91,15,0)),0,VLOOKUP($U$175,'TAR FIN'!$A$1:$O$91,15,0))</f>
        <v>249.25</v>
      </c>
      <c r="Y175" s="4"/>
      <c r="Z175" s="4">
        <f ca="1">('TUSD BE'!$AM$14+'TUSD BF'!$AM$14+'TUSD CVA'!$AM$14)*1</f>
        <v>1695.6228771157423</v>
      </c>
      <c r="AA175" s="4">
        <f>('TE BE'!$AB$5+'TE BF'!$AB$5+'TE CVA'!$AB$5)*1</f>
        <v>203.38274236935246</v>
      </c>
      <c r="AB175" s="4">
        <f>$K$175*$V$175</f>
        <v>0</v>
      </c>
      <c r="AC175" s="4">
        <f>$M$175*$W$175</f>
        <v>5044.0803299999998</v>
      </c>
      <c r="AD175" s="4">
        <f>$O$175*$X$175</f>
        <v>881.59725000000003</v>
      </c>
      <c r="AE175" s="4">
        <f>$K$175*$Y$175</f>
        <v>0</v>
      </c>
      <c r="AF175" s="4">
        <f ca="1">$M$175*$Z$175</f>
        <v>5997.4181163583808</v>
      </c>
      <c r="AG175" s="4">
        <f>$O$175*$AA$175</f>
        <v>719.36475976039958</v>
      </c>
    </row>
    <row r="176" spans="1:33" ht="11.25" customHeight="1" x14ac:dyDescent="0.25">
      <c r="A176" s="3" t="s">
        <v>21</v>
      </c>
      <c r="B176" s="3" t="s">
        <v>35</v>
      </c>
      <c r="C176" s="3" t="s">
        <v>36</v>
      </c>
      <c r="D176" s="3" t="s">
        <v>39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44743</v>
      </c>
      <c r="J176" s="4">
        <v>0</v>
      </c>
      <c r="K176" s="4">
        <v>0</v>
      </c>
      <c r="L176" s="4">
        <v>20.38</v>
      </c>
      <c r="M176" s="4">
        <v>20.38</v>
      </c>
      <c r="N176" s="4">
        <v>20.38</v>
      </c>
      <c r="O176" s="4">
        <v>20.38</v>
      </c>
      <c r="P176" s="4">
        <v>0</v>
      </c>
      <c r="Q176" s="3" t="s">
        <v>26</v>
      </c>
      <c r="R176" s="3">
        <v>0</v>
      </c>
      <c r="S176" s="4">
        <v>0</v>
      </c>
      <c r="T176" s="4">
        <v>10</v>
      </c>
      <c r="U176" s="4">
        <v>77</v>
      </c>
      <c r="V176" s="4">
        <f>IF(ISERROR(VLOOKUP($S$176,'TAR FIN'!$A$1:$O$91,15,0)),0,VLOOKUP($S$176,'TAR FIN'!$A$1:$O$91,15,0))</f>
        <v>0</v>
      </c>
      <c r="W176" s="4">
        <f>IF(ISERROR(VLOOKUP($T$176,'TAR FIN'!$A$1:$O$91,15,0)),0,VLOOKUP($T$176,'TAR FIN'!$A$1:$O$91,15,0))</f>
        <v>1426.09</v>
      </c>
      <c r="X176" s="4">
        <f>IF(ISERROR(VLOOKUP($U$176,'TAR FIN'!$A$1:$O$91,15,0)),0,VLOOKUP($U$176,'TAR FIN'!$A$1:$O$91,15,0))</f>
        <v>249.25</v>
      </c>
      <c r="Y176" s="4"/>
      <c r="Z176" s="4">
        <f ca="1">('TUSD BE'!$AM$14+'TUSD BF'!$AM$14+'TUSD CVA'!$AM$14)*1</f>
        <v>1695.6228771157423</v>
      </c>
      <c r="AA176" s="4">
        <f>('TE BE'!$AB$5+'TE BF'!$AB$5+'TE CVA'!$AB$5)*1</f>
        <v>203.38274236935246</v>
      </c>
      <c r="AB176" s="4">
        <f>$K$176*$V$176</f>
        <v>0</v>
      </c>
      <c r="AC176" s="4">
        <f>$M$176*$W$176</f>
        <v>29063.714199999999</v>
      </c>
      <c r="AD176" s="4">
        <f>$O$176*$X$176</f>
        <v>5079.7150000000001</v>
      </c>
      <c r="AE176" s="4">
        <f>$K$176*$Y$176</f>
        <v>0</v>
      </c>
      <c r="AF176" s="4">
        <f ca="1">$M$176*$Z$176</f>
        <v>34556.794235618829</v>
      </c>
      <c r="AG176" s="4">
        <f>$O$176*$AA$176</f>
        <v>4144.9402894874029</v>
      </c>
    </row>
    <row r="177" spans="1:33" ht="11.25" customHeight="1" x14ac:dyDescent="0.25">
      <c r="A177" s="3" t="s">
        <v>21</v>
      </c>
      <c r="B177" s="3" t="s">
        <v>35</v>
      </c>
      <c r="C177" s="3" t="s">
        <v>36</v>
      </c>
      <c r="D177" s="3" t="s">
        <v>39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44774</v>
      </c>
      <c r="J177" s="4">
        <v>0</v>
      </c>
      <c r="K177" s="4">
        <v>0</v>
      </c>
      <c r="L177" s="4">
        <v>22.19</v>
      </c>
      <c r="M177" s="4">
        <v>22.19</v>
      </c>
      <c r="N177" s="4">
        <v>22.19</v>
      </c>
      <c r="O177" s="4">
        <v>22.19</v>
      </c>
      <c r="P177" s="4">
        <v>0</v>
      </c>
      <c r="Q177" s="3" t="s">
        <v>26</v>
      </c>
      <c r="R177" s="3">
        <v>0</v>
      </c>
      <c r="S177" s="4">
        <v>0</v>
      </c>
      <c r="T177" s="4">
        <v>10</v>
      </c>
      <c r="U177" s="4">
        <v>77</v>
      </c>
      <c r="V177" s="4">
        <f>IF(ISERROR(VLOOKUP($S$177,'TAR FIN'!$A$1:$O$91,15,0)),0,VLOOKUP($S$177,'TAR FIN'!$A$1:$O$91,15,0))</f>
        <v>0</v>
      </c>
      <c r="W177" s="4">
        <f>IF(ISERROR(VLOOKUP($T$177,'TAR FIN'!$A$1:$O$91,15,0)),0,VLOOKUP($T$177,'TAR FIN'!$A$1:$O$91,15,0))</f>
        <v>1426.09</v>
      </c>
      <c r="X177" s="4">
        <f>IF(ISERROR(VLOOKUP($U$177,'TAR FIN'!$A$1:$O$91,15,0)),0,VLOOKUP($U$177,'TAR FIN'!$A$1:$O$91,15,0))</f>
        <v>249.25</v>
      </c>
      <c r="Y177" s="4"/>
      <c r="Z177" s="4">
        <f ca="1">('TUSD BE'!$AM$14+'TUSD BF'!$AM$14+'TUSD CVA'!$AM$14)*1</f>
        <v>1695.6228771157423</v>
      </c>
      <c r="AA177" s="4">
        <f>('TE BE'!$AB$5+'TE BF'!$AB$5+'TE CVA'!$AB$5)*1</f>
        <v>203.38274236935246</v>
      </c>
      <c r="AB177" s="4">
        <f>$K$177*$V$177</f>
        <v>0</v>
      </c>
      <c r="AC177" s="4">
        <f>$M$177*$W$177</f>
        <v>31644.937099999999</v>
      </c>
      <c r="AD177" s="4">
        <f>$O$177*$X$177</f>
        <v>5530.8575000000001</v>
      </c>
      <c r="AE177" s="4">
        <f>$K$177*$Y$177</f>
        <v>0</v>
      </c>
      <c r="AF177" s="4">
        <f ca="1">$M$177*$Z$177</f>
        <v>37625.871643198327</v>
      </c>
      <c r="AG177" s="4">
        <f>$O$177*$AA$177</f>
        <v>4513.0630531759316</v>
      </c>
    </row>
    <row r="178" spans="1:33" ht="11.25" customHeight="1" x14ac:dyDescent="0.25">
      <c r="A178" s="3" t="s">
        <v>28</v>
      </c>
      <c r="B178" s="3" t="s">
        <v>35</v>
      </c>
      <c r="C178" s="3" t="s">
        <v>36</v>
      </c>
      <c r="D178" s="3" t="s">
        <v>39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44774</v>
      </c>
      <c r="J178" s="4">
        <v>0</v>
      </c>
      <c r="K178" s="4">
        <v>0</v>
      </c>
      <c r="L178" s="4">
        <v>4.1639999999999997</v>
      </c>
      <c r="M178" s="4">
        <v>4.1639999999999997</v>
      </c>
      <c r="N178" s="4">
        <v>4.1639999999999997</v>
      </c>
      <c r="O178" s="4">
        <v>4.1639999999999997</v>
      </c>
      <c r="P178" s="4">
        <v>0</v>
      </c>
      <c r="Q178" s="3" t="s">
        <v>26</v>
      </c>
      <c r="R178" s="3">
        <v>0</v>
      </c>
      <c r="S178" s="4">
        <v>0</v>
      </c>
      <c r="T178" s="4">
        <v>10</v>
      </c>
      <c r="U178" s="4">
        <v>77</v>
      </c>
      <c r="V178" s="4">
        <f>IF(ISERROR(VLOOKUP($S$178,'TAR FIN'!$A$1:$O$91,15,0)),0,VLOOKUP($S$178,'TAR FIN'!$A$1:$O$91,15,0))</f>
        <v>0</v>
      </c>
      <c r="W178" s="4">
        <f>IF(ISERROR(VLOOKUP($T$178,'TAR FIN'!$A$1:$O$91,15,0)),0,VLOOKUP($T$178,'TAR FIN'!$A$1:$O$91,15,0))</f>
        <v>1426.09</v>
      </c>
      <c r="X178" s="4">
        <f>IF(ISERROR(VLOOKUP($U$178,'TAR FIN'!$A$1:$O$91,15,0)),0,VLOOKUP($U$178,'TAR FIN'!$A$1:$O$91,15,0))</f>
        <v>249.25</v>
      </c>
      <c r="Y178" s="4"/>
      <c r="Z178" s="4">
        <f ca="1">('TUSD BE'!$AM$14+'TUSD BF'!$AM$14+'TUSD CVA'!$AM$14)*1</f>
        <v>1695.6228771157423</v>
      </c>
      <c r="AA178" s="4">
        <f>('TE BE'!$AB$5+'TE BF'!$AB$5+'TE CVA'!$AB$5)*1</f>
        <v>203.38274236935246</v>
      </c>
      <c r="AB178" s="4">
        <f>$K$178*$V$178</f>
        <v>0</v>
      </c>
      <c r="AC178" s="4">
        <f>$M$178*$W$178</f>
        <v>5938.2387599999993</v>
      </c>
      <c r="AD178" s="4">
        <f>$O$178*$X$178</f>
        <v>1037.877</v>
      </c>
      <c r="AE178" s="4">
        <f>$K$178*$Y$178</f>
        <v>0</v>
      </c>
      <c r="AF178" s="4">
        <f ca="1">$M$178*$Z$178</f>
        <v>7060.5736603099504</v>
      </c>
      <c r="AG178" s="4">
        <f>$O$178*$AA$178</f>
        <v>846.88573922598357</v>
      </c>
    </row>
    <row r="179" spans="1:33" ht="11.25" customHeight="1" x14ac:dyDescent="0.25">
      <c r="A179" s="3" t="s">
        <v>21</v>
      </c>
      <c r="B179" s="3" t="s">
        <v>35</v>
      </c>
      <c r="C179" s="3" t="s">
        <v>36</v>
      </c>
      <c r="D179" s="3" t="s">
        <v>34</v>
      </c>
      <c r="E179" s="3" t="s">
        <v>25</v>
      </c>
      <c r="F179" s="3" t="s">
        <v>54</v>
      </c>
      <c r="G179" s="3" t="s">
        <v>25</v>
      </c>
      <c r="H179" s="3" t="s">
        <v>38</v>
      </c>
      <c r="I179" s="6">
        <v>44440</v>
      </c>
      <c r="J179" s="4">
        <v>0</v>
      </c>
      <c r="K179" s="4">
        <v>0</v>
      </c>
      <c r="L179" s="4">
        <v>6.2770000000000001</v>
      </c>
      <c r="M179" s="4">
        <v>6.2770000000000001</v>
      </c>
      <c r="N179" s="4">
        <v>0</v>
      </c>
      <c r="O179" s="4">
        <v>0</v>
      </c>
      <c r="P179" s="4">
        <v>0</v>
      </c>
      <c r="Q179" s="3" t="s">
        <v>55</v>
      </c>
      <c r="R179" s="3">
        <v>0</v>
      </c>
      <c r="S179" s="4">
        <v>0</v>
      </c>
      <c r="T179" s="4">
        <v>5</v>
      </c>
      <c r="U179" s="4">
        <v>0</v>
      </c>
      <c r="V179" s="4">
        <f>IF(ISERROR(VLOOKUP($S$179,'TAR FIN'!$A$1:$O$91,15,0)),0,VLOOKUP($S$179,'TAR FIN'!$A$1:$O$91,15,0))</f>
        <v>0</v>
      </c>
      <c r="W179" s="4">
        <f>IF(ISERROR(VLOOKUP($T$179,'TAR FIN'!$A$1:$O$91,15,0)),0,VLOOKUP($T$179,'TAR FIN'!$A$1:$O$91,15,0))</f>
        <v>11.28</v>
      </c>
      <c r="X179" s="4">
        <f>IF(ISERROR(VLOOKUP($U$179,'TAR FIN'!$A$1:$O$91,15,0)),0,VLOOKUP($U$179,'TAR FIN'!$A$1:$O$91,15,0))</f>
        <v>0</v>
      </c>
      <c r="Y179" s="4"/>
      <c r="Z179" s="4">
        <f ca="1">('TUSD BE'!$AM$17+'TUSD BF'!$AM$17+'TUSD CVA'!$AM$17)*1</f>
        <v>9.8732246344351182</v>
      </c>
      <c r="AA179" s="4"/>
      <c r="AB179" s="4">
        <f>$K$179*$V$179</f>
        <v>0</v>
      </c>
      <c r="AC179" s="4">
        <f>$M$179*$W$179</f>
        <v>70.804559999999995</v>
      </c>
      <c r="AD179" s="4">
        <f>$O$179*$X$179</f>
        <v>0</v>
      </c>
      <c r="AE179" s="4">
        <f>$K$179*$Y$179</f>
        <v>0</v>
      </c>
      <c r="AF179" s="4">
        <f ca="1">$M$179*$Z$179</f>
        <v>61.974231030349237</v>
      </c>
      <c r="AG179" s="4">
        <f>$O$179*$AA$179</f>
        <v>0</v>
      </c>
    </row>
    <row r="180" spans="1:33" ht="11.25" customHeight="1" x14ac:dyDescent="0.25">
      <c r="A180" s="3" t="s">
        <v>21</v>
      </c>
      <c r="B180" s="3" t="s">
        <v>35</v>
      </c>
      <c r="C180" s="3" t="s">
        <v>36</v>
      </c>
      <c r="D180" s="3" t="s">
        <v>34</v>
      </c>
      <c r="E180" s="3" t="s">
        <v>25</v>
      </c>
      <c r="F180" s="3" t="s">
        <v>54</v>
      </c>
      <c r="G180" s="3" t="s">
        <v>25</v>
      </c>
      <c r="H180" s="3" t="s">
        <v>38</v>
      </c>
      <c r="I180" s="6">
        <v>44470</v>
      </c>
      <c r="J180" s="4">
        <v>0</v>
      </c>
      <c r="K180" s="4">
        <v>0</v>
      </c>
      <c r="L180" s="4">
        <v>0.56899999999999995</v>
      </c>
      <c r="M180" s="4">
        <v>0.56899999999999995</v>
      </c>
      <c r="N180" s="4">
        <v>0</v>
      </c>
      <c r="O180" s="4">
        <v>0</v>
      </c>
      <c r="P180" s="4">
        <v>0</v>
      </c>
      <c r="Q180" s="3" t="s">
        <v>55</v>
      </c>
      <c r="R180" s="3">
        <v>0</v>
      </c>
      <c r="S180" s="4">
        <v>0</v>
      </c>
      <c r="T180" s="4">
        <v>5</v>
      </c>
      <c r="U180" s="4">
        <v>0</v>
      </c>
      <c r="V180" s="4">
        <f>IF(ISERROR(VLOOKUP($S$180,'TAR FIN'!$A$1:$O$91,15,0)),0,VLOOKUP($S$180,'TAR FIN'!$A$1:$O$91,15,0))</f>
        <v>0</v>
      </c>
      <c r="W180" s="4">
        <f>IF(ISERROR(VLOOKUP($T$180,'TAR FIN'!$A$1:$O$91,15,0)),0,VLOOKUP($T$180,'TAR FIN'!$A$1:$O$91,15,0))</f>
        <v>11.28</v>
      </c>
      <c r="X180" s="4">
        <f>IF(ISERROR(VLOOKUP($U$180,'TAR FIN'!$A$1:$O$91,15,0)),0,VLOOKUP($U$180,'TAR FIN'!$A$1:$O$91,15,0))</f>
        <v>0</v>
      </c>
      <c r="Y180" s="4"/>
      <c r="Z180" s="4">
        <f ca="1">('TUSD BE'!$AM$17+'TUSD BF'!$AM$17+'TUSD CVA'!$AM$17)*1</f>
        <v>9.8732246344351182</v>
      </c>
      <c r="AA180" s="4"/>
      <c r="AB180" s="4">
        <f>$K$180*$V$180</f>
        <v>0</v>
      </c>
      <c r="AC180" s="4">
        <f>$M$180*$W$180</f>
        <v>6.4183199999999987</v>
      </c>
      <c r="AD180" s="4">
        <f>$O$180*$X$180</f>
        <v>0</v>
      </c>
      <c r="AE180" s="4">
        <f>$K$180*$Y$180</f>
        <v>0</v>
      </c>
      <c r="AF180" s="4">
        <f ca="1">$M$180*$Z$180</f>
        <v>5.6178648169935821</v>
      </c>
      <c r="AG180" s="4">
        <f>$O$180*$AA$180</f>
        <v>0</v>
      </c>
    </row>
    <row r="181" spans="1:33" ht="11.25" customHeight="1" x14ac:dyDescent="0.25">
      <c r="A181" s="3" t="s">
        <v>21</v>
      </c>
      <c r="B181" s="3" t="s">
        <v>35</v>
      </c>
      <c r="C181" s="3" t="s">
        <v>36</v>
      </c>
      <c r="D181" s="3" t="s">
        <v>34</v>
      </c>
      <c r="E181" s="3" t="s">
        <v>25</v>
      </c>
      <c r="F181" s="3" t="s">
        <v>54</v>
      </c>
      <c r="G181" s="3" t="s">
        <v>25</v>
      </c>
      <c r="H181" s="3" t="s">
        <v>38</v>
      </c>
      <c r="I181" s="6">
        <v>44501</v>
      </c>
      <c r="J181" s="4">
        <v>0</v>
      </c>
      <c r="K181" s="4">
        <v>0</v>
      </c>
      <c r="L181" s="4">
        <v>2.83</v>
      </c>
      <c r="M181" s="4">
        <v>2.83</v>
      </c>
      <c r="N181" s="4">
        <v>0</v>
      </c>
      <c r="O181" s="4">
        <v>0</v>
      </c>
      <c r="P181" s="4">
        <v>0</v>
      </c>
      <c r="Q181" s="3" t="s">
        <v>55</v>
      </c>
      <c r="R181" s="3">
        <v>0</v>
      </c>
      <c r="S181" s="4">
        <v>0</v>
      </c>
      <c r="T181" s="4">
        <v>5</v>
      </c>
      <c r="U181" s="4">
        <v>0</v>
      </c>
      <c r="V181" s="4">
        <f>IF(ISERROR(VLOOKUP($S$181,'TAR FIN'!$A$1:$O$91,15,0)),0,VLOOKUP($S$181,'TAR FIN'!$A$1:$O$91,15,0))</f>
        <v>0</v>
      </c>
      <c r="W181" s="4">
        <f>IF(ISERROR(VLOOKUP($T$181,'TAR FIN'!$A$1:$O$91,15,0)),0,VLOOKUP($T$181,'TAR FIN'!$A$1:$O$91,15,0))</f>
        <v>11.28</v>
      </c>
      <c r="X181" s="4">
        <f>IF(ISERROR(VLOOKUP($U$181,'TAR FIN'!$A$1:$O$91,15,0)),0,VLOOKUP($U$181,'TAR FIN'!$A$1:$O$91,15,0))</f>
        <v>0</v>
      </c>
      <c r="Y181" s="4"/>
      <c r="Z181" s="4">
        <f ca="1">('TUSD BE'!$AM$17+'TUSD BF'!$AM$17+'TUSD CVA'!$AM$17)*1</f>
        <v>9.8732246344351182</v>
      </c>
      <c r="AA181" s="4"/>
      <c r="AB181" s="4">
        <f>$K$181*$V$181</f>
        <v>0</v>
      </c>
      <c r="AC181" s="4">
        <f>$M$181*$W$181</f>
        <v>31.9224</v>
      </c>
      <c r="AD181" s="4">
        <f>$O$181*$X$181</f>
        <v>0</v>
      </c>
      <c r="AE181" s="4">
        <f>$K$181*$Y$181</f>
        <v>0</v>
      </c>
      <c r="AF181" s="4">
        <f ca="1">$M$181*$Z$181</f>
        <v>27.941225715451385</v>
      </c>
      <c r="AG181" s="4">
        <f>$O$181*$AA$181</f>
        <v>0</v>
      </c>
    </row>
    <row r="182" spans="1:33" ht="11.25" customHeight="1" x14ac:dyDescent="0.25">
      <c r="A182" s="3" t="s">
        <v>21</v>
      </c>
      <c r="B182" s="3" t="s">
        <v>35</v>
      </c>
      <c r="C182" s="3" t="s">
        <v>36</v>
      </c>
      <c r="D182" s="3" t="s">
        <v>34</v>
      </c>
      <c r="E182" s="3" t="s">
        <v>25</v>
      </c>
      <c r="F182" s="3" t="s">
        <v>54</v>
      </c>
      <c r="G182" s="3" t="s">
        <v>25</v>
      </c>
      <c r="H182" s="3" t="s">
        <v>38</v>
      </c>
      <c r="I182" s="6">
        <v>44531</v>
      </c>
      <c r="J182" s="4">
        <v>0</v>
      </c>
      <c r="K182" s="4">
        <v>0</v>
      </c>
      <c r="L182" s="4">
        <v>1.4339999999999999</v>
      </c>
      <c r="M182" s="4">
        <v>1.4339999999999999</v>
      </c>
      <c r="N182" s="4">
        <v>0</v>
      </c>
      <c r="O182" s="4">
        <v>0</v>
      </c>
      <c r="P182" s="4">
        <v>0</v>
      </c>
      <c r="Q182" s="3" t="s">
        <v>55</v>
      </c>
      <c r="R182" s="3">
        <v>0</v>
      </c>
      <c r="S182" s="4">
        <v>0</v>
      </c>
      <c r="T182" s="4">
        <v>5</v>
      </c>
      <c r="U182" s="4">
        <v>0</v>
      </c>
      <c r="V182" s="4">
        <f>IF(ISERROR(VLOOKUP($S$182,'TAR FIN'!$A$1:$O$91,15,0)),0,VLOOKUP($S$182,'TAR FIN'!$A$1:$O$91,15,0))</f>
        <v>0</v>
      </c>
      <c r="W182" s="4">
        <f>IF(ISERROR(VLOOKUP($T$182,'TAR FIN'!$A$1:$O$91,15,0)),0,VLOOKUP($T$182,'TAR FIN'!$A$1:$O$91,15,0))</f>
        <v>11.28</v>
      </c>
      <c r="X182" s="4">
        <f>IF(ISERROR(VLOOKUP($U$182,'TAR FIN'!$A$1:$O$91,15,0)),0,VLOOKUP($U$182,'TAR FIN'!$A$1:$O$91,15,0))</f>
        <v>0</v>
      </c>
      <c r="Y182" s="4"/>
      <c r="Z182" s="4">
        <f ca="1">('TUSD BE'!$AM$17+'TUSD BF'!$AM$17+'TUSD CVA'!$AM$17)*1</f>
        <v>9.8732246344351182</v>
      </c>
      <c r="AA182" s="4"/>
      <c r="AB182" s="4">
        <f>$K$182*$V$182</f>
        <v>0</v>
      </c>
      <c r="AC182" s="4">
        <f>$M$182*$W$182</f>
        <v>16.175519999999999</v>
      </c>
      <c r="AD182" s="4">
        <f>$O$182*$X$182</f>
        <v>0</v>
      </c>
      <c r="AE182" s="4">
        <f>$K$182*$Y$182</f>
        <v>0</v>
      </c>
      <c r="AF182" s="4">
        <f ca="1">$M$182*$Z$182</f>
        <v>14.158204125779958</v>
      </c>
      <c r="AG182" s="4">
        <f>$O$182*$AA$182</f>
        <v>0</v>
      </c>
    </row>
    <row r="183" spans="1:33" ht="11.25" customHeight="1" x14ac:dyDescent="0.25">
      <c r="A183" s="3" t="s">
        <v>21</v>
      </c>
      <c r="B183" s="3" t="s">
        <v>35</v>
      </c>
      <c r="C183" s="3" t="s">
        <v>36</v>
      </c>
      <c r="D183" s="3" t="s">
        <v>34</v>
      </c>
      <c r="E183" s="3" t="s">
        <v>25</v>
      </c>
      <c r="F183" s="3" t="s">
        <v>54</v>
      </c>
      <c r="G183" s="3" t="s">
        <v>25</v>
      </c>
      <c r="H183" s="3" t="s">
        <v>38</v>
      </c>
      <c r="I183" s="6">
        <v>44562</v>
      </c>
      <c r="J183" s="4">
        <v>0</v>
      </c>
      <c r="K183" s="4">
        <v>0</v>
      </c>
      <c r="L183" s="4">
        <v>4.8289999999999997</v>
      </c>
      <c r="M183" s="4">
        <v>4.8289999999999997</v>
      </c>
      <c r="N183" s="4">
        <v>0</v>
      </c>
      <c r="O183" s="4">
        <v>0</v>
      </c>
      <c r="P183" s="4">
        <v>0</v>
      </c>
      <c r="Q183" s="3" t="s">
        <v>55</v>
      </c>
      <c r="R183" s="3">
        <v>0</v>
      </c>
      <c r="S183" s="4">
        <v>0</v>
      </c>
      <c r="T183" s="4">
        <v>5</v>
      </c>
      <c r="U183" s="4">
        <v>0</v>
      </c>
      <c r="V183" s="4">
        <f>IF(ISERROR(VLOOKUP($S$183,'TAR FIN'!$A$1:$O$91,15,0)),0,VLOOKUP($S$183,'TAR FIN'!$A$1:$O$91,15,0))</f>
        <v>0</v>
      </c>
      <c r="W183" s="4">
        <f>IF(ISERROR(VLOOKUP($T$183,'TAR FIN'!$A$1:$O$91,15,0)),0,VLOOKUP($T$183,'TAR FIN'!$A$1:$O$91,15,0))</f>
        <v>11.28</v>
      </c>
      <c r="X183" s="4">
        <f>IF(ISERROR(VLOOKUP($U$183,'TAR FIN'!$A$1:$O$91,15,0)),0,VLOOKUP($U$183,'TAR FIN'!$A$1:$O$91,15,0))</f>
        <v>0</v>
      </c>
      <c r="Y183" s="4"/>
      <c r="Z183" s="4">
        <f ca="1">('TUSD BE'!$AM$17+'TUSD BF'!$AM$17+'TUSD CVA'!$AM$17)*1</f>
        <v>9.8732246344351182</v>
      </c>
      <c r="AA183" s="4"/>
      <c r="AB183" s="4">
        <f>$K$183*$V$183</f>
        <v>0</v>
      </c>
      <c r="AC183" s="4">
        <f>$M$183*$W$183</f>
        <v>54.471119999999992</v>
      </c>
      <c r="AD183" s="4">
        <f>$O$183*$X$183</f>
        <v>0</v>
      </c>
      <c r="AE183" s="4">
        <f>$K$183*$Y$183</f>
        <v>0</v>
      </c>
      <c r="AF183" s="4">
        <f ca="1">$M$183*$Z$183</f>
        <v>47.677801759687185</v>
      </c>
      <c r="AG183" s="4">
        <f>$O$183*$AA$183</f>
        <v>0</v>
      </c>
    </row>
    <row r="184" spans="1:33" ht="11.25" customHeight="1" x14ac:dyDescent="0.25">
      <c r="A184" s="3" t="s">
        <v>21</v>
      </c>
      <c r="B184" s="3" t="s">
        <v>35</v>
      </c>
      <c r="C184" s="3" t="s">
        <v>36</v>
      </c>
      <c r="D184" s="3" t="s">
        <v>34</v>
      </c>
      <c r="E184" s="3" t="s">
        <v>25</v>
      </c>
      <c r="F184" s="3" t="s">
        <v>54</v>
      </c>
      <c r="G184" s="3" t="s">
        <v>25</v>
      </c>
      <c r="H184" s="3" t="s">
        <v>38</v>
      </c>
      <c r="I184" s="6">
        <v>44593</v>
      </c>
      <c r="J184" s="4">
        <v>0</v>
      </c>
      <c r="K184" s="4">
        <v>0</v>
      </c>
      <c r="L184" s="4">
        <v>3.5619999999999998</v>
      </c>
      <c r="M184" s="4">
        <v>3.5619999999999998</v>
      </c>
      <c r="N184" s="4">
        <v>0</v>
      </c>
      <c r="O184" s="4">
        <v>0</v>
      </c>
      <c r="P184" s="4">
        <v>0</v>
      </c>
      <c r="Q184" s="3" t="s">
        <v>55</v>
      </c>
      <c r="R184" s="3">
        <v>0</v>
      </c>
      <c r="S184" s="4">
        <v>0</v>
      </c>
      <c r="T184" s="4">
        <v>5</v>
      </c>
      <c r="U184" s="4">
        <v>0</v>
      </c>
      <c r="V184" s="4">
        <f>IF(ISERROR(VLOOKUP($S$184,'TAR FIN'!$A$1:$O$91,15,0)),0,VLOOKUP($S$184,'TAR FIN'!$A$1:$O$91,15,0))</f>
        <v>0</v>
      </c>
      <c r="W184" s="4">
        <f>IF(ISERROR(VLOOKUP($T$184,'TAR FIN'!$A$1:$O$91,15,0)),0,VLOOKUP($T$184,'TAR FIN'!$A$1:$O$91,15,0))</f>
        <v>11.28</v>
      </c>
      <c r="X184" s="4">
        <f>IF(ISERROR(VLOOKUP($U$184,'TAR FIN'!$A$1:$O$91,15,0)),0,VLOOKUP($U$184,'TAR FIN'!$A$1:$O$91,15,0))</f>
        <v>0</v>
      </c>
      <c r="Y184" s="4"/>
      <c r="Z184" s="4">
        <f ca="1">('TUSD BE'!$AM$17+'TUSD BF'!$AM$17+'TUSD CVA'!$AM$17)*1</f>
        <v>9.8732246344351182</v>
      </c>
      <c r="AA184" s="4"/>
      <c r="AB184" s="4">
        <f>$K$184*$V$184</f>
        <v>0</v>
      </c>
      <c r="AC184" s="4">
        <f>$M$184*$W$184</f>
        <v>40.179359999999996</v>
      </c>
      <c r="AD184" s="4">
        <f>$O$184*$X$184</f>
        <v>0</v>
      </c>
      <c r="AE184" s="4">
        <f>$K$184*$Y$184</f>
        <v>0</v>
      </c>
      <c r="AF184" s="4">
        <f ca="1">$M$184*$Z$184</f>
        <v>35.168426147857886</v>
      </c>
      <c r="AG184" s="4">
        <f>$O$184*$AA$184</f>
        <v>0</v>
      </c>
    </row>
    <row r="185" spans="1:33" ht="11.25" customHeight="1" x14ac:dyDescent="0.25">
      <c r="A185" s="3" t="s">
        <v>21</v>
      </c>
      <c r="B185" s="3" t="s">
        <v>35</v>
      </c>
      <c r="C185" s="3" t="s">
        <v>36</v>
      </c>
      <c r="D185" s="3" t="s">
        <v>34</v>
      </c>
      <c r="E185" s="3" t="s">
        <v>25</v>
      </c>
      <c r="F185" s="3" t="s">
        <v>54</v>
      </c>
      <c r="G185" s="3" t="s">
        <v>25</v>
      </c>
      <c r="H185" s="3" t="s">
        <v>38</v>
      </c>
      <c r="I185" s="6">
        <v>44621</v>
      </c>
      <c r="J185" s="4">
        <v>0</v>
      </c>
      <c r="K185" s="4">
        <v>0</v>
      </c>
      <c r="L185" s="4">
        <v>0.72499999999999998</v>
      </c>
      <c r="M185" s="4">
        <v>0.72499999999999998</v>
      </c>
      <c r="N185" s="4">
        <v>0</v>
      </c>
      <c r="O185" s="4">
        <v>0</v>
      </c>
      <c r="P185" s="4">
        <v>0</v>
      </c>
      <c r="Q185" s="3" t="s">
        <v>55</v>
      </c>
      <c r="R185" s="3">
        <v>0</v>
      </c>
      <c r="S185" s="4">
        <v>0</v>
      </c>
      <c r="T185" s="4">
        <v>5</v>
      </c>
      <c r="U185" s="4">
        <v>0</v>
      </c>
      <c r="V185" s="4">
        <f>IF(ISERROR(VLOOKUP($S$185,'TAR FIN'!$A$1:$O$91,15,0)),0,VLOOKUP($S$185,'TAR FIN'!$A$1:$O$91,15,0))</f>
        <v>0</v>
      </c>
      <c r="W185" s="4">
        <f>IF(ISERROR(VLOOKUP($T$185,'TAR FIN'!$A$1:$O$91,15,0)),0,VLOOKUP($T$185,'TAR FIN'!$A$1:$O$91,15,0))</f>
        <v>11.28</v>
      </c>
      <c r="X185" s="4">
        <f>IF(ISERROR(VLOOKUP($U$185,'TAR FIN'!$A$1:$O$91,15,0)),0,VLOOKUP($U$185,'TAR FIN'!$A$1:$O$91,15,0))</f>
        <v>0</v>
      </c>
      <c r="Y185" s="4"/>
      <c r="Z185" s="4">
        <f ca="1">('TUSD BE'!$AM$17+'TUSD BF'!$AM$17+'TUSD CVA'!$AM$17)*1</f>
        <v>9.8732246344351182</v>
      </c>
      <c r="AA185" s="4"/>
      <c r="AB185" s="4">
        <f>$K$185*$V$185</f>
        <v>0</v>
      </c>
      <c r="AC185" s="4">
        <f>$M$185*$W$185</f>
        <v>8.177999999999999</v>
      </c>
      <c r="AD185" s="4">
        <f>$O$185*$X$185</f>
        <v>0</v>
      </c>
      <c r="AE185" s="4">
        <f>$K$185*$Y$185</f>
        <v>0</v>
      </c>
      <c r="AF185" s="4">
        <f ca="1">$M$185*$Z$185</f>
        <v>7.1580878599654607</v>
      </c>
      <c r="AG185" s="4">
        <f>$O$185*$AA$185</f>
        <v>0</v>
      </c>
    </row>
    <row r="186" spans="1:33" ht="11.25" customHeight="1" x14ac:dyDescent="0.25">
      <c r="A186" s="3" t="s">
        <v>21</v>
      </c>
      <c r="B186" s="3" t="s">
        <v>35</v>
      </c>
      <c r="C186" s="3" t="s">
        <v>36</v>
      </c>
      <c r="D186" s="3" t="s">
        <v>34</v>
      </c>
      <c r="E186" s="3" t="s">
        <v>25</v>
      </c>
      <c r="F186" s="3" t="s">
        <v>54</v>
      </c>
      <c r="G186" s="3" t="s">
        <v>25</v>
      </c>
      <c r="H186" s="3" t="s">
        <v>38</v>
      </c>
      <c r="I186" s="6">
        <v>44652</v>
      </c>
      <c r="J186" s="4">
        <v>0</v>
      </c>
      <c r="K186" s="4">
        <v>0</v>
      </c>
      <c r="L186" s="4">
        <v>2.2400000000000002</v>
      </c>
      <c r="M186" s="4">
        <v>2.2400000000000002</v>
      </c>
      <c r="N186" s="4">
        <v>0</v>
      </c>
      <c r="O186" s="4">
        <v>0</v>
      </c>
      <c r="P186" s="4">
        <v>0</v>
      </c>
      <c r="Q186" s="3" t="s">
        <v>55</v>
      </c>
      <c r="R186" s="3">
        <v>0</v>
      </c>
      <c r="S186" s="4">
        <v>0</v>
      </c>
      <c r="T186" s="4">
        <v>5</v>
      </c>
      <c r="U186" s="4">
        <v>0</v>
      </c>
      <c r="V186" s="4">
        <f>IF(ISERROR(VLOOKUP($S$186,'TAR FIN'!$A$1:$O$91,15,0)),0,VLOOKUP($S$186,'TAR FIN'!$A$1:$O$91,15,0))</f>
        <v>0</v>
      </c>
      <c r="W186" s="4">
        <f>IF(ISERROR(VLOOKUP($T$186,'TAR FIN'!$A$1:$O$91,15,0)),0,VLOOKUP($T$186,'TAR FIN'!$A$1:$O$91,15,0))</f>
        <v>11.28</v>
      </c>
      <c r="X186" s="4">
        <f>IF(ISERROR(VLOOKUP($U$186,'TAR FIN'!$A$1:$O$91,15,0)),0,VLOOKUP($U$186,'TAR FIN'!$A$1:$O$91,15,0))</f>
        <v>0</v>
      </c>
      <c r="Y186" s="4"/>
      <c r="Z186" s="4">
        <f ca="1">('TUSD BE'!$AM$17+'TUSD BF'!$AM$17+'TUSD CVA'!$AM$17)*1</f>
        <v>9.8732246344351182</v>
      </c>
      <c r="AA186" s="4"/>
      <c r="AB186" s="4">
        <f>$K$186*$V$186</f>
        <v>0</v>
      </c>
      <c r="AC186" s="4">
        <f>$M$186*$W$186</f>
        <v>25.267200000000003</v>
      </c>
      <c r="AD186" s="4">
        <f>$O$186*$X$186</f>
        <v>0</v>
      </c>
      <c r="AE186" s="4">
        <f>$K$186*$Y$186</f>
        <v>0</v>
      </c>
      <c r="AF186" s="4">
        <f ca="1">$M$186*$Z$186</f>
        <v>22.116023181134668</v>
      </c>
      <c r="AG186" s="4">
        <f>$O$186*$AA$186</f>
        <v>0</v>
      </c>
    </row>
    <row r="187" spans="1:33" ht="11.25" customHeight="1" x14ac:dyDescent="0.25">
      <c r="A187" s="3" t="s">
        <v>21</v>
      </c>
      <c r="B187" s="3" t="s">
        <v>35</v>
      </c>
      <c r="C187" s="3" t="s">
        <v>36</v>
      </c>
      <c r="D187" s="3" t="s">
        <v>34</v>
      </c>
      <c r="E187" s="3" t="s">
        <v>25</v>
      </c>
      <c r="F187" s="3" t="s">
        <v>54</v>
      </c>
      <c r="G187" s="3" t="s">
        <v>25</v>
      </c>
      <c r="H187" s="3" t="s">
        <v>38</v>
      </c>
      <c r="I187" s="6">
        <v>44682</v>
      </c>
      <c r="J187" s="4">
        <v>0</v>
      </c>
      <c r="K187" s="4">
        <v>0</v>
      </c>
      <c r="L187" s="4">
        <v>14.170999999999999</v>
      </c>
      <c r="M187" s="4">
        <v>14.170999999999999</v>
      </c>
      <c r="N187" s="4">
        <v>0</v>
      </c>
      <c r="O187" s="4">
        <v>0</v>
      </c>
      <c r="P187" s="4">
        <v>0</v>
      </c>
      <c r="Q187" s="3" t="s">
        <v>55</v>
      </c>
      <c r="R187" s="3">
        <v>0</v>
      </c>
      <c r="S187" s="4">
        <v>0</v>
      </c>
      <c r="T187" s="4">
        <v>5</v>
      </c>
      <c r="U187" s="4">
        <v>0</v>
      </c>
      <c r="V187" s="4">
        <f>IF(ISERROR(VLOOKUP($S$187,'TAR FIN'!$A$1:$O$91,15,0)),0,VLOOKUP($S$187,'TAR FIN'!$A$1:$O$91,15,0))</f>
        <v>0</v>
      </c>
      <c r="W187" s="4">
        <f>IF(ISERROR(VLOOKUP($T$187,'TAR FIN'!$A$1:$O$91,15,0)),0,VLOOKUP($T$187,'TAR FIN'!$A$1:$O$91,15,0))</f>
        <v>11.28</v>
      </c>
      <c r="X187" s="4">
        <f>IF(ISERROR(VLOOKUP($U$187,'TAR FIN'!$A$1:$O$91,15,0)),0,VLOOKUP($U$187,'TAR FIN'!$A$1:$O$91,15,0))</f>
        <v>0</v>
      </c>
      <c r="Y187" s="4"/>
      <c r="Z187" s="4">
        <f ca="1">('TUSD BE'!$AM$17+'TUSD BF'!$AM$17+'TUSD CVA'!$AM$17)*1</f>
        <v>9.8732246344351182</v>
      </c>
      <c r="AA187" s="4"/>
      <c r="AB187" s="4">
        <f>$K$187*$V$187</f>
        <v>0</v>
      </c>
      <c r="AC187" s="4">
        <f>$M$187*$W$187</f>
        <v>159.84887999999998</v>
      </c>
      <c r="AD187" s="4">
        <f>$O$187*$X$187</f>
        <v>0</v>
      </c>
      <c r="AE187" s="4">
        <f>$K$187*$Y$187</f>
        <v>0</v>
      </c>
      <c r="AF187" s="4">
        <f ca="1">$M$187*$Z$187</f>
        <v>139.91346629458005</v>
      </c>
      <c r="AG187" s="4">
        <f>$O$187*$AA$187</f>
        <v>0</v>
      </c>
    </row>
    <row r="188" spans="1:33" ht="11.25" customHeight="1" x14ac:dyDescent="0.25">
      <c r="A188" s="3" t="s">
        <v>21</v>
      </c>
      <c r="B188" s="3" t="s">
        <v>35</v>
      </c>
      <c r="C188" s="3" t="s">
        <v>36</v>
      </c>
      <c r="D188" s="3" t="s">
        <v>34</v>
      </c>
      <c r="E188" s="3" t="s">
        <v>25</v>
      </c>
      <c r="F188" s="3" t="s">
        <v>54</v>
      </c>
      <c r="G188" s="3" t="s">
        <v>25</v>
      </c>
      <c r="H188" s="3" t="s">
        <v>38</v>
      </c>
      <c r="I188" s="6">
        <v>44713</v>
      </c>
      <c r="J188" s="4">
        <v>0</v>
      </c>
      <c r="K188" s="4">
        <v>0</v>
      </c>
      <c r="L188" s="4">
        <v>9.1029999999999998</v>
      </c>
      <c r="M188" s="4">
        <v>9.1029999999999998</v>
      </c>
      <c r="N188" s="4">
        <v>0</v>
      </c>
      <c r="O188" s="4">
        <v>0</v>
      </c>
      <c r="P188" s="4">
        <v>0</v>
      </c>
      <c r="Q188" s="3" t="s">
        <v>55</v>
      </c>
      <c r="R188" s="3">
        <v>0</v>
      </c>
      <c r="S188" s="4">
        <v>0</v>
      </c>
      <c r="T188" s="4">
        <v>5</v>
      </c>
      <c r="U188" s="4">
        <v>0</v>
      </c>
      <c r="V188" s="4">
        <f>IF(ISERROR(VLOOKUP($S$188,'TAR FIN'!$A$1:$O$91,15,0)),0,VLOOKUP($S$188,'TAR FIN'!$A$1:$O$91,15,0))</f>
        <v>0</v>
      </c>
      <c r="W188" s="4">
        <f>IF(ISERROR(VLOOKUP($T$188,'TAR FIN'!$A$1:$O$91,15,0)),0,VLOOKUP($T$188,'TAR FIN'!$A$1:$O$91,15,0))</f>
        <v>11.28</v>
      </c>
      <c r="X188" s="4">
        <f>IF(ISERROR(VLOOKUP($U$188,'TAR FIN'!$A$1:$O$91,15,0)),0,VLOOKUP($U$188,'TAR FIN'!$A$1:$O$91,15,0))</f>
        <v>0</v>
      </c>
      <c r="Y188" s="4"/>
      <c r="Z188" s="4">
        <f ca="1">('TUSD BE'!$AM$17+'TUSD BF'!$AM$17+'TUSD CVA'!$AM$17)*1</f>
        <v>9.8732246344351182</v>
      </c>
      <c r="AA188" s="4"/>
      <c r="AB188" s="4">
        <f>$K$188*$V$188</f>
        <v>0</v>
      </c>
      <c r="AC188" s="4">
        <f>$M$188*$W$188</f>
        <v>102.68183999999999</v>
      </c>
      <c r="AD188" s="4">
        <f>$O$188*$X$188</f>
        <v>0</v>
      </c>
      <c r="AE188" s="4">
        <f>$K$188*$Y$188</f>
        <v>0</v>
      </c>
      <c r="AF188" s="4">
        <f ca="1">$M$188*$Z$188</f>
        <v>89.875963847262881</v>
      </c>
      <c r="AG188" s="4">
        <f>$O$188*$AA$188</f>
        <v>0</v>
      </c>
    </row>
    <row r="189" spans="1:33" ht="11.25" customHeight="1" x14ac:dyDescent="0.25">
      <c r="A189" s="3" t="s">
        <v>21</v>
      </c>
      <c r="B189" s="3" t="s">
        <v>35</v>
      </c>
      <c r="C189" s="3" t="s">
        <v>36</v>
      </c>
      <c r="D189" s="3" t="s">
        <v>34</v>
      </c>
      <c r="E189" s="3" t="s">
        <v>25</v>
      </c>
      <c r="F189" s="3" t="s">
        <v>54</v>
      </c>
      <c r="G189" s="3" t="s">
        <v>25</v>
      </c>
      <c r="H189" s="3" t="s">
        <v>38</v>
      </c>
      <c r="I189" s="6">
        <v>44743</v>
      </c>
      <c r="J189" s="4">
        <v>0</v>
      </c>
      <c r="K189" s="4">
        <v>0</v>
      </c>
      <c r="L189" s="4">
        <v>9.84</v>
      </c>
      <c r="M189" s="4">
        <v>9.84</v>
      </c>
      <c r="N189" s="4">
        <v>0</v>
      </c>
      <c r="O189" s="4">
        <v>0</v>
      </c>
      <c r="P189" s="4">
        <v>0</v>
      </c>
      <c r="Q189" s="3" t="s">
        <v>55</v>
      </c>
      <c r="R189" s="3">
        <v>0</v>
      </c>
      <c r="S189" s="4">
        <v>0</v>
      </c>
      <c r="T189" s="4">
        <v>5</v>
      </c>
      <c r="U189" s="4">
        <v>0</v>
      </c>
      <c r="V189" s="4">
        <f>IF(ISERROR(VLOOKUP($S$189,'TAR FIN'!$A$1:$O$91,15,0)),0,VLOOKUP($S$189,'TAR FIN'!$A$1:$O$91,15,0))</f>
        <v>0</v>
      </c>
      <c r="W189" s="4">
        <f>IF(ISERROR(VLOOKUP($T$189,'TAR FIN'!$A$1:$O$91,15,0)),0,VLOOKUP($T$189,'TAR FIN'!$A$1:$O$91,15,0))</f>
        <v>11.28</v>
      </c>
      <c r="X189" s="4">
        <f>IF(ISERROR(VLOOKUP($U$189,'TAR FIN'!$A$1:$O$91,15,0)),0,VLOOKUP($U$189,'TAR FIN'!$A$1:$O$91,15,0))</f>
        <v>0</v>
      </c>
      <c r="Y189" s="4"/>
      <c r="Z189" s="4">
        <f ca="1">('TUSD BE'!$AM$17+'TUSD BF'!$AM$17+'TUSD CVA'!$AM$17)*1</f>
        <v>9.8732246344351182</v>
      </c>
      <c r="AA189" s="4"/>
      <c r="AB189" s="4">
        <f>$K$189*$V$189</f>
        <v>0</v>
      </c>
      <c r="AC189" s="4">
        <f>$M$189*$W$189</f>
        <v>110.9952</v>
      </c>
      <c r="AD189" s="4">
        <f>$O$189*$X$189</f>
        <v>0</v>
      </c>
      <c r="AE189" s="4">
        <f>$K$189*$Y$189</f>
        <v>0</v>
      </c>
      <c r="AF189" s="4">
        <f ca="1">$M$189*$Z$189</f>
        <v>97.152530402841563</v>
      </c>
      <c r="AG189" s="4">
        <f>$O$189*$AA$189</f>
        <v>0</v>
      </c>
    </row>
    <row r="190" spans="1:33" ht="11.25" customHeight="1" x14ac:dyDescent="0.25">
      <c r="A190" s="3" t="s">
        <v>21</v>
      </c>
      <c r="B190" s="3" t="s">
        <v>35</v>
      </c>
      <c r="C190" s="3" t="s">
        <v>36</v>
      </c>
      <c r="D190" s="3" t="s">
        <v>34</v>
      </c>
      <c r="E190" s="3" t="s">
        <v>25</v>
      </c>
      <c r="F190" s="3" t="s">
        <v>54</v>
      </c>
      <c r="G190" s="3" t="s">
        <v>25</v>
      </c>
      <c r="H190" s="3" t="s">
        <v>38</v>
      </c>
      <c r="I190" s="6">
        <v>44774</v>
      </c>
      <c r="J190" s="4">
        <v>0</v>
      </c>
      <c r="K190" s="4">
        <v>0</v>
      </c>
      <c r="L190" s="4">
        <v>9.7360000000000007</v>
      </c>
      <c r="M190" s="4">
        <v>9.7360000000000007</v>
      </c>
      <c r="N190" s="4">
        <v>0</v>
      </c>
      <c r="O190" s="4">
        <v>0</v>
      </c>
      <c r="P190" s="4">
        <v>0</v>
      </c>
      <c r="Q190" s="3" t="s">
        <v>55</v>
      </c>
      <c r="R190" s="3">
        <v>0</v>
      </c>
      <c r="S190" s="4">
        <v>0</v>
      </c>
      <c r="T190" s="4">
        <v>5</v>
      </c>
      <c r="U190" s="4">
        <v>0</v>
      </c>
      <c r="V190" s="4">
        <f>IF(ISERROR(VLOOKUP($S$190,'TAR FIN'!$A$1:$O$91,15,0)),0,VLOOKUP($S$190,'TAR FIN'!$A$1:$O$91,15,0))</f>
        <v>0</v>
      </c>
      <c r="W190" s="4">
        <f>IF(ISERROR(VLOOKUP($T$190,'TAR FIN'!$A$1:$O$91,15,0)),0,VLOOKUP($T$190,'TAR FIN'!$A$1:$O$91,15,0))</f>
        <v>11.28</v>
      </c>
      <c r="X190" s="4">
        <f>IF(ISERROR(VLOOKUP($U$190,'TAR FIN'!$A$1:$O$91,15,0)),0,VLOOKUP($U$190,'TAR FIN'!$A$1:$O$91,15,0))</f>
        <v>0</v>
      </c>
      <c r="Y190" s="4"/>
      <c r="Z190" s="4">
        <f ca="1">('TUSD BE'!$AM$17+'TUSD BF'!$AM$17+'TUSD CVA'!$AM$17)*1</f>
        <v>9.8732246344351182</v>
      </c>
      <c r="AA190" s="4"/>
      <c r="AB190" s="4">
        <f>$K$190*$V$190</f>
        <v>0</v>
      </c>
      <c r="AC190" s="4">
        <f>$M$190*$W$190</f>
        <v>109.82208</v>
      </c>
      <c r="AD190" s="4">
        <f>$O$190*$X$190</f>
        <v>0</v>
      </c>
      <c r="AE190" s="4">
        <f>$K$190*$Y$190</f>
        <v>0</v>
      </c>
      <c r="AF190" s="4">
        <f ca="1">$M$190*$Z$190</f>
        <v>96.125715040860314</v>
      </c>
      <c r="AG190" s="4">
        <f>$O$190*$AA$190</f>
        <v>0</v>
      </c>
    </row>
    <row r="191" spans="1:33" ht="11.25" customHeight="1" x14ac:dyDescent="0.25">
      <c r="A191" s="3" t="s">
        <v>21</v>
      </c>
      <c r="B191" s="3" t="s">
        <v>35</v>
      </c>
      <c r="C191" s="3" t="s">
        <v>36</v>
      </c>
      <c r="D191" s="3" t="s">
        <v>34</v>
      </c>
      <c r="E191" s="3" t="s">
        <v>25</v>
      </c>
      <c r="F191" s="3" t="s">
        <v>54</v>
      </c>
      <c r="G191" s="3" t="s">
        <v>25</v>
      </c>
      <c r="H191" s="3" t="s">
        <v>25</v>
      </c>
      <c r="I191" s="6">
        <v>44440</v>
      </c>
      <c r="J191" s="4">
        <v>234</v>
      </c>
      <c r="K191" s="4">
        <v>234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3" t="s">
        <v>55</v>
      </c>
      <c r="R191" s="3">
        <v>0</v>
      </c>
      <c r="S191" s="4">
        <v>9</v>
      </c>
      <c r="T191" s="4">
        <v>0</v>
      </c>
      <c r="U191" s="4">
        <v>0</v>
      </c>
      <c r="V191" s="4">
        <f>IF(ISERROR(VLOOKUP($S$191,'TAR FIN'!$A$1:$O$91,15,0)),0,VLOOKUP($S$191,'TAR FIN'!$A$1:$O$91,15,0))</f>
        <v>18.149999999999999</v>
      </c>
      <c r="W191" s="4">
        <f>IF(ISERROR(VLOOKUP($T$191,'TAR FIN'!$A$1:$O$91,15,0)),0,VLOOKUP($T$191,'TAR FIN'!$A$1:$O$91,15,0))</f>
        <v>0</v>
      </c>
      <c r="X191" s="4">
        <f>IF(ISERROR(VLOOKUP($U$191,'TAR FIN'!$A$1:$O$91,15,0)),0,VLOOKUP($U$191,'TAR FIN'!$A$1:$O$91,15,0))</f>
        <v>0</v>
      </c>
      <c r="Y191" s="4">
        <f ca="1">('TUSD BE'!$AM$13+'TUSD BF'!$AM$13+'TUSD CVA'!$AM$13)*1</f>
        <v>21.278333841554378</v>
      </c>
      <c r="Z191" s="4"/>
      <c r="AA191" s="4"/>
      <c r="AB191" s="4">
        <f>$K$191*$V$191</f>
        <v>4247.0999999999995</v>
      </c>
      <c r="AC191" s="4">
        <f>$M$191*$W$191</f>
        <v>0</v>
      </c>
      <c r="AD191" s="4">
        <f>$O$191*$X$191</f>
        <v>0</v>
      </c>
      <c r="AE191" s="4">
        <f ca="1">$K$191*$Y$191</f>
        <v>4979.1301189237247</v>
      </c>
      <c r="AF191" s="4">
        <f>$M$191*$Z$191</f>
        <v>0</v>
      </c>
      <c r="AG191" s="4">
        <f>$O$191*$AA$191</f>
        <v>0</v>
      </c>
    </row>
    <row r="192" spans="1:33" ht="11.25" customHeight="1" x14ac:dyDescent="0.25">
      <c r="A192" s="3" t="s">
        <v>21</v>
      </c>
      <c r="B192" s="3" t="s">
        <v>35</v>
      </c>
      <c r="C192" s="3" t="s">
        <v>36</v>
      </c>
      <c r="D192" s="3" t="s">
        <v>34</v>
      </c>
      <c r="E192" s="3" t="s">
        <v>25</v>
      </c>
      <c r="F192" s="3" t="s">
        <v>54</v>
      </c>
      <c r="G192" s="3" t="s">
        <v>25</v>
      </c>
      <c r="H192" s="3" t="s">
        <v>25</v>
      </c>
      <c r="I192" s="6">
        <v>44470</v>
      </c>
      <c r="J192" s="4">
        <v>132</v>
      </c>
      <c r="K192" s="4">
        <v>132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3" t="s">
        <v>55</v>
      </c>
      <c r="R192" s="3">
        <v>0</v>
      </c>
      <c r="S192" s="4">
        <v>9</v>
      </c>
      <c r="T192" s="4">
        <v>0</v>
      </c>
      <c r="U192" s="4">
        <v>0</v>
      </c>
      <c r="V192" s="4">
        <f>IF(ISERROR(VLOOKUP($S$192,'TAR FIN'!$A$1:$O$91,15,0)),0,VLOOKUP($S$192,'TAR FIN'!$A$1:$O$91,15,0))</f>
        <v>18.149999999999999</v>
      </c>
      <c r="W192" s="4">
        <f>IF(ISERROR(VLOOKUP($T$192,'TAR FIN'!$A$1:$O$91,15,0)),0,VLOOKUP($T$192,'TAR FIN'!$A$1:$O$91,15,0))</f>
        <v>0</v>
      </c>
      <c r="X192" s="4">
        <f>IF(ISERROR(VLOOKUP($U$192,'TAR FIN'!$A$1:$O$91,15,0)),0,VLOOKUP($U$192,'TAR FIN'!$A$1:$O$91,15,0))</f>
        <v>0</v>
      </c>
      <c r="Y192" s="4">
        <f ca="1">('TUSD BE'!$AM$13+'TUSD BF'!$AM$13+'TUSD CVA'!$AM$13)*1</f>
        <v>21.278333841554378</v>
      </c>
      <c r="Z192" s="4"/>
      <c r="AA192" s="4"/>
      <c r="AB192" s="4">
        <f>$K$192*$V$192</f>
        <v>2395.7999999999997</v>
      </c>
      <c r="AC192" s="4">
        <f>$M$192*$W$192</f>
        <v>0</v>
      </c>
      <c r="AD192" s="4">
        <f>$O$192*$X$192</f>
        <v>0</v>
      </c>
      <c r="AE192" s="4">
        <f ca="1">$K$192*$Y$192</f>
        <v>2808.740067085178</v>
      </c>
      <c r="AF192" s="4">
        <f>$M$192*$Z$192</f>
        <v>0</v>
      </c>
      <c r="AG192" s="4">
        <f>$O$192*$AA$192</f>
        <v>0</v>
      </c>
    </row>
    <row r="193" spans="1:33" ht="11.25" customHeight="1" x14ac:dyDescent="0.25">
      <c r="A193" s="3" t="s">
        <v>21</v>
      </c>
      <c r="B193" s="3" t="s">
        <v>35</v>
      </c>
      <c r="C193" s="3" t="s">
        <v>36</v>
      </c>
      <c r="D193" s="3" t="s">
        <v>34</v>
      </c>
      <c r="E193" s="3" t="s">
        <v>25</v>
      </c>
      <c r="F193" s="3" t="s">
        <v>54</v>
      </c>
      <c r="G193" s="3" t="s">
        <v>25</v>
      </c>
      <c r="H193" s="3" t="s">
        <v>25</v>
      </c>
      <c r="I193" s="6">
        <v>44501</v>
      </c>
      <c r="J193" s="4">
        <v>368</v>
      </c>
      <c r="K193" s="4">
        <v>368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3" t="s">
        <v>55</v>
      </c>
      <c r="R193" s="3">
        <v>0</v>
      </c>
      <c r="S193" s="4">
        <v>9</v>
      </c>
      <c r="T193" s="4">
        <v>0</v>
      </c>
      <c r="U193" s="4">
        <v>0</v>
      </c>
      <c r="V193" s="4">
        <f>IF(ISERROR(VLOOKUP($S$193,'TAR FIN'!$A$1:$O$91,15,0)),0,VLOOKUP($S$193,'TAR FIN'!$A$1:$O$91,15,0))</f>
        <v>18.149999999999999</v>
      </c>
      <c r="W193" s="4">
        <f>IF(ISERROR(VLOOKUP($T$193,'TAR FIN'!$A$1:$O$91,15,0)),0,VLOOKUP($T$193,'TAR FIN'!$A$1:$O$91,15,0))</f>
        <v>0</v>
      </c>
      <c r="X193" s="4">
        <f>IF(ISERROR(VLOOKUP($U$193,'TAR FIN'!$A$1:$O$91,15,0)),0,VLOOKUP($U$193,'TAR FIN'!$A$1:$O$91,15,0))</f>
        <v>0</v>
      </c>
      <c r="Y193" s="4">
        <f ca="1">('TUSD BE'!$AM$13+'TUSD BF'!$AM$13+'TUSD CVA'!$AM$13)*1</f>
        <v>21.278333841554378</v>
      </c>
      <c r="Z193" s="4"/>
      <c r="AA193" s="4"/>
      <c r="AB193" s="4">
        <f>$K$193*$V$193</f>
        <v>6679.2</v>
      </c>
      <c r="AC193" s="4">
        <f>$M$193*$W$193</f>
        <v>0</v>
      </c>
      <c r="AD193" s="4">
        <f>$O$193*$X$193</f>
        <v>0</v>
      </c>
      <c r="AE193" s="4">
        <f ca="1">$K$193*$Y$193</f>
        <v>7830.4268536920108</v>
      </c>
      <c r="AF193" s="4">
        <f>$M$193*$Z$193</f>
        <v>0</v>
      </c>
      <c r="AG193" s="4">
        <f>$O$193*$AA$193</f>
        <v>0</v>
      </c>
    </row>
    <row r="194" spans="1:33" ht="11.25" customHeight="1" x14ac:dyDescent="0.25">
      <c r="A194" s="3" t="s">
        <v>21</v>
      </c>
      <c r="B194" s="3" t="s">
        <v>35</v>
      </c>
      <c r="C194" s="3" t="s">
        <v>36</v>
      </c>
      <c r="D194" s="3" t="s">
        <v>34</v>
      </c>
      <c r="E194" s="3" t="s">
        <v>25</v>
      </c>
      <c r="F194" s="3" t="s">
        <v>54</v>
      </c>
      <c r="G194" s="3" t="s">
        <v>25</v>
      </c>
      <c r="H194" s="3" t="s">
        <v>25</v>
      </c>
      <c r="I194" s="6">
        <v>44531</v>
      </c>
      <c r="J194" s="4">
        <v>261</v>
      </c>
      <c r="K194" s="4">
        <v>261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3" t="s">
        <v>55</v>
      </c>
      <c r="R194" s="3">
        <v>0</v>
      </c>
      <c r="S194" s="4">
        <v>9</v>
      </c>
      <c r="T194" s="4">
        <v>0</v>
      </c>
      <c r="U194" s="4">
        <v>0</v>
      </c>
      <c r="V194" s="4">
        <f>IF(ISERROR(VLOOKUP($S$194,'TAR FIN'!$A$1:$O$91,15,0)),0,VLOOKUP($S$194,'TAR FIN'!$A$1:$O$91,15,0))</f>
        <v>18.149999999999999</v>
      </c>
      <c r="W194" s="4">
        <f>IF(ISERROR(VLOOKUP($T$194,'TAR FIN'!$A$1:$O$91,15,0)),0,VLOOKUP($T$194,'TAR FIN'!$A$1:$O$91,15,0))</f>
        <v>0</v>
      </c>
      <c r="X194" s="4">
        <f>IF(ISERROR(VLOOKUP($U$194,'TAR FIN'!$A$1:$O$91,15,0)),0,VLOOKUP($U$194,'TAR FIN'!$A$1:$O$91,15,0))</f>
        <v>0</v>
      </c>
      <c r="Y194" s="4">
        <f ca="1">('TUSD BE'!$AM$13+'TUSD BF'!$AM$13+'TUSD CVA'!$AM$13)*1</f>
        <v>21.278333841554378</v>
      </c>
      <c r="Z194" s="4"/>
      <c r="AA194" s="4"/>
      <c r="AB194" s="4">
        <f>$K$194*$V$194</f>
        <v>4737.1499999999996</v>
      </c>
      <c r="AC194" s="4">
        <f>$M$194*$W$194</f>
        <v>0</v>
      </c>
      <c r="AD194" s="4">
        <f>$O$194*$X$194</f>
        <v>0</v>
      </c>
      <c r="AE194" s="4">
        <f ca="1">$K$194*$Y$194</f>
        <v>5553.6451326456927</v>
      </c>
      <c r="AF194" s="4">
        <f>$M$194*$Z$194</f>
        <v>0</v>
      </c>
      <c r="AG194" s="4">
        <f>$O$194*$AA$194</f>
        <v>0</v>
      </c>
    </row>
    <row r="195" spans="1:33" ht="11.25" customHeight="1" x14ac:dyDescent="0.25">
      <c r="A195" s="3" t="s">
        <v>21</v>
      </c>
      <c r="B195" s="3" t="s">
        <v>35</v>
      </c>
      <c r="C195" s="3" t="s">
        <v>36</v>
      </c>
      <c r="D195" s="3" t="s">
        <v>34</v>
      </c>
      <c r="E195" s="3" t="s">
        <v>25</v>
      </c>
      <c r="F195" s="3" t="s">
        <v>54</v>
      </c>
      <c r="G195" s="3" t="s">
        <v>25</v>
      </c>
      <c r="H195" s="3" t="s">
        <v>25</v>
      </c>
      <c r="I195" s="6">
        <v>44562</v>
      </c>
      <c r="J195" s="4">
        <v>396</v>
      </c>
      <c r="K195" s="4">
        <v>396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3" t="s">
        <v>55</v>
      </c>
      <c r="R195" s="3">
        <v>0</v>
      </c>
      <c r="S195" s="4">
        <v>9</v>
      </c>
      <c r="T195" s="4">
        <v>0</v>
      </c>
      <c r="U195" s="4">
        <v>0</v>
      </c>
      <c r="V195" s="4">
        <f>IF(ISERROR(VLOOKUP($S$195,'TAR FIN'!$A$1:$O$91,15,0)),0,VLOOKUP($S$195,'TAR FIN'!$A$1:$O$91,15,0))</f>
        <v>18.149999999999999</v>
      </c>
      <c r="W195" s="4">
        <f>IF(ISERROR(VLOOKUP($T$195,'TAR FIN'!$A$1:$O$91,15,0)),0,VLOOKUP($T$195,'TAR FIN'!$A$1:$O$91,15,0))</f>
        <v>0</v>
      </c>
      <c r="X195" s="4">
        <f>IF(ISERROR(VLOOKUP($U$195,'TAR FIN'!$A$1:$O$91,15,0)),0,VLOOKUP($U$195,'TAR FIN'!$A$1:$O$91,15,0))</f>
        <v>0</v>
      </c>
      <c r="Y195" s="4">
        <f ca="1">('TUSD BE'!$AM$13+'TUSD BF'!$AM$13+'TUSD CVA'!$AM$13)*1</f>
        <v>21.278333841554378</v>
      </c>
      <c r="Z195" s="4"/>
      <c r="AA195" s="4"/>
      <c r="AB195" s="4">
        <f>$K$195*$V$195</f>
        <v>7187.4</v>
      </c>
      <c r="AC195" s="4">
        <f>$M$195*$W$195</f>
        <v>0</v>
      </c>
      <c r="AD195" s="4">
        <f>$O$195*$X$195</f>
        <v>0</v>
      </c>
      <c r="AE195" s="4">
        <f ca="1">$K$195*$Y$195</f>
        <v>8426.2202012555335</v>
      </c>
      <c r="AF195" s="4">
        <f>$M$195*$Z$195</f>
        <v>0</v>
      </c>
      <c r="AG195" s="4">
        <f>$O$195*$AA$195</f>
        <v>0</v>
      </c>
    </row>
    <row r="196" spans="1:33" ht="11.25" customHeight="1" x14ac:dyDescent="0.25">
      <c r="A196" s="3" t="s">
        <v>21</v>
      </c>
      <c r="B196" s="3" t="s">
        <v>35</v>
      </c>
      <c r="C196" s="3" t="s">
        <v>36</v>
      </c>
      <c r="D196" s="3" t="s">
        <v>34</v>
      </c>
      <c r="E196" s="3" t="s">
        <v>25</v>
      </c>
      <c r="F196" s="3" t="s">
        <v>54</v>
      </c>
      <c r="G196" s="3" t="s">
        <v>25</v>
      </c>
      <c r="H196" s="3" t="s">
        <v>25</v>
      </c>
      <c r="I196" s="6">
        <v>44593</v>
      </c>
      <c r="J196" s="4">
        <v>380</v>
      </c>
      <c r="K196" s="4">
        <v>380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3" t="s">
        <v>55</v>
      </c>
      <c r="R196" s="3">
        <v>0</v>
      </c>
      <c r="S196" s="4">
        <v>9</v>
      </c>
      <c r="T196" s="4">
        <v>0</v>
      </c>
      <c r="U196" s="4">
        <v>0</v>
      </c>
      <c r="V196" s="4">
        <f>IF(ISERROR(VLOOKUP($S$196,'TAR FIN'!$A$1:$O$91,15,0)),0,VLOOKUP($S$196,'TAR FIN'!$A$1:$O$91,15,0))</f>
        <v>18.149999999999999</v>
      </c>
      <c r="W196" s="4">
        <f>IF(ISERROR(VLOOKUP($T$196,'TAR FIN'!$A$1:$O$91,15,0)),0,VLOOKUP($T$196,'TAR FIN'!$A$1:$O$91,15,0))</f>
        <v>0</v>
      </c>
      <c r="X196" s="4">
        <f>IF(ISERROR(VLOOKUP($U$196,'TAR FIN'!$A$1:$O$91,15,0)),0,VLOOKUP($U$196,'TAR FIN'!$A$1:$O$91,15,0))</f>
        <v>0</v>
      </c>
      <c r="Y196" s="4">
        <f ca="1">('TUSD BE'!$AM$13+'TUSD BF'!$AM$13+'TUSD CVA'!$AM$13)*1</f>
        <v>21.278333841554378</v>
      </c>
      <c r="Z196" s="4"/>
      <c r="AA196" s="4"/>
      <c r="AB196" s="4">
        <f>$K$196*$V$196</f>
        <v>6896.9999999999991</v>
      </c>
      <c r="AC196" s="4">
        <f>$M$196*$W$196</f>
        <v>0</v>
      </c>
      <c r="AD196" s="4">
        <f>$O$196*$X$196</f>
        <v>0</v>
      </c>
      <c r="AE196" s="4">
        <f ca="1">$K$196*$Y$196</f>
        <v>8085.7668597906641</v>
      </c>
      <c r="AF196" s="4">
        <f>$M$196*$Z$196</f>
        <v>0</v>
      </c>
      <c r="AG196" s="4">
        <f>$O$196*$AA$196</f>
        <v>0</v>
      </c>
    </row>
    <row r="197" spans="1:33" ht="11.25" customHeight="1" x14ac:dyDescent="0.25">
      <c r="A197" s="3" t="s">
        <v>21</v>
      </c>
      <c r="B197" s="3" t="s">
        <v>35</v>
      </c>
      <c r="C197" s="3" t="s">
        <v>36</v>
      </c>
      <c r="D197" s="3" t="s">
        <v>34</v>
      </c>
      <c r="E197" s="3" t="s">
        <v>25</v>
      </c>
      <c r="F197" s="3" t="s">
        <v>54</v>
      </c>
      <c r="G197" s="3" t="s">
        <v>25</v>
      </c>
      <c r="H197" s="3" t="s">
        <v>25</v>
      </c>
      <c r="I197" s="6">
        <v>44621</v>
      </c>
      <c r="J197" s="4">
        <v>174</v>
      </c>
      <c r="K197" s="4">
        <v>174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3" t="s">
        <v>55</v>
      </c>
      <c r="R197" s="3">
        <v>0</v>
      </c>
      <c r="S197" s="4">
        <v>9</v>
      </c>
      <c r="T197" s="4">
        <v>0</v>
      </c>
      <c r="U197" s="4">
        <v>0</v>
      </c>
      <c r="V197" s="4">
        <f>IF(ISERROR(VLOOKUP($S$197,'TAR FIN'!$A$1:$O$91,15,0)),0,VLOOKUP($S$197,'TAR FIN'!$A$1:$O$91,15,0))</f>
        <v>18.149999999999999</v>
      </c>
      <c r="W197" s="4">
        <f>IF(ISERROR(VLOOKUP($T$197,'TAR FIN'!$A$1:$O$91,15,0)),0,VLOOKUP($T$197,'TAR FIN'!$A$1:$O$91,15,0))</f>
        <v>0</v>
      </c>
      <c r="X197" s="4">
        <f>IF(ISERROR(VLOOKUP($U$197,'TAR FIN'!$A$1:$O$91,15,0)),0,VLOOKUP($U$197,'TAR FIN'!$A$1:$O$91,15,0))</f>
        <v>0</v>
      </c>
      <c r="Y197" s="4">
        <f ca="1">('TUSD BE'!$AM$13+'TUSD BF'!$AM$13+'TUSD CVA'!$AM$13)*1</f>
        <v>21.278333841554378</v>
      </c>
      <c r="Z197" s="4"/>
      <c r="AA197" s="4"/>
      <c r="AB197" s="4">
        <f>$K$197*$V$197</f>
        <v>3158.1</v>
      </c>
      <c r="AC197" s="4">
        <f>$M$197*$W$197</f>
        <v>0</v>
      </c>
      <c r="AD197" s="4">
        <f>$O$197*$X$197</f>
        <v>0</v>
      </c>
      <c r="AE197" s="4">
        <f ca="1">$K$197*$Y$197</f>
        <v>3702.4300884304616</v>
      </c>
      <c r="AF197" s="4">
        <f>$M$197*$Z$197</f>
        <v>0</v>
      </c>
      <c r="AG197" s="4">
        <f>$O$197*$AA$197</f>
        <v>0</v>
      </c>
    </row>
    <row r="198" spans="1:33" ht="11.25" customHeight="1" x14ac:dyDescent="0.25">
      <c r="A198" s="3" t="s">
        <v>21</v>
      </c>
      <c r="B198" s="3" t="s">
        <v>35</v>
      </c>
      <c r="C198" s="3" t="s">
        <v>36</v>
      </c>
      <c r="D198" s="3" t="s">
        <v>34</v>
      </c>
      <c r="E198" s="3" t="s">
        <v>25</v>
      </c>
      <c r="F198" s="3" t="s">
        <v>54</v>
      </c>
      <c r="G198" s="3" t="s">
        <v>25</v>
      </c>
      <c r="H198" s="3" t="s">
        <v>25</v>
      </c>
      <c r="I198" s="6">
        <v>44652</v>
      </c>
      <c r="J198" s="4">
        <v>237</v>
      </c>
      <c r="K198" s="4">
        <v>237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3" t="s">
        <v>55</v>
      </c>
      <c r="R198" s="3">
        <v>0</v>
      </c>
      <c r="S198" s="4">
        <v>9</v>
      </c>
      <c r="T198" s="4">
        <v>0</v>
      </c>
      <c r="U198" s="4">
        <v>0</v>
      </c>
      <c r="V198" s="4">
        <f>IF(ISERROR(VLOOKUP($S$198,'TAR FIN'!$A$1:$O$91,15,0)),0,VLOOKUP($S$198,'TAR FIN'!$A$1:$O$91,15,0))</f>
        <v>18.149999999999999</v>
      </c>
      <c r="W198" s="4">
        <f>IF(ISERROR(VLOOKUP($T$198,'TAR FIN'!$A$1:$O$91,15,0)),0,VLOOKUP($T$198,'TAR FIN'!$A$1:$O$91,15,0))</f>
        <v>0</v>
      </c>
      <c r="X198" s="4">
        <f>IF(ISERROR(VLOOKUP($U$198,'TAR FIN'!$A$1:$O$91,15,0)),0,VLOOKUP($U$198,'TAR FIN'!$A$1:$O$91,15,0))</f>
        <v>0</v>
      </c>
      <c r="Y198" s="4">
        <f ca="1">('TUSD BE'!$AM$13+'TUSD BF'!$AM$13+'TUSD CVA'!$AM$13)*1</f>
        <v>21.278333841554378</v>
      </c>
      <c r="Z198" s="4"/>
      <c r="AA198" s="4"/>
      <c r="AB198" s="4">
        <f>$K$198*$V$198</f>
        <v>4301.5499999999993</v>
      </c>
      <c r="AC198" s="4">
        <f>$M$198*$W$198</f>
        <v>0</v>
      </c>
      <c r="AD198" s="4">
        <f>$O$198*$X$198</f>
        <v>0</v>
      </c>
      <c r="AE198" s="4">
        <f ca="1">$K$198*$Y$198</f>
        <v>5042.965120448388</v>
      </c>
      <c r="AF198" s="4">
        <f>$M$198*$Z$198</f>
        <v>0</v>
      </c>
      <c r="AG198" s="4">
        <f>$O$198*$AA$198</f>
        <v>0</v>
      </c>
    </row>
    <row r="199" spans="1:33" ht="11.25" customHeight="1" x14ac:dyDescent="0.25">
      <c r="A199" s="3" t="s">
        <v>21</v>
      </c>
      <c r="B199" s="3" t="s">
        <v>35</v>
      </c>
      <c r="C199" s="3" t="s">
        <v>36</v>
      </c>
      <c r="D199" s="3" t="s">
        <v>34</v>
      </c>
      <c r="E199" s="3" t="s">
        <v>25</v>
      </c>
      <c r="F199" s="3" t="s">
        <v>54</v>
      </c>
      <c r="G199" s="3" t="s">
        <v>25</v>
      </c>
      <c r="H199" s="3" t="s">
        <v>25</v>
      </c>
      <c r="I199" s="6">
        <v>44682</v>
      </c>
      <c r="J199" s="4">
        <v>420</v>
      </c>
      <c r="K199" s="4">
        <v>420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3" t="s">
        <v>55</v>
      </c>
      <c r="R199" s="3">
        <v>0</v>
      </c>
      <c r="S199" s="4">
        <v>9</v>
      </c>
      <c r="T199" s="4">
        <v>0</v>
      </c>
      <c r="U199" s="4">
        <v>0</v>
      </c>
      <c r="V199" s="4">
        <f>IF(ISERROR(VLOOKUP($S$199,'TAR FIN'!$A$1:$O$91,15,0)),0,VLOOKUP($S$199,'TAR FIN'!$A$1:$O$91,15,0))</f>
        <v>18.149999999999999</v>
      </c>
      <c r="W199" s="4">
        <f>IF(ISERROR(VLOOKUP($T$199,'TAR FIN'!$A$1:$O$91,15,0)),0,VLOOKUP($T$199,'TAR FIN'!$A$1:$O$91,15,0))</f>
        <v>0</v>
      </c>
      <c r="X199" s="4">
        <f>IF(ISERROR(VLOOKUP($U$199,'TAR FIN'!$A$1:$O$91,15,0)),0,VLOOKUP($U$199,'TAR FIN'!$A$1:$O$91,15,0))</f>
        <v>0</v>
      </c>
      <c r="Y199" s="4">
        <f ca="1">('TUSD BE'!$AM$13+'TUSD BF'!$AM$13+'TUSD CVA'!$AM$13)*1</f>
        <v>21.278333841554378</v>
      </c>
      <c r="Z199" s="4"/>
      <c r="AA199" s="4"/>
      <c r="AB199" s="4">
        <f>$K$199*$V$199</f>
        <v>7622.9999999999991</v>
      </c>
      <c r="AC199" s="4">
        <f>$M$199*$W$199</f>
        <v>0</v>
      </c>
      <c r="AD199" s="4">
        <f>$O$199*$X$199</f>
        <v>0</v>
      </c>
      <c r="AE199" s="4">
        <f ca="1">$K$199*$Y$199</f>
        <v>8936.9002134528382</v>
      </c>
      <c r="AF199" s="4">
        <f>$M$199*$Z$199</f>
        <v>0</v>
      </c>
      <c r="AG199" s="4">
        <f>$O$199*$AA$199</f>
        <v>0</v>
      </c>
    </row>
    <row r="200" spans="1:33" ht="11.25" customHeight="1" x14ac:dyDescent="0.25">
      <c r="A200" s="3" t="s">
        <v>21</v>
      </c>
      <c r="B200" s="3" t="s">
        <v>35</v>
      </c>
      <c r="C200" s="3" t="s">
        <v>36</v>
      </c>
      <c r="D200" s="3" t="s">
        <v>34</v>
      </c>
      <c r="E200" s="3" t="s">
        <v>25</v>
      </c>
      <c r="F200" s="3" t="s">
        <v>54</v>
      </c>
      <c r="G200" s="3" t="s">
        <v>25</v>
      </c>
      <c r="H200" s="3" t="s">
        <v>25</v>
      </c>
      <c r="I200" s="6">
        <v>44713</v>
      </c>
      <c r="J200" s="4">
        <v>391</v>
      </c>
      <c r="K200" s="4">
        <v>391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3" t="s">
        <v>55</v>
      </c>
      <c r="R200" s="3">
        <v>0</v>
      </c>
      <c r="S200" s="4">
        <v>9</v>
      </c>
      <c r="T200" s="4">
        <v>0</v>
      </c>
      <c r="U200" s="4">
        <v>0</v>
      </c>
      <c r="V200" s="4">
        <f>IF(ISERROR(VLOOKUP($S$200,'TAR FIN'!$A$1:$O$91,15,0)),0,VLOOKUP($S$200,'TAR FIN'!$A$1:$O$91,15,0))</f>
        <v>18.149999999999999</v>
      </c>
      <c r="W200" s="4">
        <f>IF(ISERROR(VLOOKUP($T$200,'TAR FIN'!$A$1:$O$91,15,0)),0,VLOOKUP($T$200,'TAR FIN'!$A$1:$O$91,15,0))</f>
        <v>0</v>
      </c>
      <c r="X200" s="4">
        <f>IF(ISERROR(VLOOKUP($U$200,'TAR FIN'!$A$1:$O$91,15,0)),0,VLOOKUP($U$200,'TAR FIN'!$A$1:$O$91,15,0))</f>
        <v>0</v>
      </c>
      <c r="Y200" s="4">
        <f ca="1">('TUSD BE'!$AM$13+'TUSD BF'!$AM$13+'TUSD CVA'!$AM$13)*1</f>
        <v>21.278333841554378</v>
      </c>
      <c r="Z200" s="4"/>
      <c r="AA200" s="4"/>
      <c r="AB200" s="4">
        <f>$K$200*$V$200</f>
        <v>7096.65</v>
      </c>
      <c r="AC200" s="4">
        <f>$M$200*$W$200</f>
        <v>0</v>
      </c>
      <c r="AD200" s="4">
        <f>$O$200*$X$200</f>
        <v>0</v>
      </c>
      <c r="AE200" s="4">
        <f ca="1">$K$200*$Y$200</f>
        <v>8319.8285320477626</v>
      </c>
      <c r="AF200" s="4">
        <f>$M$200*$Z$200</f>
        <v>0</v>
      </c>
      <c r="AG200" s="4">
        <f>$O$200*$AA$200</f>
        <v>0</v>
      </c>
    </row>
    <row r="201" spans="1:33" ht="11.25" customHeight="1" x14ac:dyDescent="0.25">
      <c r="A201" s="3" t="s">
        <v>21</v>
      </c>
      <c r="B201" s="3" t="s">
        <v>35</v>
      </c>
      <c r="C201" s="3" t="s">
        <v>36</v>
      </c>
      <c r="D201" s="3" t="s">
        <v>34</v>
      </c>
      <c r="E201" s="3" t="s">
        <v>25</v>
      </c>
      <c r="F201" s="3" t="s">
        <v>54</v>
      </c>
      <c r="G201" s="3" t="s">
        <v>25</v>
      </c>
      <c r="H201" s="3" t="s">
        <v>25</v>
      </c>
      <c r="I201" s="6">
        <v>44743</v>
      </c>
      <c r="J201" s="4">
        <v>257</v>
      </c>
      <c r="K201" s="4">
        <v>257</v>
      </c>
      <c r="L201" s="4">
        <v>0</v>
      </c>
      <c r="M201" s="4">
        <v>0</v>
      </c>
      <c r="N201" s="4">
        <v>0</v>
      </c>
      <c r="O201" s="4">
        <v>0</v>
      </c>
      <c r="P201" s="4">
        <v>1</v>
      </c>
      <c r="Q201" s="3" t="s">
        <v>55</v>
      </c>
      <c r="R201" s="3">
        <v>0</v>
      </c>
      <c r="S201" s="4">
        <v>9</v>
      </c>
      <c r="T201" s="4">
        <v>0</v>
      </c>
      <c r="U201" s="4">
        <v>0</v>
      </c>
      <c r="V201" s="4">
        <f>IF(ISERROR(VLOOKUP($S$201,'TAR FIN'!$A$1:$O$91,15,0)),0,VLOOKUP($S$201,'TAR FIN'!$A$1:$O$91,15,0))</f>
        <v>18.149999999999999</v>
      </c>
      <c r="W201" s="4">
        <f>IF(ISERROR(VLOOKUP($T$201,'TAR FIN'!$A$1:$O$91,15,0)),0,VLOOKUP($T$201,'TAR FIN'!$A$1:$O$91,15,0))</f>
        <v>0</v>
      </c>
      <c r="X201" s="4">
        <f>IF(ISERROR(VLOOKUP($U$201,'TAR FIN'!$A$1:$O$91,15,0)),0,VLOOKUP($U$201,'TAR FIN'!$A$1:$O$91,15,0))</f>
        <v>0</v>
      </c>
      <c r="Y201" s="4">
        <f ca="1">('TUSD BE'!$AM$13+'TUSD BF'!$AM$13+'TUSD CVA'!$AM$13)*1</f>
        <v>21.278333841554378</v>
      </c>
      <c r="Z201" s="4"/>
      <c r="AA201" s="4"/>
      <c r="AB201" s="4">
        <f>$K$201*$V$201</f>
        <v>4664.5499999999993</v>
      </c>
      <c r="AC201" s="4">
        <f>$M$201*$W$201</f>
        <v>0</v>
      </c>
      <c r="AD201" s="4">
        <f>$O$201*$X$201</f>
        <v>0</v>
      </c>
      <c r="AE201" s="4">
        <f ca="1">$K$201*$Y$201</f>
        <v>5468.5317972794755</v>
      </c>
      <c r="AF201" s="4">
        <f>$M$201*$Z$201</f>
        <v>0</v>
      </c>
      <c r="AG201" s="4">
        <f>$O$201*$AA$201</f>
        <v>0</v>
      </c>
    </row>
    <row r="202" spans="1:33" ht="11.25" customHeight="1" x14ac:dyDescent="0.25">
      <c r="A202" s="3" t="s">
        <v>21</v>
      </c>
      <c r="B202" s="3" t="s">
        <v>35</v>
      </c>
      <c r="C202" s="3" t="s">
        <v>36</v>
      </c>
      <c r="D202" s="3" t="s">
        <v>34</v>
      </c>
      <c r="E202" s="3" t="s">
        <v>25</v>
      </c>
      <c r="F202" s="3" t="s">
        <v>54</v>
      </c>
      <c r="G202" s="3" t="s">
        <v>25</v>
      </c>
      <c r="H202" s="3" t="s">
        <v>25</v>
      </c>
      <c r="I202" s="6">
        <v>44774</v>
      </c>
      <c r="J202" s="4">
        <v>590</v>
      </c>
      <c r="K202" s="4">
        <v>590</v>
      </c>
      <c r="L202" s="4">
        <v>0</v>
      </c>
      <c r="M202" s="4">
        <v>0</v>
      </c>
      <c r="N202" s="4">
        <v>0</v>
      </c>
      <c r="O202" s="4">
        <v>0</v>
      </c>
      <c r="P202" s="4">
        <v>2</v>
      </c>
      <c r="Q202" s="3" t="s">
        <v>55</v>
      </c>
      <c r="R202" s="3">
        <v>0</v>
      </c>
      <c r="S202" s="4">
        <v>9</v>
      </c>
      <c r="T202" s="4">
        <v>0</v>
      </c>
      <c r="U202" s="4">
        <v>0</v>
      </c>
      <c r="V202" s="4">
        <f>IF(ISERROR(VLOOKUP($S$202,'TAR FIN'!$A$1:$O$91,15,0)),0,VLOOKUP($S$202,'TAR FIN'!$A$1:$O$91,15,0))</f>
        <v>18.149999999999999</v>
      </c>
      <c r="W202" s="4">
        <f>IF(ISERROR(VLOOKUP($T$202,'TAR FIN'!$A$1:$O$91,15,0)),0,VLOOKUP($T$202,'TAR FIN'!$A$1:$O$91,15,0))</f>
        <v>0</v>
      </c>
      <c r="X202" s="4">
        <f>IF(ISERROR(VLOOKUP($U$202,'TAR FIN'!$A$1:$O$91,15,0)),0,VLOOKUP($U$202,'TAR FIN'!$A$1:$O$91,15,0))</f>
        <v>0</v>
      </c>
      <c r="Y202" s="4">
        <f ca="1">('TUSD BE'!$AM$13+'TUSD BF'!$AM$13+'TUSD CVA'!$AM$13)*1</f>
        <v>21.278333841554378</v>
      </c>
      <c r="Z202" s="4"/>
      <c r="AA202" s="4"/>
      <c r="AB202" s="4">
        <f>$K$202*$V$202</f>
        <v>10708.5</v>
      </c>
      <c r="AC202" s="4">
        <f>$M$202*$W$202</f>
        <v>0</v>
      </c>
      <c r="AD202" s="4">
        <f>$O$202*$X$202</f>
        <v>0</v>
      </c>
      <c r="AE202" s="4">
        <f ca="1">$K$202*$Y$202</f>
        <v>12554.216966517082</v>
      </c>
      <c r="AF202" s="4">
        <f>$M$202*$Z$202</f>
        <v>0</v>
      </c>
      <c r="AG202" s="4">
        <f>$O$202*$AA$202</f>
        <v>0</v>
      </c>
    </row>
    <row r="203" spans="1:33" ht="11.25" customHeight="1" x14ac:dyDescent="0.25">
      <c r="A203" s="3" t="s">
        <v>21</v>
      </c>
      <c r="B203" s="3" t="s">
        <v>35</v>
      </c>
      <c r="C203" s="3" t="s">
        <v>36</v>
      </c>
      <c r="D203" s="3" t="s">
        <v>34</v>
      </c>
      <c r="E203" s="3" t="s">
        <v>25</v>
      </c>
      <c r="F203" s="3" t="s">
        <v>54</v>
      </c>
      <c r="G203" s="3" t="s">
        <v>25</v>
      </c>
      <c r="H203" s="3" t="s">
        <v>37</v>
      </c>
      <c r="I203" s="6">
        <v>44531</v>
      </c>
      <c r="J203" s="4">
        <v>0</v>
      </c>
      <c r="K203" s="4">
        <v>0</v>
      </c>
      <c r="L203" s="4">
        <v>2.7E-2</v>
      </c>
      <c r="M203" s="4">
        <v>2.7E-2</v>
      </c>
      <c r="N203" s="4">
        <v>0</v>
      </c>
      <c r="O203" s="4">
        <v>0</v>
      </c>
      <c r="P203" s="4">
        <v>0</v>
      </c>
      <c r="Q203" s="3" t="s">
        <v>55</v>
      </c>
      <c r="R203" s="3">
        <v>0</v>
      </c>
      <c r="S203" s="4">
        <v>0</v>
      </c>
      <c r="T203" s="4">
        <v>4</v>
      </c>
      <c r="U203" s="4">
        <v>0</v>
      </c>
      <c r="V203" s="4">
        <f>IF(ISERROR(VLOOKUP($S$203,'TAR FIN'!$A$1:$O$91,15,0)),0,VLOOKUP($S$203,'TAR FIN'!$A$1:$O$91,15,0))</f>
        <v>0</v>
      </c>
      <c r="W203" s="4">
        <f>IF(ISERROR(VLOOKUP($T$203,'TAR FIN'!$A$1:$O$91,15,0)),0,VLOOKUP($T$203,'TAR FIN'!$A$1:$O$91,15,0))</f>
        <v>1366.23</v>
      </c>
      <c r="X203" s="4">
        <f>IF(ISERROR(VLOOKUP($U$203,'TAR FIN'!$A$1:$O$91,15,0)),0,VLOOKUP($U$203,'TAR FIN'!$A$1:$O$91,15,0))</f>
        <v>0</v>
      </c>
      <c r="Y203" s="4"/>
      <c r="Z203" s="4">
        <f ca="1">('TUSD BE'!$AM$16+'TUSD BF'!$AM$16+'TUSD CVA'!$AM$16)*1</f>
        <v>1602.6097620387791</v>
      </c>
      <c r="AA203" s="4"/>
      <c r="AB203" s="4">
        <f>$K$203*$V$203</f>
        <v>0</v>
      </c>
      <c r="AC203" s="4">
        <f>$M$203*$W$203</f>
        <v>36.888210000000001</v>
      </c>
      <c r="AD203" s="4">
        <f>$O$203*$X$203</f>
        <v>0</v>
      </c>
      <c r="AE203" s="4">
        <f>$K$203*$Y$203</f>
        <v>0</v>
      </c>
      <c r="AF203" s="4">
        <f ca="1">$M$203*$Z$203</f>
        <v>43.270463575047032</v>
      </c>
      <c r="AG203" s="4">
        <f>$O$203*$AA$203</f>
        <v>0</v>
      </c>
    </row>
    <row r="204" spans="1:33" ht="11.25" customHeight="1" x14ac:dyDescent="0.25">
      <c r="A204" s="3" t="s">
        <v>21</v>
      </c>
      <c r="B204" s="3" t="s">
        <v>35</v>
      </c>
      <c r="C204" s="3" t="s">
        <v>36</v>
      </c>
      <c r="D204" s="3" t="s">
        <v>34</v>
      </c>
      <c r="E204" s="3" t="s">
        <v>25</v>
      </c>
      <c r="F204" s="3" t="s">
        <v>54</v>
      </c>
      <c r="G204" s="3" t="s">
        <v>25</v>
      </c>
      <c r="H204" s="3" t="s">
        <v>37</v>
      </c>
      <c r="I204" s="6">
        <v>44562</v>
      </c>
      <c r="J204" s="4">
        <v>0</v>
      </c>
      <c r="K204" s="4">
        <v>0</v>
      </c>
      <c r="L204" s="4">
        <v>0.25600000000000001</v>
      </c>
      <c r="M204" s="4">
        <v>0.25600000000000001</v>
      </c>
      <c r="N204" s="4">
        <v>0</v>
      </c>
      <c r="O204" s="4">
        <v>0</v>
      </c>
      <c r="P204" s="4">
        <v>0</v>
      </c>
      <c r="Q204" s="3" t="s">
        <v>55</v>
      </c>
      <c r="R204" s="3">
        <v>0</v>
      </c>
      <c r="S204" s="4">
        <v>0</v>
      </c>
      <c r="T204" s="4">
        <v>4</v>
      </c>
      <c r="U204" s="4">
        <v>0</v>
      </c>
      <c r="V204" s="4">
        <f>IF(ISERROR(VLOOKUP($S$204,'TAR FIN'!$A$1:$O$91,15,0)),0,VLOOKUP($S$204,'TAR FIN'!$A$1:$O$91,15,0))</f>
        <v>0</v>
      </c>
      <c r="W204" s="4">
        <f>IF(ISERROR(VLOOKUP($T$204,'TAR FIN'!$A$1:$O$91,15,0)),0,VLOOKUP($T$204,'TAR FIN'!$A$1:$O$91,15,0))</f>
        <v>1366.23</v>
      </c>
      <c r="X204" s="4">
        <f>IF(ISERROR(VLOOKUP($U$204,'TAR FIN'!$A$1:$O$91,15,0)),0,VLOOKUP($U$204,'TAR FIN'!$A$1:$O$91,15,0))</f>
        <v>0</v>
      </c>
      <c r="Y204" s="4"/>
      <c r="Z204" s="4">
        <f ca="1">('TUSD BE'!$AM$16+'TUSD BF'!$AM$16+'TUSD CVA'!$AM$16)*1</f>
        <v>1602.6097620387791</v>
      </c>
      <c r="AA204" s="4"/>
      <c r="AB204" s="4">
        <f>$K$204*$V$204</f>
        <v>0</v>
      </c>
      <c r="AC204" s="4">
        <f>$M$204*$W$204</f>
        <v>349.75488000000001</v>
      </c>
      <c r="AD204" s="4">
        <f>$O$204*$X$204</f>
        <v>0</v>
      </c>
      <c r="AE204" s="4">
        <f>$K$204*$Y$204</f>
        <v>0</v>
      </c>
      <c r="AF204" s="4">
        <f ca="1">$M$204*$Z$204</f>
        <v>410.26809908192746</v>
      </c>
      <c r="AG204" s="4">
        <f>$O$204*$AA$204</f>
        <v>0</v>
      </c>
    </row>
    <row r="205" spans="1:33" ht="11.25" customHeight="1" x14ac:dyDescent="0.25">
      <c r="A205" s="3" t="s">
        <v>21</v>
      </c>
      <c r="B205" s="3" t="s">
        <v>35</v>
      </c>
      <c r="C205" s="3" t="s">
        <v>36</v>
      </c>
      <c r="D205" s="3" t="s">
        <v>34</v>
      </c>
      <c r="E205" s="3" t="s">
        <v>25</v>
      </c>
      <c r="F205" s="3" t="s">
        <v>54</v>
      </c>
      <c r="G205" s="3" t="s">
        <v>25</v>
      </c>
      <c r="H205" s="3" t="s">
        <v>37</v>
      </c>
      <c r="I205" s="6">
        <v>44621</v>
      </c>
      <c r="J205" s="4">
        <v>0</v>
      </c>
      <c r="K205" s="4">
        <v>0</v>
      </c>
      <c r="L205" s="4">
        <v>5.1999999999999998E-2</v>
      </c>
      <c r="M205" s="4">
        <v>5.1999999999999998E-2</v>
      </c>
      <c r="N205" s="4">
        <v>0</v>
      </c>
      <c r="O205" s="4">
        <v>0</v>
      </c>
      <c r="P205" s="4">
        <v>0</v>
      </c>
      <c r="Q205" s="3" t="s">
        <v>55</v>
      </c>
      <c r="R205" s="3">
        <v>0</v>
      </c>
      <c r="S205" s="4">
        <v>0</v>
      </c>
      <c r="T205" s="4">
        <v>4</v>
      </c>
      <c r="U205" s="4">
        <v>0</v>
      </c>
      <c r="V205" s="4">
        <f>IF(ISERROR(VLOOKUP($S$205,'TAR FIN'!$A$1:$O$91,15,0)),0,VLOOKUP($S$205,'TAR FIN'!$A$1:$O$91,15,0))</f>
        <v>0</v>
      </c>
      <c r="W205" s="4">
        <f>IF(ISERROR(VLOOKUP($T$205,'TAR FIN'!$A$1:$O$91,15,0)),0,VLOOKUP($T$205,'TAR FIN'!$A$1:$O$91,15,0))</f>
        <v>1366.23</v>
      </c>
      <c r="X205" s="4">
        <f>IF(ISERROR(VLOOKUP($U$205,'TAR FIN'!$A$1:$O$91,15,0)),0,VLOOKUP($U$205,'TAR FIN'!$A$1:$O$91,15,0))</f>
        <v>0</v>
      </c>
      <c r="Y205" s="4"/>
      <c r="Z205" s="4">
        <f ca="1">('TUSD BE'!$AM$16+'TUSD BF'!$AM$16+'TUSD CVA'!$AM$16)*1</f>
        <v>1602.6097620387791</v>
      </c>
      <c r="AA205" s="4"/>
      <c r="AB205" s="4">
        <f>$K$205*$V$205</f>
        <v>0</v>
      </c>
      <c r="AC205" s="4">
        <f>$M$205*$W$205</f>
        <v>71.043959999999998</v>
      </c>
      <c r="AD205" s="4">
        <f>$O$205*$X$205</f>
        <v>0</v>
      </c>
      <c r="AE205" s="4">
        <f>$K$205*$Y$205</f>
        <v>0</v>
      </c>
      <c r="AF205" s="4">
        <f ca="1">$M$205*$Z$205</f>
        <v>83.335707626016514</v>
      </c>
      <c r="AG205" s="4">
        <f>$O$205*$AA$205</f>
        <v>0</v>
      </c>
    </row>
    <row r="206" spans="1:33" ht="11.25" customHeight="1" x14ac:dyDescent="0.25">
      <c r="A206" s="3" t="s">
        <v>21</v>
      </c>
      <c r="B206" s="3" t="s">
        <v>35</v>
      </c>
      <c r="C206" s="3" t="s">
        <v>36</v>
      </c>
      <c r="D206" s="3" t="s">
        <v>34</v>
      </c>
      <c r="E206" s="3" t="s">
        <v>25</v>
      </c>
      <c r="F206" s="3" t="s">
        <v>54</v>
      </c>
      <c r="G206" s="3" t="s">
        <v>25</v>
      </c>
      <c r="H206" s="3" t="s">
        <v>37</v>
      </c>
      <c r="I206" s="6">
        <v>44682</v>
      </c>
      <c r="J206" s="4">
        <v>0</v>
      </c>
      <c r="K206" s="4">
        <v>0</v>
      </c>
      <c r="L206" s="4">
        <v>0.52300000000000002</v>
      </c>
      <c r="M206" s="4">
        <v>0.52300000000000002</v>
      </c>
      <c r="N206" s="4">
        <v>0</v>
      </c>
      <c r="O206" s="4">
        <v>0</v>
      </c>
      <c r="P206" s="4">
        <v>0</v>
      </c>
      <c r="Q206" s="3" t="s">
        <v>55</v>
      </c>
      <c r="R206" s="3">
        <v>0</v>
      </c>
      <c r="S206" s="4">
        <v>0</v>
      </c>
      <c r="T206" s="4">
        <v>4</v>
      </c>
      <c r="U206" s="4">
        <v>0</v>
      </c>
      <c r="V206" s="4">
        <f>IF(ISERROR(VLOOKUP($S$206,'TAR FIN'!$A$1:$O$91,15,0)),0,VLOOKUP($S$206,'TAR FIN'!$A$1:$O$91,15,0))</f>
        <v>0</v>
      </c>
      <c r="W206" s="4">
        <f>IF(ISERROR(VLOOKUP($T$206,'TAR FIN'!$A$1:$O$91,15,0)),0,VLOOKUP($T$206,'TAR FIN'!$A$1:$O$91,15,0))</f>
        <v>1366.23</v>
      </c>
      <c r="X206" s="4">
        <f>IF(ISERROR(VLOOKUP($U$206,'TAR FIN'!$A$1:$O$91,15,0)),0,VLOOKUP($U$206,'TAR FIN'!$A$1:$O$91,15,0))</f>
        <v>0</v>
      </c>
      <c r="Y206" s="4"/>
      <c r="Z206" s="4">
        <f ca="1">('TUSD BE'!$AM$16+'TUSD BF'!$AM$16+'TUSD CVA'!$AM$16)*1</f>
        <v>1602.6097620387791</v>
      </c>
      <c r="AA206" s="4"/>
      <c r="AB206" s="4">
        <f>$K$206*$V$206</f>
        <v>0</v>
      </c>
      <c r="AC206" s="4">
        <f>$M$206*$W$206</f>
        <v>714.53829000000007</v>
      </c>
      <c r="AD206" s="4">
        <f>$O$206*$X$206</f>
        <v>0</v>
      </c>
      <c r="AE206" s="4">
        <f>$K$206*$Y$206</f>
        <v>0</v>
      </c>
      <c r="AF206" s="4">
        <f ca="1">$M$206*$Z$206</f>
        <v>838.16490554628149</v>
      </c>
      <c r="AG206" s="4">
        <f>$O$206*$AA$206</f>
        <v>0</v>
      </c>
    </row>
    <row r="207" spans="1:33" ht="11.25" customHeight="1" x14ac:dyDescent="0.25">
      <c r="A207" s="3" t="s">
        <v>21</v>
      </c>
      <c r="B207" s="3" t="s">
        <v>35</v>
      </c>
      <c r="C207" s="3" t="s">
        <v>36</v>
      </c>
      <c r="D207" s="3" t="s">
        <v>34</v>
      </c>
      <c r="E207" s="3" t="s">
        <v>25</v>
      </c>
      <c r="F207" s="3" t="s">
        <v>54</v>
      </c>
      <c r="G207" s="3" t="s">
        <v>25</v>
      </c>
      <c r="H207" s="3" t="s">
        <v>37</v>
      </c>
      <c r="I207" s="6">
        <v>44743</v>
      </c>
      <c r="J207" s="4">
        <v>0</v>
      </c>
      <c r="K207" s="4">
        <v>0</v>
      </c>
      <c r="L207" s="4">
        <v>0.114</v>
      </c>
      <c r="M207" s="4">
        <v>0.114</v>
      </c>
      <c r="N207" s="4">
        <v>0</v>
      </c>
      <c r="O207" s="4">
        <v>0</v>
      </c>
      <c r="P207" s="4">
        <v>0</v>
      </c>
      <c r="Q207" s="3" t="s">
        <v>55</v>
      </c>
      <c r="R207" s="3">
        <v>0</v>
      </c>
      <c r="S207" s="4">
        <v>0</v>
      </c>
      <c r="T207" s="4">
        <v>4</v>
      </c>
      <c r="U207" s="4">
        <v>0</v>
      </c>
      <c r="V207" s="4">
        <f>IF(ISERROR(VLOOKUP($S$207,'TAR FIN'!$A$1:$O$91,15,0)),0,VLOOKUP($S$207,'TAR FIN'!$A$1:$O$91,15,0))</f>
        <v>0</v>
      </c>
      <c r="W207" s="4">
        <f>IF(ISERROR(VLOOKUP($T$207,'TAR FIN'!$A$1:$O$91,15,0)),0,VLOOKUP($T$207,'TAR FIN'!$A$1:$O$91,15,0))</f>
        <v>1366.23</v>
      </c>
      <c r="X207" s="4">
        <f>IF(ISERROR(VLOOKUP($U$207,'TAR FIN'!$A$1:$O$91,15,0)),0,VLOOKUP($U$207,'TAR FIN'!$A$1:$O$91,15,0))</f>
        <v>0</v>
      </c>
      <c r="Y207" s="4"/>
      <c r="Z207" s="4">
        <f ca="1">('TUSD BE'!$AM$16+'TUSD BF'!$AM$16+'TUSD CVA'!$AM$16)*1</f>
        <v>1602.6097620387791</v>
      </c>
      <c r="AA207" s="4"/>
      <c r="AB207" s="4">
        <f>$K$207*$V$207</f>
        <v>0</v>
      </c>
      <c r="AC207" s="4">
        <f>$M$207*$W$207</f>
        <v>155.75022000000001</v>
      </c>
      <c r="AD207" s="4">
        <f>$O$207*$X$207</f>
        <v>0</v>
      </c>
      <c r="AE207" s="4">
        <f>$K$207*$Y$207</f>
        <v>0</v>
      </c>
      <c r="AF207" s="4">
        <f ca="1">$M$207*$Z$207</f>
        <v>182.69751287242082</v>
      </c>
      <c r="AG207" s="4">
        <f>$O$207*$AA$207</f>
        <v>0</v>
      </c>
    </row>
    <row r="208" spans="1:33" ht="11.25" customHeight="1" x14ac:dyDescent="0.25">
      <c r="A208" s="3" t="s">
        <v>21</v>
      </c>
      <c r="B208" s="3" t="s">
        <v>35</v>
      </c>
      <c r="C208" s="3" t="s">
        <v>36</v>
      </c>
      <c r="D208" s="3" t="s">
        <v>34</v>
      </c>
      <c r="E208" s="3" t="s">
        <v>25</v>
      </c>
      <c r="F208" s="3" t="s">
        <v>54</v>
      </c>
      <c r="G208" s="3" t="s">
        <v>25</v>
      </c>
      <c r="H208" s="3" t="s">
        <v>37</v>
      </c>
      <c r="I208" s="6">
        <v>44774</v>
      </c>
      <c r="J208" s="4">
        <v>0</v>
      </c>
      <c r="K208" s="4">
        <v>0</v>
      </c>
      <c r="L208" s="4">
        <v>0.06</v>
      </c>
      <c r="M208" s="4">
        <v>0.06</v>
      </c>
      <c r="N208" s="4">
        <v>0</v>
      </c>
      <c r="O208" s="4">
        <v>0</v>
      </c>
      <c r="P208" s="4">
        <v>0</v>
      </c>
      <c r="Q208" s="3" t="s">
        <v>55</v>
      </c>
      <c r="R208" s="3">
        <v>0</v>
      </c>
      <c r="S208" s="4">
        <v>0</v>
      </c>
      <c r="T208" s="4">
        <v>4</v>
      </c>
      <c r="U208" s="4">
        <v>0</v>
      </c>
      <c r="V208" s="4">
        <f>IF(ISERROR(VLOOKUP($S$208,'TAR FIN'!$A$1:$O$91,15,0)),0,VLOOKUP($S$208,'TAR FIN'!$A$1:$O$91,15,0))</f>
        <v>0</v>
      </c>
      <c r="W208" s="4">
        <f>IF(ISERROR(VLOOKUP($T$208,'TAR FIN'!$A$1:$O$91,15,0)),0,VLOOKUP($T$208,'TAR FIN'!$A$1:$O$91,15,0))</f>
        <v>1366.23</v>
      </c>
      <c r="X208" s="4">
        <f>IF(ISERROR(VLOOKUP($U$208,'TAR FIN'!$A$1:$O$91,15,0)),0,VLOOKUP($U$208,'TAR FIN'!$A$1:$O$91,15,0))</f>
        <v>0</v>
      </c>
      <c r="Y208" s="4"/>
      <c r="Z208" s="4">
        <f ca="1">('TUSD BE'!$AM$16+'TUSD BF'!$AM$16+'TUSD CVA'!$AM$16)*1</f>
        <v>1602.6097620387791</v>
      </c>
      <c r="AA208" s="4"/>
      <c r="AB208" s="4">
        <f>$K$208*$V$208</f>
        <v>0</v>
      </c>
      <c r="AC208" s="4">
        <f>$M$208*$W$208</f>
        <v>81.973799999999997</v>
      </c>
      <c r="AD208" s="4">
        <f>$O$208*$X$208</f>
        <v>0</v>
      </c>
      <c r="AE208" s="4">
        <f>$K$208*$Y$208</f>
        <v>0</v>
      </c>
      <c r="AF208" s="4">
        <f ca="1">$M$208*$Z$208</f>
        <v>96.156585722326739</v>
      </c>
      <c r="AG208" s="4">
        <f>$O$208*$AA$208</f>
        <v>0</v>
      </c>
    </row>
    <row r="209" spans="1:33" ht="11.25" customHeight="1" x14ac:dyDescent="0.25">
      <c r="A209" s="3" t="s">
        <v>21</v>
      </c>
      <c r="B209" s="3" t="s">
        <v>35</v>
      </c>
      <c r="C209" s="3" t="s">
        <v>36</v>
      </c>
      <c r="D209" s="3" t="s">
        <v>34</v>
      </c>
      <c r="E209" s="3" t="s">
        <v>25</v>
      </c>
      <c r="F209" s="3" t="s">
        <v>25</v>
      </c>
      <c r="G209" s="3" t="s">
        <v>25</v>
      </c>
      <c r="H209" s="3" t="s">
        <v>38</v>
      </c>
      <c r="I209" s="6">
        <v>44440</v>
      </c>
      <c r="J209" s="4">
        <v>0</v>
      </c>
      <c r="K209" s="4">
        <v>0</v>
      </c>
      <c r="L209" s="4">
        <v>3253.942</v>
      </c>
      <c r="M209" s="4">
        <v>3253.942</v>
      </c>
      <c r="N209" s="4">
        <v>3253.942</v>
      </c>
      <c r="O209" s="4">
        <v>3253.942</v>
      </c>
      <c r="P209" s="4">
        <v>0</v>
      </c>
      <c r="Q209" s="3" t="s">
        <v>26</v>
      </c>
      <c r="R209" s="3">
        <v>0</v>
      </c>
      <c r="S209" s="4">
        <v>0</v>
      </c>
      <c r="T209" s="4">
        <v>13</v>
      </c>
      <c r="U209" s="4">
        <v>69</v>
      </c>
      <c r="V209" s="4">
        <f>IF(ISERROR(VLOOKUP($S$209,'TAR FIN'!$A$1:$O$91,15,0)),0,VLOOKUP($S$209,'TAR FIN'!$A$1:$O$91,15,0))</f>
        <v>0</v>
      </c>
      <c r="W209" s="4">
        <f>IF(ISERROR(VLOOKUP($T$209,'TAR FIN'!$A$1:$O$91,15,0)),0,VLOOKUP($T$209,'TAR FIN'!$A$1:$O$91,15,0))</f>
        <v>71.14</v>
      </c>
      <c r="X209" s="4">
        <f>IF(ISERROR(VLOOKUP($U$209,'TAR FIN'!$A$1:$O$91,15,0)),0,VLOOKUP($U$209,'TAR FIN'!$A$1:$O$91,15,0))</f>
        <v>249.25</v>
      </c>
      <c r="Y209" s="4"/>
      <c r="Z209" s="4">
        <f ca="1">('TUSD BE'!$AM$15+'TUSD BF'!$AM$15+'TUSD CVA'!$AM$15)*1</f>
        <v>102.88633971139855</v>
      </c>
      <c r="AA209" s="4">
        <f>('TE BE'!$AB$6+'TE BF'!$AB$6+'TE CVA'!$AB$6)*1</f>
        <v>203.38274236935246</v>
      </c>
      <c r="AB209" s="4">
        <f>$K$209*$V$209</f>
        <v>0</v>
      </c>
      <c r="AC209" s="4">
        <f>$M$209*$W$209</f>
        <v>231485.43388</v>
      </c>
      <c r="AD209" s="4">
        <f>$O$209*$X$209</f>
        <v>811045.04350000003</v>
      </c>
      <c r="AE209" s="4">
        <f>$K$209*$Y$209</f>
        <v>0</v>
      </c>
      <c r="AF209" s="4">
        <f ca="1">$M$209*$Z$209</f>
        <v>334786.18201318762</v>
      </c>
      <c r="AG209" s="4">
        <f>$O$209*$AA$209</f>
        <v>661795.64747081546</v>
      </c>
    </row>
    <row r="210" spans="1:33" ht="11.25" customHeight="1" x14ac:dyDescent="0.25">
      <c r="A210" s="3" t="s">
        <v>28</v>
      </c>
      <c r="B210" s="3" t="s">
        <v>35</v>
      </c>
      <c r="C210" s="3" t="s">
        <v>36</v>
      </c>
      <c r="D210" s="3" t="s">
        <v>34</v>
      </c>
      <c r="E210" s="3" t="s">
        <v>25</v>
      </c>
      <c r="F210" s="3" t="s">
        <v>25</v>
      </c>
      <c r="G210" s="3" t="s">
        <v>25</v>
      </c>
      <c r="H210" s="3" t="s">
        <v>38</v>
      </c>
      <c r="I210" s="6">
        <v>44440</v>
      </c>
      <c r="J210" s="4">
        <v>0</v>
      </c>
      <c r="K210" s="4">
        <v>0</v>
      </c>
      <c r="L210" s="4">
        <v>25.477</v>
      </c>
      <c r="M210" s="4">
        <v>25.477</v>
      </c>
      <c r="N210" s="4">
        <v>25.477</v>
      </c>
      <c r="O210" s="4">
        <v>25.477</v>
      </c>
      <c r="P210" s="4">
        <v>0</v>
      </c>
      <c r="Q210" s="3" t="s">
        <v>26</v>
      </c>
      <c r="R210" s="3">
        <v>0</v>
      </c>
      <c r="S210" s="4">
        <v>0</v>
      </c>
      <c r="T210" s="4">
        <v>13</v>
      </c>
      <c r="U210" s="4">
        <v>69</v>
      </c>
      <c r="V210" s="4">
        <f>IF(ISERROR(VLOOKUP($S$210,'TAR FIN'!$A$1:$O$91,15,0)),0,VLOOKUP($S$210,'TAR FIN'!$A$1:$O$91,15,0))</f>
        <v>0</v>
      </c>
      <c r="W210" s="4">
        <f>IF(ISERROR(VLOOKUP($T$210,'TAR FIN'!$A$1:$O$91,15,0)),0,VLOOKUP($T$210,'TAR FIN'!$A$1:$O$91,15,0))</f>
        <v>71.14</v>
      </c>
      <c r="X210" s="4">
        <f>IF(ISERROR(VLOOKUP($U$210,'TAR FIN'!$A$1:$O$91,15,0)),0,VLOOKUP($U$210,'TAR FIN'!$A$1:$O$91,15,0))</f>
        <v>249.25</v>
      </c>
      <c r="Y210" s="4"/>
      <c r="Z210" s="4">
        <f ca="1">('TUSD BE'!$AM$15+'TUSD BF'!$AM$15+'TUSD CVA'!$AM$15)*1</f>
        <v>102.88633971139855</v>
      </c>
      <c r="AA210" s="4">
        <f>('TE BE'!$AB$6+'TE BF'!$AB$6+'TE CVA'!$AB$6)*1</f>
        <v>203.38274236935246</v>
      </c>
      <c r="AB210" s="4">
        <f>$K$210*$V$210</f>
        <v>0</v>
      </c>
      <c r="AC210" s="4">
        <f>$M$210*$W$210</f>
        <v>1812.4337800000001</v>
      </c>
      <c r="AD210" s="4">
        <f>$O$210*$X$210</f>
        <v>6350.1422499999999</v>
      </c>
      <c r="AE210" s="4">
        <f>$K$210*$Y$210</f>
        <v>0</v>
      </c>
      <c r="AF210" s="4">
        <f ca="1">$M$210*$Z$210</f>
        <v>2621.2352768273008</v>
      </c>
      <c r="AG210" s="4">
        <f>$O$210*$AA$210</f>
        <v>5181.5821273439924</v>
      </c>
    </row>
    <row r="211" spans="1:33" ht="11.25" customHeight="1" x14ac:dyDescent="0.25">
      <c r="A211" s="3" t="s">
        <v>21</v>
      </c>
      <c r="B211" s="3" t="s">
        <v>35</v>
      </c>
      <c r="C211" s="3" t="s">
        <v>36</v>
      </c>
      <c r="D211" s="3" t="s">
        <v>34</v>
      </c>
      <c r="E211" s="3" t="s">
        <v>25</v>
      </c>
      <c r="F211" s="3" t="s">
        <v>25</v>
      </c>
      <c r="G211" s="3" t="s">
        <v>25</v>
      </c>
      <c r="H211" s="3" t="s">
        <v>38</v>
      </c>
      <c r="I211" s="6">
        <v>44470</v>
      </c>
      <c r="J211" s="4">
        <v>0</v>
      </c>
      <c r="K211" s="4">
        <v>0</v>
      </c>
      <c r="L211" s="4">
        <v>3176.6480000000001</v>
      </c>
      <c r="M211" s="4">
        <v>3176.6480000000001</v>
      </c>
      <c r="N211" s="4">
        <v>3176.6480000000001</v>
      </c>
      <c r="O211" s="4">
        <v>3176.6480000000001</v>
      </c>
      <c r="P211" s="4">
        <v>0</v>
      </c>
      <c r="Q211" s="3" t="s">
        <v>26</v>
      </c>
      <c r="R211" s="3">
        <v>0</v>
      </c>
      <c r="S211" s="4">
        <v>0</v>
      </c>
      <c r="T211" s="4">
        <v>13</v>
      </c>
      <c r="U211" s="4">
        <v>69</v>
      </c>
      <c r="V211" s="4">
        <f>IF(ISERROR(VLOOKUP($S$211,'TAR FIN'!$A$1:$O$91,15,0)),0,VLOOKUP($S$211,'TAR FIN'!$A$1:$O$91,15,0))</f>
        <v>0</v>
      </c>
      <c r="W211" s="4">
        <f>IF(ISERROR(VLOOKUP($T$211,'TAR FIN'!$A$1:$O$91,15,0)),0,VLOOKUP($T$211,'TAR FIN'!$A$1:$O$91,15,0))</f>
        <v>71.14</v>
      </c>
      <c r="X211" s="4">
        <f>IF(ISERROR(VLOOKUP($U$211,'TAR FIN'!$A$1:$O$91,15,0)),0,VLOOKUP($U$211,'TAR FIN'!$A$1:$O$91,15,0))</f>
        <v>249.25</v>
      </c>
      <c r="Y211" s="4"/>
      <c r="Z211" s="4">
        <f ca="1">('TUSD BE'!$AM$15+'TUSD BF'!$AM$15+'TUSD CVA'!$AM$15)*1</f>
        <v>102.88633971139855</v>
      </c>
      <c r="AA211" s="4">
        <f>('TE BE'!$AB$6+'TE BF'!$AB$6+'TE CVA'!$AB$6)*1</f>
        <v>203.38274236935246</v>
      </c>
      <c r="AB211" s="4">
        <f>$K$211*$V$211</f>
        <v>0</v>
      </c>
      <c r="AC211" s="4">
        <f>$M$211*$W$211</f>
        <v>225986.73872000002</v>
      </c>
      <c r="AD211" s="4">
        <f>$O$211*$X$211</f>
        <v>791779.51400000008</v>
      </c>
      <c r="AE211" s="4">
        <f>$K$211*$Y$211</f>
        <v>0</v>
      </c>
      <c r="AF211" s="4">
        <f ca="1">$M$211*$Z$211</f>
        <v>326833.68527153478</v>
      </c>
      <c r="AG211" s="4">
        <f>$O$211*$AA$211</f>
        <v>646075.38178211881</v>
      </c>
    </row>
    <row r="212" spans="1:33" ht="11.25" customHeight="1" x14ac:dyDescent="0.25">
      <c r="A212" s="3" t="s">
        <v>28</v>
      </c>
      <c r="B212" s="3" t="s">
        <v>35</v>
      </c>
      <c r="C212" s="3" t="s">
        <v>36</v>
      </c>
      <c r="D212" s="3" t="s">
        <v>34</v>
      </c>
      <c r="E212" s="3" t="s">
        <v>25</v>
      </c>
      <c r="F212" s="3" t="s">
        <v>25</v>
      </c>
      <c r="G212" s="3" t="s">
        <v>25</v>
      </c>
      <c r="H212" s="3" t="s">
        <v>38</v>
      </c>
      <c r="I212" s="6">
        <v>44470</v>
      </c>
      <c r="J212" s="4">
        <v>0</v>
      </c>
      <c r="K212" s="4">
        <v>0</v>
      </c>
      <c r="L212" s="4">
        <v>48.094000000000001</v>
      </c>
      <c r="M212" s="4">
        <v>48.094000000000001</v>
      </c>
      <c r="N212" s="4">
        <v>48.094000000000001</v>
      </c>
      <c r="O212" s="4">
        <v>48.094000000000001</v>
      </c>
      <c r="P212" s="4">
        <v>0</v>
      </c>
      <c r="Q212" s="3" t="s">
        <v>26</v>
      </c>
      <c r="R212" s="3">
        <v>0</v>
      </c>
      <c r="S212" s="4">
        <v>0</v>
      </c>
      <c r="T212" s="4">
        <v>13</v>
      </c>
      <c r="U212" s="4">
        <v>69</v>
      </c>
      <c r="V212" s="4">
        <f>IF(ISERROR(VLOOKUP($S$212,'TAR FIN'!$A$1:$O$91,15,0)),0,VLOOKUP($S$212,'TAR FIN'!$A$1:$O$91,15,0))</f>
        <v>0</v>
      </c>
      <c r="W212" s="4">
        <f>IF(ISERROR(VLOOKUP($T$212,'TAR FIN'!$A$1:$O$91,15,0)),0,VLOOKUP($T$212,'TAR FIN'!$A$1:$O$91,15,0))</f>
        <v>71.14</v>
      </c>
      <c r="X212" s="4">
        <f>IF(ISERROR(VLOOKUP($U$212,'TAR FIN'!$A$1:$O$91,15,0)),0,VLOOKUP($U$212,'TAR FIN'!$A$1:$O$91,15,0))</f>
        <v>249.25</v>
      </c>
      <c r="Y212" s="4"/>
      <c r="Z212" s="4">
        <f ca="1">('TUSD BE'!$AM$15+'TUSD BF'!$AM$15+'TUSD CVA'!$AM$15)*1</f>
        <v>102.88633971139855</v>
      </c>
      <c r="AA212" s="4">
        <f>('TE BE'!$AB$6+'TE BF'!$AB$6+'TE CVA'!$AB$6)*1</f>
        <v>203.38274236935246</v>
      </c>
      <c r="AB212" s="4">
        <f>$K$212*$V$212</f>
        <v>0</v>
      </c>
      <c r="AC212" s="4">
        <f>$M$212*$W$212</f>
        <v>3421.4071600000002</v>
      </c>
      <c r="AD212" s="4">
        <f>$O$212*$X$212</f>
        <v>11987.4295</v>
      </c>
      <c r="AE212" s="4">
        <f>$K$212*$Y$212</f>
        <v>0</v>
      </c>
      <c r="AF212" s="4">
        <f ca="1">$M$212*$Z$212</f>
        <v>4948.2156220800016</v>
      </c>
      <c r="AG212" s="4">
        <f>$O$212*$AA$212</f>
        <v>9781.4896115116371</v>
      </c>
    </row>
    <row r="213" spans="1:33" ht="11.25" customHeight="1" x14ac:dyDescent="0.25">
      <c r="A213" s="3" t="s">
        <v>21</v>
      </c>
      <c r="B213" s="3" t="s">
        <v>35</v>
      </c>
      <c r="C213" s="3" t="s">
        <v>36</v>
      </c>
      <c r="D213" s="3" t="s">
        <v>34</v>
      </c>
      <c r="E213" s="3" t="s">
        <v>25</v>
      </c>
      <c r="F213" s="3" t="s">
        <v>25</v>
      </c>
      <c r="G213" s="3" t="s">
        <v>25</v>
      </c>
      <c r="H213" s="3" t="s">
        <v>38</v>
      </c>
      <c r="I213" s="6">
        <v>44501</v>
      </c>
      <c r="J213" s="4">
        <v>0</v>
      </c>
      <c r="K213" s="4">
        <v>0</v>
      </c>
      <c r="L213" s="4">
        <v>3155.5859999999998</v>
      </c>
      <c r="M213" s="4">
        <v>3155.5859999999998</v>
      </c>
      <c r="N213" s="4">
        <v>3155.5859999999998</v>
      </c>
      <c r="O213" s="4">
        <v>3155.5859999999998</v>
      </c>
      <c r="P213" s="4">
        <v>0</v>
      </c>
      <c r="Q213" s="3" t="s">
        <v>26</v>
      </c>
      <c r="R213" s="3">
        <v>0</v>
      </c>
      <c r="S213" s="4">
        <v>0</v>
      </c>
      <c r="T213" s="4">
        <v>13</v>
      </c>
      <c r="U213" s="4">
        <v>69</v>
      </c>
      <c r="V213" s="4">
        <f>IF(ISERROR(VLOOKUP($S$213,'TAR FIN'!$A$1:$O$91,15,0)),0,VLOOKUP($S$213,'TAR FIN'!$A$1:$O$91,15,0))</f>
        <v>0</v>
      </c>
      <c r="W213" s="4">
        <f>IF(ISERROR(VLOOKUP($T$213,'TAR FIN'!$A$1:$O$91,15,0)),0,VLOOKUP($T$213,'TAR FIN'!$A$1:$O$91,15,0))</f>
        <v>71.14</v>
      </c>
      <c r="X213" s="4">
        <f>IF(ISERROR(VLOOKUP($U$213,'TAR FIN'!$A$1:$O$91,15,0)),0,VLOOKUP($U$213,'TAR FIN'!$A$1:$O$91,15,0))</f>
        <v>249.25</v>
      </c>
      <c r="Y213" s="4"/>
      <c r="Z213" s="4">
        <f ca="1">('TUSD BE'!$AM$15+'TUSD BF'!$AM$15+'TUSD CVA'!$AM$15)*1</f>
        <v>102.88633971139855</v>
      </c>
      <c r="AA213" s="4">
        <f>('TE BE'!$AB$6+'TE BF'!$AB$6+'TE CVA'!$AB$6)*1</f>
        <v>203.38274236935246</v>
      </c>
      <c r="AB213" s="4">
        <f>$K$213*$V$213</f>
        <v>0</v>
      </c>
      <c r="AC213" s="4">
        <f>$M$213*$W$213</f>
        <v>224488.38803999999</v>
      </c>
      <c r="AD213" s="4">
        <f>$O$213*$X$213</f>
        <v>786529.81049999991</v>
      </c>
      <c r="AE213" s="4">
        <f>$K$213*$Y$213</f>
        <v>0</v>
      </c>
      <c r="AF213" s="4">
        <f ca="1">$M$213*$Z$213</f>
        <v>324666.69318453327</v>
      </c>
      <c r="AG213" s="4">
        <f>$O$213*$AA$213</f>
        <v>641791.73446233536</v>
      </c>
    </row>
    <row r="214" spans="1:33" ht="11.25" customHeight="1" x14ac:dyDescent="0.25">
      <c r="A214" s="3" t="s">
        <v>28</v>
      </c>
      <c r="B214" s="3" t="s">
        <v>35</v>
      </c>
      <c r="C214" s="3" t="s">
        <v>36</v>
      </c>
      <c r="D214" s="3" t="s">
        <v>34</v>
      </c>
      <c r="E214" s="3" t="s">
        <v>25</v>
      </c>
      <c r="F214" s="3" t="s">
        <v>25</v>
      </c>
      <c r="G214" s="3" t="s">
        <v>25</v>
      </c>
      <c r="H214" s="3" t="s">
        <v>38</v>
      </c>
      <c r="I214" s="6">
        <v>44501</v>
      </c>
      <c r="J214" s="4">
        <v>0</v>
      </c>
      <c r="K214" s="4">
        <v>0</v>
      </c>
      <c r="L214" s="4">
        <v>45.576000000000001</v>
      </c>
      <c r="M214" s="4">
        <v>45.576000000000001</v>
      </c>
      <c r="N214" s="4">
        <v>45.576000000000001</v>
      </c>
      <c r="O214" s="4">
        <v>45.576000000000001</v>
      </c>
      <c r="P214" s="4">
        <v>0</v>
      </c>
      <c r="Q214" s="3" t="s">
        <v>26</v>
      </c>
      <c r="R214" s="3">
        <v>0</v>
      </c>
      <c r="S214" s="4">
        <v>0</v>
      </c>
      <c r="T214" s="4">
        <v>13</v>
      </c>
      <c r="U214" s="4">
        <v>69</v>
      </c>
      <c r="V214" s="4">
        <f>IF(ISERROR(VLOOKUP($S$214,'TAR FIN'!$A$1:$O$91,15,0)),0,VLOOKUP($S$214,'TAR FIN'!$A$1:$O$91,15,0))</f>
        <v>0</v>
      </c>
      <c r="W214" s="4">
        <f>IF(ISERROR(VLOOKUP($T$214,'TAR FIN'!$A$1:$O$91,15,0)),0,VLOOKUP($T$214,'TAR FIN'!$A$1:$O$91,15,0))</f>
        <v>71.14</v>
      </c>
      <c r="X214" s="4">
        <f>IF(ISERROR(VLOOKUP($U$214,'TAR FIN'!$A$1:$O$91,15,0)),0,VLOOKUP($U$214,'TAR FIN'!$A$1:$O$91,15,0))</f>
        <v>249.25</v>
      </c>
      <c r="Y214" s="4"/>
      <c r="Z214" s="4">
        <f ca="1">('TUSD BE'!$AM$15+'TUSD BF'!$AM$15+'TUSD CVA'!$AM$15)*1</f>
        <v>102.88633971139855</v>
      </c>
      <c r="AA214" s="4">
        <f>('TE BE'!$AB$6+'TE BF'!$AB$6+'TE CVA'!$AB$6)*1</f>
        <v>203.38274236935246</v>
      </c>
      <c r="AB214" s="4">
        <f>$K$214*$V$214</f>
        <v>0</v>
      </c>
      <c r="AC214" s="4">
        <f>$M$214*$W$214</f>
        <v>3242.27664</v>
      </c>
      <c r="AD214" s="4">
        <f>$O$214*$X$214</f>
        <v>11359.817999999999</v>
      </c>
      <c r="AE214" s="4">
        <f>$K$214*$Y$214</f>
        <v>0</v>
      </c>
      <c r="AF214" s="4">
        <f ca="1">$M$214*$Z$214</f>
        <v>4689.1478186867007</v>
      </c>
      <c r="AG214" s="4">
        <f>$O$214*$AA$214</f>
        <v>9269.3718662256069</v>
      </c>
    </row>
    <row r="215" spans="1:33" ht="11.25" customHeight="1" x14ac:dyDescent="0.25">
      <c r="A215" s="3" t="s">
        <v>21</v>
      </c>
      <c r="B215" s="3" t="s">
        <v>35</v>
      </c>
      <c r="C215" s="3" t="s">
        <v>36</v>
      </c>
      <c r="D215" s="3" t="s">
        <v>34</v>
      </c>
      <c r="E215" s="3" t="s">
        <v>25</v>
      </c>
      <c r="F215" s="3" t="s">
        <v>25</v>
      </c>
      <c r="G215" s="3" t="s">
        <v>25</v>
      </c>
      <c r="H215" s="3" t="s">
        <v>38</v>
      </c>
      <c r="I215" s="6">
        <v>44531</v>
      </c>
      <c r="J215" s="4">
        <v>0</v>
      </c>
      <c r="K215" s="4">
        <v>0</v>
      </c>
      <c r="L215" s="4">
        <v>2791.8620000000001</v>
      </c>
      <c r="M215" s="4">
        <v>2791.8620000000001</v>
      </c>
      <c r="N215" s="4">
        <v>2791.8620000000001</v>
      </c>
      <c r="O215" s="4">
        <v>2791.8620000000001</v>
      </c>
      <c r="P215" s="4">
        <v>0</v>
      </c>
      <c r="Q215" s="3" t="s">
        <v>26</v>
      </c>
      <c r="R215" s="3">
        <v>0</v>
      </c>
      <c r="S215" s="4">
        <v>0</v>
      </c>
      <c r="T215" s="4">
        <v>13</v>
      </c>
      <c r="U215" s="4">
        <v>69</v>
      </c>
      <c r="V215" s="4">
        <f>IF(ISERROR(VLOOKUP($S$215,'TAR FIN'!$A$1:$O$91,15,0)),0,VLOOKUP($S$215,'TAR FIN'!$A$1:$O$91,15,0))</f>
        <v>0</v>
      </c>
      <c r="W215" s="4">
        <f>IF(ISERROR(VLOOKUP($T$215,'TAR FIN'!$A$1:$O$91,15,0)),0,VLOOKUP($T$215,'TAR FIN'!$A$1:$O$91,15,0))</f>
        <v>71.14</v>
      </c>
      <c r="X215" s="4">
        <f>IF(ISERROR(VLOOKUP($U$215,'TAR FIN'!$A$1:$O$91,15,0)),0,VLOOKUP($U$215,'TAR FIN'!$A$1:$O$91,15,0))</f>
        <v>249.25</v>
      </c>
      <c r="Y215" s="4"/>
      <c r="Z215" s="4">
        <f ca="1">('TUSD BE'!$AM$15+'TUSD BF'!$AM$15+'TUSD CVA'!$AM$15)*1</f>
        <v>102.88633971139855</v>
      </c>
      <c r="AA215" s="4">
        <f>('TE BE'!$AB$6+'TE BF'!$AB$6+'TE CVA'!$AB$6)*1</f>
        <v>203.38274236935246</v>
      </c>
      <c r="AB215" s="4">
        <f>$K$215*$V$215</f>
        <v>0</v>
      </c>
      <c r="AC215" s="4">
        <f>$M$215*$W$215</f>
        <v>198613.06268</v>
      </c>
      <c r="AD215" s="4">
        <f>$O$215*$X$215</f>
        <v>695871.60349999997</v>
      </c>
      <c r="AE215" s="4">
        <f>$K$215*$Y$215</f>
        <v>0</v>
      </c>
      <c r="AF215" s="4">
        <f ca="1">$M$215*$Z$215</f>
        <v>287244.46215934458</v>
      </c>
      <c r="AG215" s="4">
        <f>$O$215*$AA$215</f>
        <v>567816.54987678514</v>
      </c>
    </row>
    <row r="216" spans="1:33" ht="11.25" customHeight="1" x14ac:dyDescent="0.25">
      <c r="A216" s="3" t="s">
        <v>28</v>
      </c>
      <c r="B216" s="3" t="s">
        <v>35</v>
      </c>
      <c r="C216" s="3" t="s">
        <v>36</v>
      </c>
      <c r="D216" s="3" t="s">
        <v>34</v>
      </c>
      <c r="E216" s="3" t="s">
        <v>25</v>
      </c>
      <c r="F216" s="3" t="s">
        <v>25</v>
      </c>
      <c r="G216" s="3" t="s">
        <v>25</v>
      </c>
      <c r="H216" s="3" t="s">
        <v>38</v>
      </c>
      <c r="I216" s="6">
        <v>44531</v>
      </c>
      <c r="J216" s="4">
        <v>0</v>
      </c>
      <c r="K216" s="4">
        <v>0</v>
      </c>
      <c r="L216" s="4">
        <v>17.79</v>
      </c>
      <c r="M216" s="4">
        <v>17.79</v>
      </c>
      <c r="N216" s="4">
        <v>17.79</v>
      </c>
      <c r="O216" s="4">
        <v>17.79</v>
      </c>
      <c r="P216" s="4">
        <v>0</v>
      </c>
      <c r="Q216" s="3" t="s">
        <v>26</v>
      </c>
      <c r="R216" s="3">
        <v>0</v>
      </c>
      <c r="S216" s="4">
        <v>0</v>
      </c>
      <c r="T216" s="4">
        <v>13</v>
      </c>
      <c r="U216" s="4">
        <v>69</v>
      </c>
      <c r="V216" s="4">
        <f>IF(ISERROR(VLOOKUP($S$216,'TAR FIN'!$A$1:$O$91,15,0)),0,VLOOKUP($S$216,'TAR FIN'!$A$1:$O$91,15,0))</f>
        <v>0</v>
      </c>
      <c r="W216" s="4">
        <f>IF(ISERROR(VLOOKUP($T$216,'TAR FIN'!$A$1:$O$91,15,0)),0,VLOOKUP($T$216,'TAR FIN'!$A$1:$O$91,15,0))</f>
        <v>71.14</v>
      </c>
      <c r="X216" s="4">
        <f>IF(ISERROR(VLOOKUP($U$216,'TAR FIN'!$A$1:$O$91,15,0)),0,VLOOKUP($U$216,'TAR FIN'!$A$1:$O$91,15,0))</f>
        <v>249.25</v>
      </c>
      <c r="Y216" s="4"/>
      <c r="Z216" s="4">
        <f ca="1">('TUSD BE'!$AM$15+'TUSD BF'!$AM$15+'TUSD CVA'!$AM$15)*1</f>
        <v>102.88633971139855</v>
      </c>
      <c r="AA216" s="4">
        <f>('TE BE'!$AB$6+'TE BF'!$AB$6+'TE CVA'!$AB$6)*1</f>
        <v>203.38274236935246</v>
      </c>
      <c r="AB216" s="4">
        <f>$K$216*$V$216</f>
        <v>0</v>
      </c>
      <c r="AC216" s="4">
        <f>$M$216*$W$216</f>
        <v>1265.5806</v>
      </c>
      <c r="AD216" s="4">
        <f>$O$216*$X$216</f>
        <v>4434.1574999999993</v>
      </c>
      <c r="AE216" s="4">
        <f>$K$216*$Y$216</f>
        <v>0</v>
      </c>
      <c r="AF216" s="4">
        <f ca="1">$M$216*$Z$216</f>
        <v>1830.3479834657801</v>
      </c>
      <c r="AG216" s="4">
        <f>$O$216*$AA$216</f>
        <v>3618.17898675078</v>
      </c>
    </row>
    <row r="217" spans="1:33" ht="11.25" customHeight="1" x14ac:dyDescent="0.25">
      <c r="A217" s="3" t="s">
        <v>21</v>
      </c>
      <c r="B217" s="3" t="s">
        <v>35</v>
      </c>
      <c r="C217" s="3" t="s">
        <v>36</v>
      </c>
      <c r="D217" s="3" t="s">
        <v>34</v>
      </c>
      <c r="E217" s="3" t="s">
        <v>25</v>
      </c>
      <c r="F217" s="3" t="s">
        <v>25</v>
      </c>
      <c r="G217" s="3" t="s">
        <v>25</v>
      </c>
      <c r="H217" s="3" t="s">
        <v>38</v>
      </c>
      <c r="I217" s="6">
        <v>44562</v>
      </c>
      <c r="J217" s="4">
        <v>0</v>
      </c>
      <c r="K217" s="4">
        <v>0</v>
      </c>
      <c r="L217" s="4">
        <v>3006.0529999999999</v>
      </c>
      <c r="M217" s="4">
        <v>3006.0529999999999</v>
      </c>
      <c r="N217" s="4">
        <v>3006.0529999999999</v>
      </c>
      <c r="O217" s="4">
        <v>3006.0529999999999</v>
      </c>
      <c r="P217" s="4">
        <v>0</v>
      </c>
      <c r="Q217" s="3" t="s">
        <v>26</v>
      </c>
      <c r="R217" s="3">
        <v>0</v>
      </c>
      <c r="S217" s="4">
        <v>0</v>
      </c>
      <c r="T217" s="4">
        <v>13</v>
      </c>
      <c r="U217" s="4">
        <v>69</v>
      </c>
      <c r="V217" s="4">
        <f>IF(ISERROR(VLOOKUP($S$217,'TAR FIN'!$A$1:$O$91,15,0)),0,VLOOKUP($S$217,'TAR FIN'!$A$1:$O$91,15,0))</f>
        <v>0</v>
      </c>
      <c r="W217" s="4">
        <f>IF(ISERROR(VLOOKUP($T$217,'TAR FIN'!$A$1:$O$91,15,0)),0,VLOOKUP($T$217,'TAR FIN'!$A$1:$O$91,15,0))</f>
        <v>71.14</v>
      </c>
      <c r="X217" s="4">
        <f>IF(ISERROR(VLOOKUP($U$217,'TAR FIN'!$A$1:$O$91,15,0)),0,VLOOKUP($U$217,'TAR FIN'!$A$1:$O$91,15,0))</f>
        <v>249.25</v>
      </c>
      <c r="Y217" s="4"/>
      <c r="Z217" s="4">
        <f ca="1">('TUSD BE'!$AM$15+'TUSD BF'!$AM$15+'TUSD CVA'!$AM$15)*1</f>
        <v>102.88633971139855</v>
      </c>
      <c r="AA217" s="4">
        <f>('TE BE'!$AB$6+'TE BF'!$AB$6+'TE CVA'!$AB$6)*1</f>
        <v>203.38274236935246</v>
      </c>
      <c r="AB217" s="4">
        <f>$K$217*$V$217</f>
        <v>0</v>
      </c>
      <c r="AC217" s="4">
        <f>$M$217*$W$217</f>
        <v>213850.61041999998</v>
      </c>
      <c r="AD217" s="4">
        <f>$O$217*$X$217</f>
        <v>749258.71025</v>
      </c>
      <c r="AE217" s="4">
        <f>$K$217*$Y$217</f>
        <v>0</v>
      </c>
      <c r="AF217" s="4">
        <f ca="1">$M$217*$Z$217</f>
        <v>309281.79014846875</v>
      </c>
      <c r="AG217" s="4">
        <f>$O$217*$AA$217</f>
        <v>611379.30284761905</v>
      </c>
    </row>
    <row r="218" spans="1:33" ht="11.25" customHeight="1" x14ac:dyDescent="0.25">
      <c r="A218" s="3" t="s">
        <v>28</v>
      </c>
      <c r="B218" s="3" t="s">
        <v>35</v>
      </c>
      <c r="C218" s="3" t="s">
        <v>36</v>
      </c>
      <c r="D218" s="3" t="s">
        <v>34</v>
      </c>
      <c r="E218" s="3" t="s">
        <v>25</v>
      </c>
      <c r="F218" s="3" t="s">
        <v>25</v>
      </c>
      <c r="G218" s="3" t="s">
        <v>25</v>
      </c>
      <c r="H218" s="3" t="s">
        <v>38</v>
      </c>
      <c r="I218" s="6">
        <v>44562</v>
      </c>
      <c r="J218" s="4">
        <v>0</v>
      </c>
      <c r="K218" s="4">
        <v>0</v>
      </c>
      <c r="L218" s="4">
        <v>23.614999999999998</v>
      </c>
      <c r="M218" s="4">
        <v>23.614999999999998</v>
      </c>
      <c r="N218" s="4">
        <v>23.614999999999998</v>
      </c>
      <c r="O218" s="4">
        <v>23.614999999999998</v>
      </c>
      <c r="P218" s="4">
        <v>0</v>
      </c>
      <c r="Q218" s="3" t="s">
        <v>26</v>
      </c>
      <c r="R218" s="3">
        <v>0</v>
      </c>
      <c r="S218" s="4">
        <v>0</v>
      </c>
      <c r="T218" s="4">
        <v>13</v>
      </c>
      <c r="U218" s="4">
        <v>69</v>
      </c>
      <c r="V218" s="4">
        <f>IF(ISERROR(VLOOKUP($S$218,'TAR FIN'!$A$1:$O$91,15,0)),0,VLOOKUP($S$218,'TAR FIN'!$A$1:$O$91,15,0))</f>
        <v>0</v>
      </c>
      <c r="W218" s="4">
        <f>IF(ISERROR(VLOOKUP($T$218,'TAR FIN'!$A$1:$O$91,15,0)),0,VLOOKUP($T$218,'TAR FIN'!$A$1:$O$91,15,0))</f>
        <v>71.14</v>
      </c>
      <c r="X218" s="4">
        <f>IF(ISERROR(VLOOKUP($U$218,'TAR FIN'!$A$1:$O$91,15,0)),0,VLOOKUP($U$218,'TAR FIN'!$A$1:$O$91,15,0))</f>
        <v>249.25</v>
      </c>
      <c r="Y218" s="4"/>
      <c r="Z218" s="4">
        <f ca="1">('TUSD BE'!$AM$15+'TUSD BF'!$AM$15+'TUSD CVA'!$AM$15)*1</f>
        <v>102.88633971139855</v>
      </c>
      <c r="AA218" s="4">
        <f>('TE BE'!$AB$6+'TE BF'!$AB$6+'TE CVA'!$AB$6)*1</f>
        <v>203.38274236935246</v>
      </c>
      <c r="AB218" s="4">
        <f>$K$218*$V$218</f>
        <v>0</v>
      </c>
      <c r="AC218" s="4">
        <f>$M$218*$W$218</f>
        <v>1679.9711</v>
      </c>
      <c r="AD218" s="4">
        <f>$O$218*$X$218</f>
        <v>5886.0387499999997</v>
      </c>
      <c r="AE218" s="4">
        <f>$K$218*$Y$218</f>
        <v>0</v>
      </c>
      <c r="AF218" s="4">
        <f ca="1">$M$218*$Z$218</f>
        <v>2429.6609122846767</v>
      </c>
      <c r="AG218" s="4">
        <f>$O$218*$AA$218</f>
        <v>4802.8834610522581</v>
      </c>
    </row>
    <row r="219" spans="1:33" ht="11.25" customHeight="1" x14ac:dyDescent="0.25">
      <c r="A219" s="3" t="s">
        <v>21</v>
      </c>
      <c r="B219" s="3" t="s">
        <v>35</v>
      </c>
      <c r="C219" s="3" t="s">
        <v>36</v>
      </c>
      <c r="D219" s="3" t="s">
        <v>34</v>
      </c>
      <c r="E219" s="3" t="s">
        <v>25</v>
      </c>
      <c r="F219" s="3" t="s">
        <v>25</v>
      </c>
      <c r="G219" s="3" t="s">
        <v>25</v>
      </c>
      <c r="H219" s="3" t="s">
        <v>38</v>
      </c>
      <c r="I219" s="6">
        <v>44593</v>
      </c>
      <c r="J219" s="4">
        <v>0</v>
      </c>
      <c r="K219" s="4">
        <v>0</v>
      </c>
      <c r="L219" s="4">
        <v>3134.6329999999998</v>
      </c>
      <c r="M219" s="4">
        <v>3134.6329999999998</v>
      </c>
      <c r="N219" s="4">
        <v>3134.6329999999998</v>
      </c>
      <c r="O219" s="4">
        <v>3134.6329999999998</v>
      </c>
      <c r="P219" s="4">
        <v>0</v>
      </c>
      <c r="Q219" s="3" t="s">
        <v>26</v>
      </c>
      <c r="R219" s="3">
        <v>0</v>
      </c>
      <c r="S219" s="4">
        <v>0</v>
      </c>
      <c r="T219" s="4">
        <v>13</v>
      </c>
      <c r="U219" s="4">
        <v>69</v>
      </c>
      <c r="V219" s="4">
        <f>IF(ISERROR(VLOOKUP($S$219,'TAR FIN'!$A$1:$O$91,15,0)),0,VLOOKUP($S$219,'TAR FIN'!$A$1:$O$91,15,0))</f>
        <v>0</v>
      </c>
      <c r="W219" s="4">
        <f>IF(ISERROR(VLOOKUP($T$219,'TAR FIN'!$A$1:$O$91,15,0)),0,VLOOKUP($T$219,'TAR FIN'!$A$1:$O$91,15,0))</f>
        <v>71.14</v>
      </c>
      <c r="X219" s="4">
        <f>IF(ISERROR(VLOOKUP($U$219,'TAR FIN'!$A$1:$O$91,15,0)),0,VLOOKUP($U$219,'TAR FIN'!$A$1:$O$91,15,0))</f>
        <v>249.25</v>
      </c>
      <c r="Y219" s="4"/>
      <c r="Z219" s="4">
        <f ca="1">('TUSD BE'!$AM$15+'TUSD BF'!$AM$15+'TUSD CVA'!$AM$15)*1</f>
        <v>102.88633971139855</v>
      </c>
      <c r="AA219" s="4">
        <f>('TE BE'!$AB$6+'TE BF'!$AB$6+'TE CVA'!$AB$6)*1</f>
        <v>203.38274236935246</v>
      </c>
      <c r="AB219" s="4">
        <f>$K$219*$V$219</f>
        <v>0</v>
      </c>
      <c r="AC219" s="4">
        <f>$M$219*$W$219</f>
        <v>222997.79161999997</v>
      </c>
      <c r="AD219" s="4">
        <f>$O$219*$X$219</f>
        <v>781307.27524999995</v>
      </c>
      <c r="AE219" s="4">
        <f>$K$219*$Y$219</f>
        <v>0</v>
      </c>
      <c r="AF219" s="4">
        <f ca="1">$M$219*$Z$219</f>
        <v>322510.91570856032</v>
      </c>
      <c r="AG219" s="4">
        <f>$O$219*$AA$219</f>
        <v>637530.25586147036</v>
      </c>
    </row>
    <row r="220" spans="1:33" ht="11.25" customHeight="1" x14ac:dyDescent="0.25">
      <c r="A220" s="3" t="s">
        <v>28</v>
      </c>
      <c r="B220" s="3" t="s">
        <v>35</v>
      </c>
      <c r="C220" s="3" t="s">
        <v>36</v>
      </c>
      <c r="D220" s="3" t="s">
        <v>34</v>
      </c>
      <c r="E220" s="3" t="s">
        <v>25</v>
      </c>
      <c r="F220" s="3" t="s">
        <v>25</v>
      </c>
      <c r="G220" s="3" t="s">
        <v>25</v>
      </c>
      <c r="H220" s="3" t="s">
        <v>38</v>
      </c>
      <c r="I220" s="6">
        <v>44593</v>
      </c>
      <c r="J220" s="4">
        <v>0</v>
      </c>
      <c r="K220" s="4">
        <v>0</v>
      </c>
      <c r="L220" s="4">
        <v>32.112000000000002</v>
      </c>
      <c r="M220" s="4">
        <v>32.112000000000002</v>
      </c>
      <c r="N220" s="4">
        <v>32.112000000000002</v>
      </c>
      <c r="O220" s="4">
        <v>32.112000000000002</v>
      </c>
      <c r="P220" s="4">
        <v>0</v>
      </c>
      <c r="Q220" s="3" t="s">
        <v>26</v>
      </c>
      <c r="R220" s="3">
        <v>0</v>
      </c>
      <c r="S220" s="4">
        <v>0</v>
      </c>
      <c r="T220" s="4">
        <v>13</v>
      </c>
      <c r="U220" s="4">
        <v>69</v>
      </c>
      <c r="V220" s="4">
        <f>IF(ISERROR(VLOOKUP($S$220,'TAR FIN'!$A$1:$O$91,15,0)),0,VLOOKUP($S$220,'TAR FIN'!$A$1:$O$91,15,0))</f>
        <v>0</v>
      </c>
      <c r="W220" s="4">
        <f>IF(ISERROR(VLOOKUP($T$220,'TAR FIN'!$A$1:$O$91,15,0)),0,VLOOKUP($T$220,'TAR FIN'!$A$1:$O$91,15,0))</f>
        <v>71.14</v>
      </c>
      <c r="X220" s="4">
        <f>IF(ISERROR(VLOOKUP($U$220,'TAR FIN'!$A$1:$O$91,15,0)),0,VLOOKUP($U$220,'TAR FIN'!$A$1:$O$91,15,0))</f>
        <v>249.25</v>
      </c>
      <c r="Y220" s="4"/>
      <c r="Z220" s="4">
        <f ca="1">('TUSD BE'!$AM$15+'TUSD BF'!$AM$15+'TUSD CVA'!$AM$15)*1</f>
        <v>102.88633971139855</v>
      </c>
      <c r="AA220" s="4">
        <f>('TE BE'!$AB$6+'TE BF'!$AB$6+'TE CVA'!$AB$6)*1</f>
        <v>203.38274236935246</v>
      </c>
      <c r="AB220" s="4">
        <f>$K$220*$V$220</f>
        <v>0</v>
      </c>
      <c r="AC220" s="4">
        <f>$M$220*$W$220</f>
        <v>2284.4476800000002</v>
      </c>
      <c r="AD220" s="4">
        <f>$O$220*$X$220</f>
        <v>8003.9160000000002</v>
      </c>
      <c r="AE220" s="4">
        <f>$K$220*$Y$220</f>
        <v>0</v>
      </c>
      <c r="AF220" s="4">
        <f ca="1">$M$220*$Z$220</f>
        <v>3303.8861408124303</v>
      </c>
      <c r="AG220" s="4">
        <f>$O$220*$AA$220</f>
        <v>6531.0266229646468</v>
      </c>
    </row>
    <row r="221" spans="1:33" ht="11.25" customHeight="1" x14ac:dyDescent="0.25">
      <c r="A221" s="3" t="s">
        <v>21</v>
      </c>
      <c r="B221" s="3" t="s">
        <v>35</v>
      </c>
      <c r="C221" s="3" t="s">
        <v>36</v>
      </c>
      <c r="D221" s="3" t="s">
        <v>34</v>
      </c>
      <c r="E221" s="3" t="s">
        <v>25</v>
      </c>
      <c r="F221" s="3" t="s">
        <v>25</v>
      </c>
      <c r="G221" s="3" t="s">
        <v>25</v>
      </c>
      <c r="H221" s="3" t="s">
        <v>38</v>
      </c>
      <c r="I221" s="6">
        <v>44621</v>
      </c>
      <c r="J221" s="4">
        <v>0</v>
      </c>
      <c r="K221" s="4">
        <v>0</v>
      </c>
      <c r="L221" s="4">
        <v>3319.9679999999998</v>
      </c>
      <c r="M221" s="4">
        <v>3319.9679999999998</v>
      </c>
      <c r="N221" s="4">
        <v>3319.9679999999998</v>
      </c>
      <c r="O221" s="4">
        <v>3319.9679999999998</v>
      </c>
      <c r="P221" s="4">
        <v>0</v>
      </c>
      <c r="Q221" s="3" t="s">
        <v>26</v>
      </c>
      <c r="R221" s="3">
        <v>0</v>
      </c>
      <c r="S221" s="4">
        <v>0</v>
      </c>
      <c r="T221" s="4">
        <v>13</v>
      </c>
      <c r="U221" s="4">
        <v>69</v>
      </c>
      <c r="V221" s="4">
        <f>IF(ISERROR(VLOOKUP($S$221,'TAR FIN'!$A$1:$O$91,15,0)),0,VLOOKUP($S$221,'TAR FIN'!$A$1:$O$91,15,0))</f>
        <v>0</v>
      </c>
      <c r="W221" s="4">
        <f>IF(ISERROR(VLOOKUP($T$221,'TAR FIN'!$A$1:$O$91,15,0)),0,VLOOKUP($T$221,'TAR FIN'!$A$1:$O$91,15,0))</f>
        <v>71.14</v>
      </c>
      <c r="X221" s="4">
        <f>IF(ISERROR(VLOOKUP($U$221,'TAR FIN'!$A$1:$O$91,15,0)),0,VLOOKUP($U$221,'TAR FIN'!$A$1:$O$91,15,0))</f>
        <v>249.25</v>
      </c>
      <c r="Y221" s="4"/>
      <c r="Z221" s="4">
        <f ca="1">('TUSD BE'!$AM$15+'TUSD BF'!$AM$15+'TUSD CVA'!$AM$15)*1</f>
        <v>102.88633971139855</v>
      </c>
      <c r="AA221" s="4">
        <f>('TE BE'!$AB$6+'TE BF'!$AB$6+'TE CVA'!$AB$6)*1</f>
        <v>203.38274236935246</v>
      </c>
      <c r="AB221" s="4">
        <f>$K$221*$V$221</f>
        <v>0</v>
      </c>
      <c r="AC221" s="4">
        <f>$M$221*$W$221</f>
        <v>236182.52351999999</v>
      </c>
      <c r="AD221" s="4">
        <f>$O$221*$X$221</f>
        <v>827502.02399999998</v>
      </c>
      <c r="AE221" s="4">
        <f>$K$221*$Y$221</f>
        <v>0</v>
      </c>
      <c r="AF221" s="4">
        <f ca="1">$M$221*$Z$221</f>
        <v>341579.35547897243</v>
      </c>
      <c r="AG221" s="4">
        <f>$O$221*$AA$221</f>
        <v>675224.19641849434</v>
      </c>
    </row>
    <row r="222" spans="1:33" ht="11.25" customHeight="1" x14ac:dyDescent="0.25">
      <c r="A222" s="3" t="s">
        <v>28</v>
      </c>
      <c r="B222" s="3" t="s">
        <v>35</v>
      </c>
      <c r="C222" s="3" t="s">
        <v>36</v>
      </c>
      <c r="D222" s="3" t="s">
        <v>34</v>
      </c>
      <c r="E222" s="3" t="s">
        <v>25</v>
      </c>
      <c r="F222" s="3" t="s">
        <v>25</v>
      </c>
      <c r="G222" s="3" t="s">
        <v>25</v>
      </c>
      <c r="H222" s="3" t="s">
        <v>38</v>
      </c>
      <c r="I222" s="6">
        <v>44621</v>
      </c>
      <c r="J222" s="4">
        <v>0</v>
      </c>
      <c r="K222" s="4">
        <v>0</v>
      </c>
      <c r="L222" s="4">
        <v>54.151000000000003</v>
      </c>
      <c r="M222" s="4">
        <v>54.151000000000003</v>
      </c>
      <c r="N222" s="4">
        <v>54.151000000000003</v>
      </c>
      <c r="O222" s="4">
        <v>54.151000000000003</v>
      </c>
      <c r="P222" s="4">
        <v>0</v>
      </c>
      <c r="Q222" s="3" t="s">
        <v>26</v>
      </c>
      <c r="R222" s="3">
        <v>0</v>
      </c>
      <c r="S222" s="4">
        <v>0</v>
      </c>
      <c r="T222" s="4">
        <v>13</v>
      </c>
      <c r="U222" s="4">
        <v>69</v>
      </c>
      <c r="V222" s="4">
        <f>IF(ISERROR(VLOOKUP($S$222,'TAR FIN'!$A$1:$O$91,15,0)),0,VLOOKUP($S$222,'TAR FIN'!$A$1:$O$91,15,0))</f>
        <v>0</v>
      </c>
      <c r="W222" s="4">
        <f>IF(ISERROR(VLOOKUP($T$222,'TAR FIN'!$A$1:$O$91,15,0)),0,VLOOKUP($T$222,'TAR FIN'!$A$1:$O$91,15,0))</f>
        <v>71.14</v>
      </c>
      <c r="X222" s="4">
        <f>IF(ISERROR(VLOOKUP($U$222,'TAR FIN'!$A$1:$O$91,15,0)),0,VLOOKUP($U$222,'TAR FIN'!$A$1:$O$91,15,0))</f>
        <v>249.25</v>
      </c>
      <c r="Y222" s="4"/>
      <c r="Z222" s="4">
        <f ca="1">('TUSD BE'!$AM$15+'TUSD BF'!$AM$15+'TUSD CVA'!$AM$15)*1</f>
        <v>102.88633971139855</v>
      </c>
      <c r="AA222" s="4">
        <f>('TE BE'!$AB$6+'TE BF'!$AB$6+'TE CVA'!$AB$6)*1</f>
        <v>203.38274236935246</v>
      </c>
      <c r="AB222" s="4">
        <f>$K$222*$V$222</f>
        <v>0</v>
      </c>
      <c r="AC222" s="4">
        <f>$M$222*$W$222</f>
        <v>3852.3021400000002</v>
      </c>
      <c r="AD222" s="4">
        <f>$O$222*$X$222</f>
        <v>13497.136750000001</v>
      </c>
      <c r="AE222" s="4">
        <f>$K$222*$Y$222</f>
        <v>0</v>
      </c>
      <c r="AF222" s="4">
        <f ca="1">$M$222*$Z$222</f>
        <v>5571.3981817119429</v>
      </c>
      <c r="AG222" s="4">
        <f>$O$222*$AA$222</f>
        <v>11013.378882042805</v>
      </c>
    </row>
    <row r="223" spans="1:33" ht="11.25" customHeight="1" x14ac:dyDescent="0.25">
      <c r="A223" s="3" t="s">
        <v>21</v>
      </c>
      <c r="B223" s="3" t="s">
        <v>35</v>
      </c>
      <c r="C223" s="3" t="s">
        <v>36</v>
      </c>
      <c r="D223" s="3" t="s">
        <v>34</v>
      </c>
      <c r="E223" s="3" t="s">
        <v>25</v>
      </c>
      <c r="F223" s="3" t="s">
        <v>25</v>
      </c>
      <c r="G223" s="3" t="s">
        <v>25</v>
      </c>
      <c r="H223" s="3" t="s">
        <v>38</v>
      </c>
      <c r="I223" s="6">
        <v>44652</v>
      </c>
      <c r="J223" s="4">
        <v>0</v>
      </c>
      <c r="K223" s="4">
        <v>0</v>
      </c>
      <c r="L223" s="4">
        <v>2904.549</v>
      </c>
      <c r="M223" s="4">
        <v>2904.549</v>
      </c>
      <c r="N223" s="4">
        <v>2904.549</v>
      </c>
      <c r="O223" s="4">
        <v>2904.549</v>
      </c>
      <c r="P223" s="4">
        <v>0</v>
      </c>
      <c r="Q223" s="3" t="s">
        <v>26</v>
      </c>
      <c r="R223" s="3">
        <v>0</v>
      </c>
      <c r="S223" s="4">
        <v>0</v>
      </c>
      <c r="T223" s="4">
        <v>13</v>
      </c>
      <c r="U223" s="4">
        <v>69</v>
      </c>
      <c r="V223" s="4">
        <f>IF(ISERROR(VLOOKUP($S$223,'TAR FIN'!$A$1:$O$91,15,0)),0,VLOOKUP($S$223,'TAR FIN'!$A$1:$O$91,15,0))</f>
        <v>0</v>
      </c>
      <c r="W223" s="4">
        <f>IF(ISERROR(VLOOKUP($T$223,'TAR FIN'!$A$1:$O$91,15,0)),0,VLOOKUP($T$223,'TAR FIN'!$A$1:$O$91,15,0))</f>
        <v>71.14</v>
      </c>
      <c r="X223" s="4">
        <f>IF(ISERROR(VLOOKUP($U$223,'TAR FIN'!$A$1:$O$91,15,0)),0,VLOOKUP($U$223,'TAR FIN'!$A$1:$O$91,15,0))</f>
        <v>249.25</v>
      </c>
      <c r="Y223" s="4"/>
      <c r="Z223" s="4">
        <f ca="1">('TUSD BE'!$AM$15+'TUSD BF'!$AM$15+'TUSD CVA'!$AM$15)*1</f>
        <v>102.88633971139855</v>
      </c>
      <c r="AA223" s="4">
        <f>('TE BE'!$AB$6+'TE BF'!$AB$6+'TE CVA'!$AB$6)*1</f>
        <v>203.38274236935246</v>
      </c>
      <c r="AB223" s="4">
        <f>$K$223*$V$223</f>
        <v>0</v>
      </c>
      <c r="AC223" s="4">
        <f>$M$223*$W$223</f>
        <v>206629.61585999999</v>
      </c>
      <c r="AD223" s="4">
        <f>$O$223*$X$223</f>
        <v>723958.83825000003</v>
      </c>
      <c r="AE223" s="4">
        <f>$K$223*$Y$223</f>
        <v>0</v>
      </c>
      <c r="AF223" s="4">
        <f ca="1">$M$223*$Z$223</f>
        <v>298838.41512240295</v>
      </c>
      <c r="AG223" s="4">
        <f>$O$223*$AA$223</f>
        <v>590735.14096616034</v>
      </c>
    </row>
    <row r="224" spans="1:33" ht="11.25" customHeight="1" x14ac:dyDescent="0.25">
      <c r="A224" s="3" t="s">
        <v>28</v>
      </c>
      <c r="B224" s="3" t="s">
        <v>35</v>
      </c>
      <c r="C224" s="3" t="s">
        <v>36</v>
      </c>
      <c r="D224" s="3" t="s">
        <v>34</v>
      </c>
      <c r="E224" s="3" t="s">
        <v>25</v>
      </c>
      <c r="F224" s="3" t="s">
        <v>25</v>
      </c>
      <c r="G224" s="3" t="s">
        <v>25</v>
      </c>
      <c r="H224" s="3" t="s">
        <v>38</v>
      </c>
      <c r="I224" s="6">
        <v>44652</v>
      </c>
      <c r="J224" s="4">
        <v>0</v>
      </c>
      <c r="K224" s="4">
        <v>0</v>
      </c>
      <c r="L224" s="4">
        <v>51.328000000000003</v>
      </c>
      <c r="M224" s="4">
        <v>51.328000000000003</v>
      </c>
      <c r="N224" s="4">
        <v>51.328000000000003</v>
      </c>
      <c r="O224" s="4">
        <v>51.328000000000003</v>
      </c>
      <c r="P224" s="4">
        <v>0</v>
      </c>
      <c r="Q224" s="3" t="s">
        <v>26</v>
      </c>
      <c r="R224" s="3">
        <v>0</v>
      </c>
      <c r="S224" s="4">
        <v>0</v>
      </c>
      <c r="T224" s="4">
        <v>13</v>
      </c>
      <c r="U224" s="4">
        <v>69</v>
      </c>
      <c r="V224" s="4">
        <f>IF(ISERROR(VLOOKUP($S$224,'TAR FIN'!$A$1:$O$91,15,0)),0,VLOOKUP($S$224,'TAR FIN'!$A$1:$O$91,15,0))</f>
        <v>0</v>
      </c>
      <c r="W224" s="4">
        <f>IF(ISERROR(VLOOKUP($T$224,'TAR FIN'!$A$1:$O$91,15,0)),0,VLOOKUP($T$224,'TAR FIN'!$A$1:$O$91,15,0))</f>
        <v>71.14</v>
      </c>
      <c r="X224" s="4">
        <f>IF(ISERROR(VLOOKUP($U$224,'TAR FIN'!$A$1:$O$91,15,0)),0,VLOOKUP($U$224,'TAR FIN'!$A$1:$O$91,15,0))</f>
        <v>249.25</v>
      </c>
      <c r="Y224" s="4"/>
      <c r="Z224" s="4">
        <f ca="1">('TUSD BE'!$AM$15+'TUSD BF'!$AM$15+'TUSD CVA'!$AM$15)*1</f>
        <v>102.88633971139855</v>
      </c>
      <c r="AA224" s="4">
        <f>('TE BE'!$AB$6+'TE BF'!$AB$6+'TE CVA'!$AB$6)*1</f>
        <v>203.38274236935246</v>
      </c>
      <c r="AB224" s="4">
        <f>$K$224*$V$224</f>
        <v>0</v>
      </c>
      <c r="AC224" s="4">
        <f>$M$224*$W$224</f>
        <v>3651.4739200000004</v>
      </c>
      <c r="AD224" s="4">
        <f>$O$224*$X$224</f>
        <v>12793.504000000001</v>
      </c>
      <c r="AE224" s="4">
        <f>$K$224*$Y$224</f>
        <v>0</v>
      </c>
      <c r="AF224" s="4">
        <f ca="1">$M$224*$Z$224</f>
        <v>5280.9500447066648</v>
      </c>
      <c r="AG224" s="4">
        <f>$O$224*$AA$224</f>
        <v>10439.229400334123</v>
      </c>
    </row>
    <row r="225" spans="1:33" ht="11.25" customHeight="1" x14ac:dyDescent="0.25">
      <c r="A225" s="3" t="s">
        <v>21</v>
      </c>
      <c r="B225" s="3" t="s">
        <v>35</v>
      </c>
      <c r="C225" s="3" t="s">
        <v>36</v>
      </c>
      <c r="D225" s="3" t="s">
        <v>34</v>
      </c>
      <c r="E225" s="3" t="s">
        <v>25</v>
      </c>
      <c r="F225" s="3" t="s">
        <v>25</v>
      </c>
      <c r="G225" s="3" t="s">
        <v>25</v>
      </c>
      <c r="H225" s="3" t="s">
        <v>38</v>
      </c>
      <c r="I225" s="6">
        <v>44682</v>
      </c>
      <c r="J225" s="4">
        <v>0</v>
      </c>
      <c r="K225" s="4">
        <v>0</v>
      </c>
      <c r="L225" s="4">
        <v>3033.93</v>
      </c>
      <c r="M225" s="4">
        <v>3033.93</v>
      </c>
      <c r="N225" s="4">
        <v>3033.93</v>
      </c>
      <c r="O225" s="4">
        <v>3033.93</v>
      </c>
      <c r="P225" s="4">
        <v>0</v>
      </c>
      <c r="Q225" s="3" t="s">
        <v>26</v>
      </c>
      <c r="R225" s="3">
        <v>0</v>
      </c>
      <c r="S225" s="4">
        <v>0</v>
      </c>
      <c r="T225" s="4">
        <v>13</v>
      </c>
      <c r="U225" s="4">
        <v>69</v>
      </c>
      <c r="V225" s="4">
        <f>IF(ISERROR(VLOOKUP($S$225,'TAR FIN'!$A$1:$O$91,15,0)),0,VLOOKUP($S$225,'TAR FIN'!$A$1:$O$91,15,0))</f>
        <v>0</v>
      </c>
      <c r="W225" s="4">
        <f>IF(ISERROR(VLOOKUP($T$225,'TAR FIN'!$A$1:$O$91,15,0)),0,VLOOKUP($T$225,'TAR FIN'!$A$1:$O$91,15,0))</f>
        <v>71.14</v>
      </c>
      <c r="X225" s="4">
        <f>IF(ISERROR(VLOOKUP($U$225,'TAR FIN'!$A$1:$O$91,15,0)),0,VLOOKUP($U$225,'TAR FIN'!$A$1:$O$91,15,0))</f>
        <v>249.25</v>
      </c>
      <c r="Y225" s="4"/>
      <c r="Z225" s="4">
        <f ca="1">('TUSD BE'!$AM$15+'TUSD BF'!$AM$15+'TUSD CVA'!$AM$15)*1</f>
        <v>102.88633971139855</v>
      </c>
      <c r="AA225" s="4">
        <f>('TE BE'!$AB$6+'TE BF'!$AB$6+'TE CVA'!$AB$6)*1</f>
        <v>203.38274236935246</v>
      </c>
      <c r="AB225" s="4">
        <f>$K$225*$V$225</f>
        <v>0</v>
      </c>
      <c r="AC225" s="4">
        <f>$M$225*$W$225</f>
        <v>215833.78019999998</v>
      </c>
      <c r="AD225" s="4">
        <f>$O$225*$X$225</f>
        <v>756207.05249999999</v>
      </c>
      <c r="AE225" s="4">
        <f>$K$225*$Y$225</f>
        <v>0</v>
      </c>
      <c r="AF225" s="4">
        <f ca="1">$M$225*$Z$225</f>
        <v>312149.95264060335</v>
      </c>
      <c r="AG225" s="4">
        <f>$O$225*$AA$225</f>
        <v>617049.00355664943</v>
      </c>
    </row>
    <row r="226" spans="1:33" ht="11.25" customHeight="1" x14ac:dyDescent="0.25">
      <c r="A226" s="3" t="s">
        <v>28</v>
      </c>
      <c r="B226" s="3" t="s">
        <v>35</v>
      </c>
      <c r="C226" s="3" t="s">
        <v>36</v>
      </c>
      <c r="D226" s="3" t="s">
        <v>34</v>
      </c>
      <c r="E226" s="3" t="s">
        <v>25</v>
      </c>
      <c r="F226" s="3" t="s">
        <v>25</v>
      </c>
      <c r="G226" s="3" t="s">
        <v>25</v>
      </c>
      <c r="H226" s="3" t="s">
        <v>38</v>
      </c>
      <c r="I226" s="6">
        <v>44682</v>
      </c>
      <c r="J226" s="4">
        <v>0</v>
      </c>
      <c r="K226" s="4">
        <v>0</v>
      </c>
      <c r="L226" s="4">
        <v>42.043999999999997</v>
      </c>
      <c r="M226" s="4">
        <v>42.043999999999997</v>
      </c>
      <c r="N226" s="4">
        <v>42.043999999999997</v>
      </c>
      <c r="O226" s="4">
        <v>42.043999999999997</v>
      </c>
      <c r="P226" s="4">
        <v>0</v>
      </c>
      <c r="Q226" s="3" t="s">
        <v>26</v>
      </c>
      <c r="R226" s="3">
        <v>0</v>
      </c>
      <c r="S226" s="4">
        <v>0</v>
      </c>
      <c r="T226" s="4">
        <v>13</v>
      </c>
      <c r="U226" s="4">
        <v>69</v>
      </c>
      <c r="V226" s="4">
        <f>IF(ISERROR(VLOOKUP($S$226,'TAR FIN'!$A$1:$O$91,15,0)),0,VLOOKUP($S$226,'TAR FIN'!$A$1:$O$91,15,0))</f>
        <v>0</v>
      </c>
      <c r="W226" s="4">
        <f>IF(ISERROR(VLOOKUP($T$226,'TAR FIN'!$A$1:$O$91,15,0)),0,VLOOKUP($T$226,'TAR FIN'!$A$1:$O$91,15,0))</f>
        <v>71.14</v>
      </c>
      <c r="X226" s="4">
        <f>IF(ISERROR(VLOOKUP($U$226,'TAR FIN'!$A$1:$O$91,15,0)),0,VLOOKUP($U$226,'TAR FIN'!$A$1:$O$91,15,0))</f>
        <v>249.25</v>
      </c>
      <c r="Y226" s="4"/>
      <c r="Z226" s="4">
        <f ca="1">('TUSD BE'!$AM$15+'TUSD BF'!$AM$15+'TUSD CVA'!$AM$15)*1</f>
        <v>102.88633971139855</v>
      </c>
      <c r="AA226" s="4">
        <f>('TE BE'!$AB$6+'TE BF'!$AB$6+'TE CVA'!$AB$6)*1</f>
        <v>203.38274236935246</v>
      </c>
      <c r="AB226" s="4">
        <f>$K$226*$V$226</f>
        <v>0</v>
      </c>
      <c r="AC226" s="4">
        <f>$M$226*$W$226</f>
        <v>2991.0101599999998</v>
      </c>
      <c r="AD226" s="4">
        <f>$O$226*$X$226</f>
        <v>10479.466999999999</v>
      </c>
      <c r="AE226" s="4">
        <f>$K$226*$Y$226</f>
        <v>0</v>
      </c>
      <c r="AF226" s="4">
        <f ca="1">$M$226*$Z$226</f>
        <v>4325.7532668260401</v>
      </c>
      <c r="AG226" s="4">
        <f>$O$226*$AA$226</f>
        <v>8551.0240201770539</v>
      </c>
    </row>
    <row r="227" spans="1:33" ht="11.25" customHeight="1" x14ac:dyDescent="0.25">
      <c r="A227" s="3" t="s">
        <v>21</v>
      </c>
      <c r="B227" s="3" t="s">
        <v>35</v>
      </c>
      <c r="C227" s="3" t="s">
        <v>36</v>
      </c>
      <c r="D227" s="3" t="s">
        <v>34</v>
      </c>
      <c r="E227" s="3" t="s">
        <v>25</v>
      </c>
      <c r="F227" s="3" t="s">
        <v>25</v>
      </c>
      <c r="G227" s="3" t="s">
        <v>25</v>
      </c>
      <c r="H227" s="3" t="s">
        <v>38</v>
      </c>
      <c r="I227" s="6">
        <v>44713</v>
      </c>
      <c r="J227" s="4">
        <v>0</v>
      </c>
      <c r="K227" s="4">
        <v>0</v>
      </c>
      <c r="L227" s="4">
        <v>3103.0410000000002</v>
      </c>
      <c r="M227" s="4">
        <v>3103.0410000000002</v>
      </c>
      <c r="N227" s="4">
        <v>3103.0410000000002</v>
      </c>
      <c r="O227" s="4">
        <v>3103.0410000000002</v>
      </c>
      <c r="P227" s="4">
        <v>0</v>
      </c>
      <c r="Q227" s="3" t="s">
        <v>26</v>
      </c>
      <c r="R227" s="3">
        <v>0</v>
      </c>
      <c r="S227" s="4">
        <v>0</v>
      </c>
      <c r="T227" s="4">
        <v>13</v>
      </c>
      <c r="U227" s="4">
        <v>69</v>
      </c>
      <c r="V227" s="4">
        <f>IF(ISERROR(VLOOKUP($S$227,'TAR FIN'!$A$1:$O$91,15,0)),0,VLOOKUP($S$227,'TAR FIN'!$A$1:$O$91,15,0))</f>
        <v>0</v>
      </c>
      <c r="W227" s="4">
        <f>IF(ISERROR(VLOOKUP($T$227,'TAR FIN'!$A$1:$O$91,15,0)),0,VLOOKUP($T$227,'TAR FIN'!$A$1:$O$91,15,0))</f>
        <v>71.14</v>
      </c>
      <c r="X227" s="4">
        <f>IF(ISERROR(VLOOKUP($U$227,'TAR FIN'!$A$1:$O$91,15,0)),0,VLOOKUP($U$227,'TAR FIN'!$A$1:$O$91,15,0))</f>
        <v>249.25</v>
      </c>
      <c r="Y227" s="4"/>
      <c r="Z227" s="4">
        <f ca="1">('TUSD BE'!$AM$15+'TUSD BF'!$AM$15+'TUSD CVA'!$AM$15)*1</f>
        <v>102.88633971139855</v>
      </c>
      <c r="AA227" s="4">
        <f>('TE BE'!$AB$6+'TE BF'!$AB$6+'TE CVA'!$AB$6)*1</f>
        <v>203.38274236935246</v>
      </c>
      <c r="AB227" s="4">
        <f>$K$227*$V$227</f>
        <v>0</v>
      </c>
      <c r="AC227" s="4">
        <f>$M$227*$W$227</f>
        <v>220750.33674000003</v>
      </c>
      <c r="AD227" s="4">
        <f>$O$227*$X$227</f>
        <v>773432.96925000008</v>
      </c>
      <c r="AE227" s="4">
        <f>$K$227*$Y$227</f>
        <v>0</v>
      </c>
      <c r="AF227" s="4">
        <f ca="1">$M$227*$Z$227</f>
        <v>319260.53046439786</v>
      </c>
      <c r="AG227" s="4">
        <f>$O$227*$AA$227</f>
        <v>631104.98826453788</v>
      </c>
    </row>
    <row r="228" spans="1:33" ht="11.25" customHeight="1" x14ac:dyDescent="0.25">
      <c r="A228" s="3" t="s">
        <v>28</v>
      </c>
      <c r="B228" s="3" t="s">
        <v>35</v>
      </c>
      <c r="C228" s="3" t="s">
        <v>36</v>
      </c>
      <c r="D228" s="3" t="s">
        <v>34</v>
      </c>
      <c r="E228" s="3" t="s">
        <v>25</v>
      </c>
      <c r="F228" s="3" t="s">
        <v>25</v>
      </c>
      <c r="G228" s="3" t="s">
        <v>25</v>
      </c>
      <c r="H228" s="3" t="s">
        <v>38</v>
      </c>
      <c r="I228" s="6">
        <v>44713</v>
      </c>
      <c r="J228" s="4">
        <v>0</v>
      </c>
      <c r="K228" s="4">
        <v>0</v>
      </c>
      <c r="L228" s="4">
        <v>47.524999999999999</v>
      </c>
      <c r="M228" s="4">
        <v>47.524999999999999</v>
      </c>
      <c r="N228" s="4">
        <v>47.524999999999999</v>
      </c>
      <c r="O228" s="4">
        <v>47.524999999999999</v>
      </c>
      <c r="P228" s="4">
        <v>0</v>
      </c>
      <c r="Q228" s="3" t="s">
        <v>26</v>
      </c>
      <c r="R228" s="3">
        <v>0</v>
      </c>
      <c r="S228" s="4">
        <v>0</v>
      </c>
      <c r="T228" s="4">
        <v>13</v>
      </c>
      <c r="U228" s="4">
        <v>69</v>
      </c>
      <c r="V228" s="4">
        <f>IF(ISERROR(VLOOKUP($S$228,'TAR FIN'!$A$1:$O$91,15,0)),0,VLOOKUP($S$228,'TAR FIN'!$A$1:$O$91,15,0))</f>
        <v>0</v>
      </c>
      <c r="W228" s="4">
        <f>IF(ISERROR(VLOOKUP($T$228,'TAR FIN'!$A$1:$O$91,15,0)),0,VLOOKUP($T$228,'TAR FIN'!$A$1:$O$91,15,0))</f>
        <v>71.14</v>
      </c>
      <c r="X228" s="4">
        <f>IF(ISERROR(VLOOKUP($U$228,'TAR FIN'!$A$1:$O$91,15,0)),0,VLOOKUP($U$228,'TAR FIN'!$A$1:$O$91,15,0))</f>
        <v>249.25</v>
      </c>
      <c r="Y228" s="4"/>
      <c r="Z228" s="4">
        <f ca="1">('TUSD BE'!$AM$15+'TUSD BF'!$AM$15+'TUSD CVA'!$AM$15)*1</f>
        <v>102.88633971139855</v>
      </c>
      <c r="AA228" s="4">
        <f>('TE BE'!$AB$6+'TE BF'!$AB$6+'TE CVA'!$AB$6)*1</f>
        <v>203.38274236935246</v>
      </c>
      <c r="AB228" s="4">
        <f>$K$228*$V$228</f>
        <v>0</v>
      </c>
      <c r="AC228" s="4">
        <f>$M$228*$W$228</f>
        <v>3380.9285</v>
      </c>
      <c r="AD228" s="4">
        <f>$O$228*$X$228</f>
        <v>11845.606249999999</v>
      </c>
      <c r="AE228" s="4">
        <f>$K$228*$Y$228</f>
        <v>0</v>
      </c>
      <c r="AF228" s="4">
        <f ca="1">$M$228*$Z$228</f>
        <v>4889.6732947842156</v>
      </c>
      <c r="AG228" s="4">
        <f>$O$228*$AA$228</f>
        <v>9665.7648311034754</v>
      </c>
    </row>
    <row r="229" spans="1:33" ht="11.25" customHeight="1" x14ac:dyDescent="0.25">
      <c r="A229" s="3" t="s">
        <v>21</v>
      </c>
      <c r="B229" s="3" t="s">
        <v>35</v>
      </c>
      <c r="C229" s="3" t="s">
        <v>36</v>
      </c>
      <c r="D229" s="3" t="s">
        <v>34</v>
      </c>
      <c r="E229" s="3" t="s">
        <v>25</v>
      </c>
      <c r="F229" s="3" t="s">
        <v>25</v>
      </c>
      <c r="G229" s="3" t="s">
        <v>25</v>
      </c>
      <c r="H229" s="3" t="s">
        <v>38</v>
      </c>
      <c r="I229" s="6">
        <v>44743</v>
      </c>
      <c r="J229" s="4">
        <v>0</v>
      </c>
      <c r="K229" s="4">
        <v>0</v>
      </c>
      <c r="L229" s="4">
        <v>3133.2829999999999</v>
      </c>
      <c r="M229" s="4">
        <v>3133.2829999999999</v>
      </c>
      <c r="N229" s="4">
        <v>3133.2829999999999</v>
      </c>
      <c r="O229" s="4">
        <v>3133.2829999999999</v>
      </c>
      <c r="P229" s="4">
        <v>0</v>
      </c>
      <c r="Q229" s="3" t="s">
        <v>26</v>
      </c>
      <c r="R229" s="3">
        <v>0</v>
      </c>
      <c r="S229" s="4">
        <v>0</v>
      </c>
      <c r="T229" s="4">
        <v>13</v>
      </c>
      <c r="U229" s="4">
        <v>69</v>
      </c>
      <c r="V229" s="4">
        <f>IF(ISERROR(VLOOKUP($S$229,'TAR FIN'!$A$1:$O$91,15,0)),0,VLOOKUP($S$229,'TAR FIN'!$A$1:$O$91,15,0))</f>
        <v>0</v>
      </c>
      <c r="W229" s="4">
        <f>IF(ISERROR(VLOOKUP($T$229,'TAR FIN'!$A$1:$O$91,15,0)),0,VLOOKUP($T$229,'TAR FIN'!$A$1:$O$91,15,0))</f>
        <v>71.14</v>
      </c>
      <c r="X229" s="4">
        <f>IF(ISERROR(VLOOKUP($U$229,'TAR FIN'!$A$1:$O$91,15,0)),0,VLOOKUP($U$229,'TAR FIN'!$A$1:$O$91,15,0))</f>
        <v>249.25</v>
      </c>
      <c r="Y229" s="4"/>
      <c r="Z229" s="4">
        <f ca="1">('TUSD BE'!$AM$15+'TUSD BF'!$AM$15+'TUSD CVA'!$AM$15)*1</f>
        <v>102.88633971139855</v>
      </c>
      <c r="AA229" s="4">
        <f>('TE BE'!$AB$6+'TE BF'!$AB$6+'TE CVA'!$AB$6)*1</f>
        <v>203.38274236935246</v>
      </c>
      <c r="AB229" s="4">
        <f>$K$229*$V$229</f>
        <v>0</v>
      </c>
      <c r="AC229" s="4">
        <f>$M$229*$W$229</f>
        <v>222901.75261999998</v>
      </c>
      <c r="AD229" s="4">
        <f>$O$229*$X$229</f>
        <v>780970.78775000002</v>
      </c>
      <c r="AE229" s="4">
        <f>$K$229*$Y$229</f>
        <v>0</v>
      </c>
      <c r="AF229" s="4">
        <f ca="1">$M$229*$Z$229</f>
        <v>322372.01914994995</v>
      </c>
      <c r="AG229" s="4">
        <f>$O$229*$AA$229</f>
        <v>637255.68915927177</v>
      </c>
    </row>
    <row r="230" spans="1:33" ht="11.25" customHeight="1" x14ac:dyDescent="0.25">
      <c r="A230" s="3" t="s">
        <v>21</v>
      </c>
      <c r="B230" s="3" t="s">
        <v>35</v>
      </c>
      <c r="C230" s="3" t="s">
        <v>36</v>
      </c>
      <c r="D230" s="3" t="s">
        <v>34</v>
      </c>
      <c r="E230" s="3" t="s">
        <v>25</v>
      </c>
      <c r="F230" s="3" t="s">
        <v>25</v>
      </c>
      <c r="G230" s="3" t="s">
        <v>25</v>
      </c>
      <c r="H230" s="3" t="s">
        <v>38</v>
      </c>
      <c r="I230" s="6">
        <v>44774</v>
      </c>
      <c r="J230" s="4">
        <v>0</v>
      </c>
      <c r="K230" s="4">
        <v>0</v>
      </c>
      <c r="L230" s="4">
        <v>3267.473</v>
      </c>
      <c r="M230" s="4">
        <v>3267.473</v>
      </c>
      <c r="N230" s="4">
        <v>3267.473</v>
      </c>
      <c r="O230" s="4">
        <v>3267.473</v>
      </c>
      <c r="P230" s="4">
        <v>0</v>
      </c>
      <c r="Q230" s="3" t="s">
        <v>26</v>
      </c>
      <c r="R230" s="3">
        <v>0</v>
      </c>
      <c r="S230" s="4">
        <v>0</v>
      </c>
      <c r="T230" s="4">
        <v>13</v>
      </c>
      <c r="U230" s="4">
        <v>69</v>
      </c>
      <c r="V230" s="4">
        <f>IF(ISERROR(VLOOKUP($S$230,'TAR FIN'!$A$1:$O$91,15,0)),0,VLOOKUP($S$230,'TAR FIN'!$A$1:$O$91,15,0))</f>
        <v>0</v>
      </c>
      <c r="W230" s="4">
        <f>IF(ISERROR(VLOOKUP($T$230,'TAR FIN'!$A$1:$O$91,15,0)),0,VLOOKUP($T$230,'TAR FIN'!$A$1:$O$91,15,0))</f>
        <v>71.14</v>
      </c>
      <c r="X230" s="4">
        <f>IF(ISERROR(VLOOKUP($U$230,'TAR FIN'!$A$1:$O$91,15,0)),0,VLOOKUP($U$230,'TAR FIN'!$A$1:$O$91,15,0))</f>
        <v>249.25</v>
      </c>
      <c r="Y230" s="4"/>
      <c r="Z230" s="4">
        <f ca="1">('TUSD BE'!$AM$15+'TUSD BF'!$AM$15+'TUSD CVA'!$AM$15)*1</f>
        <v>102.88633971139855</v>
      </c>
      <c r="AA230" s="4">
        <f>('TE BE'!$AB$6+'TE BF'!$AB$6+'TE CVA'!$AB$6)*1</f>
        <v>203.38274236935246</v>
      </c>
      <c r="AB230" s="4">
        <f>$K$230*$V$230</f>
        <v>0</v>
      </c>
      <c r="AC230" s="4">
        <f>$M$230*$W$230</f>
        <v>232448.02922</v>
      </c>
      <c r="AD230" s="4">
        <f>$O$230*$X$230</f>
        <v>814417.64524999994</v>
      </c>
      <c r="AE230" s="4">
        <f>$K$230*$Y$230</f>
        <v>0</v>
      </c>
      <c r="AF230" s="4">
        <f ca="1">$M$230*$Z$230</f>
        <v>336178.33707582252</v>
      </c>
      <c r="AG230" s="4">
        <f>$O$230*$AA$230</f>
        <v>664547.61935781513</v>
      </c>
    </row>
    <row r="231" spans="1:33" ht="11.25" customHeight="1" x14ac:dyDescent="0.25">
      <c r="A231" s="3" t="s">
        <v>27</v>
      </c>
      <c r="B231" s="3" t="s">
        <v>35</v>
      </c>
      <c r="C231" s="3" t="s">
        <v>36</v>
      </c>
      <c r="D231" s="3" t="s">
        <v>34</v>
      </c>
      <c r="E231" s="3" t="s">
        <v>25</v>
      </c>
      <c r="F231" s="3" t="s">
        <v>25</v>
      </c>
      <c r="G231" s="3" t="s">
        <v>25</v>
      </c>
      <c r="H231" s="3" t="s">
        <v>38</v>
      </c>
      <c r="I231" s="6">
        <v>44774</v>
      </c>
      <c r="J231" s="4">
        <v>0</v>
      </c>
      <c r="K231" s="4">
        <v>0</v>
      </c>
      <c r="L231" s="4">
        <v>-35.652999999999999</v>
      </c>
      <c r="M231" s="4">
        <v>-35.652999999999999</v>
      </c>
      <c r="N231" s="4">
        <v>-35.652999999999999</v>
      </c>
      <c r="O231" s="4">
        <v>-35.652999999999999</v>
      </c>
      <c r="P231" s="4">
        <v>0</v>
      </c>
      <c r="Q231" s="3" t="s">
        <v>26</v>
      </c>
      <c r="R231" s="3">
        <v>0</v>
      </c>
      <c r="S231" s="4">
        <v>0</v>
      </c>
      <c r="T231" s="4">
        <v>13</v>
      </c>
      <c r="U231" s="4">
        <v>69</v>
      </c>
      <c r="V231" s="4">
        <f>IF(ISERROR(VLOOKUP($S$231,'TAR FIN'!$A$1:$O$91,15,0)),0,VLOOKUP($S$231,'TAR FIN'!$A$1:$O$91,15,0))</f>
        <v>0</v>
      </c>
      <c r="W231" s="4">
        <f>IF(ISERROR(VLOOKUP($T$231,'TAR FIN'!$A$1:$O$91,15,0)),0,VLOOKUP($T$231,'TAR FIN'!$A$1:$O$91,15,0))</f>
        <v>71.14</v>
      </c>
      <c r="X231" s="4">
        <f>IF(ISERROR(VLOOKUP($U$231,'TAR FIN'!$A$1:$O$91,15,0)),0,VLOOKUP($U$231,'TAR FIN'!$A$1:$O$91,15,0))</f>
        <v>249.25</v>
      </c>
      <c r="Y231" s="4"/>
      <c r="Z231" s="4">
        <f ca="1">('TUSD BE'!$AM$15+'TUSD BF'!$AM$15+'TUSD CVA'!$AM$15)*1</f>
        <v>102.88633971139855</v>
      </c>
      <c r="AA231" s="4">
        <f>('TE BE'!$AB$6+'TE BF'!$AB$6+'TE CVA'!$AB$6)*1</f>
        <v>203.38274236935246</v>
      </c>
      <c r="AB231" s="4">
        <f>$K$231*$V$231</f>
        <v>0</v>
      </c>
      <c r="AC231" s="4">
        <f>$M$231*$W$231</f>
        <v>-2536.3544200000001</v>
      </c>
      <c r="AD231" s="4">
        <f>$O$231*$X$231</f>
        <v>-8886.5102499999994</v>
      </c>
      <c r="AE231" s="4">
        <f>$K$231*$Y$231</f>
        <v>0</v>
      </c>
      <c r="AF231" s="4">
        <f ca="1">$M$231*$Z$231</f>
        <v>-3668.2066697304922</v>
      </c>
      <c r="AG231" s="4">
        <f>$O$231*$AA$231</f>
        <v>-7251.2049136945225</v>
      </c>
    </row>
    <row r="232" spans="1:33" ht="11.25" customHeight="1" x14ac:dyDescent="0.25">
      <c r="A232" s="3" t="s">
        <v>28</v>
      </c>
      <c r="B232" s="3" t="s">
        <v>35</v>
      </c>
      <c r="C232" s="3" t="s">
        <v>36</v>
      </c>
      <c r="D232" s="3" t="s">
        <v>34</v>
      </c>
      <c r="E232" s="3" t="s">
        <v>25</v>
      </c>
      <c r="F232" s="3" t="s">
        <v>25</v>
      </c>
      <c r="G232" s="3" t="s">
        <v>25</v>
      </c>
      <c r="H232" s="3" t="s">
        <v>38</v>
      </c>
      <c r="I232" s="6">
        <v>44774</v>
      </c>
      <c r="J232" s="4">
        <v>0</v>
      </c>
      <c r="K232" s="4">
        <v>0</v>
      </c>
      <c r="L232" s="4">
        <v>116.622</v>
      </c>
      <c r="M232" s="4">
        <v>116.622</v>
      </c>
      <c r="N232" s="4">
        <v>116.622</v>
      </c>
      <c r="O232" s="4">
        <v>116.622</v>
      </c>
      <c r="P232" s="4">
        <v>0</v>
      </c>
      <c r="Q232" s="3" t="s">
        <v>26</v>
      </c>
      <c r="R232" s="3">
        <v>0</v>
      </c>
      <c r="S232" s="4">
        <v>0</v>
      </c>
      <c r="T232" s="4">
        <v>13</v>
      </c>
      <c r="U232" s="4">
        <v>69</v>
      </c>
      <c r="V232" s="4">
        <f>IF(ISERROR(VLOOKUP($S$232,'TAR FIN'!$A$1:$O$91,15,0)),0,VLOOKUP($S$232,'TAR FIN'!$A$1:$O$91,15,0))</f>
        <v>0</v>
      </c>
      <c r="W232" s="4">
        <f>IF(ISERROR(VLOOKUP($T$232,'TAR FIN'!$A$1:$O$91,15,0)),0,VLOOKUP($T$232,'TAR FIN'!$A$1:$O$91,15,0))</f>
        <v>71.14</v>
      </c>
      <c r="X232" s="4">
        <f>IF(ISERROR(VLOOKUP($U$232,'TAR FIN'!$A$1:$O$91,15,0)),0,VLOOKUP($U$232,'TAR FIN'!$A$1:$O$91,15,0))</f>
        <v>249.25</v>
      </c>
      <c r="Y232" s="4"/>
      <c r="Z232" s="4">
        <f ca="1">('TUSD BE'!$AM$15+'TUSD BF'!$AM$15+'TUSD CVA'!$AM$15)*1</f>
        <v>102.88633971139855</v>
      </c>
      <c r="AA232" s="4">
        <f>('TE BE'!$AB$6+'TE BF'!$AB$6+'TE CVA'!$AB$6)*1</f>
        <v>203.38274236935246</v>
      </c>
      <c r="AB232" s="4">
        <f>$K$232*$V$232</f>
        <v>0</v>
      </c>
      <c r="AC232" s="4">
        <f>$M$232*$W$232</f>
        <v>8296.4890799999994</v>
      </c>
      <c r="AD232" s="4">
        <f>$O$232*$X$232</f>
        <v>29068.033500000001</v>
      </c>
      <c r="AE232" s="4">
        <f>$K$232*$Y$232</f>
        <v>0</v>
      </c>
      <c r="AF232" s="4">
        <f ca="1">$M$232*$Z$232</f>
        <v>11998.810709822721</v>
      </c>
      <c r="AG232" s="4">
        <f>$O$232*$AA$232</f>
        <v>23718.902180598623</v>
      </c>
    </row>
    <row r="233" spans="1:33" ht="11.25" customHeight="1" x14ac:dyDescent="0.25">
      <c r="A233" s="3" t="s">
        <v>21</v>
      </c>
      <c r="B233" s="3" t="s">
        <v>35</v>
      </c>
      <c r="C233" s="3" t="s">
        <v>36</v>
      </c>
      <c r="D233" s="3" t="s">
        <v>34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13463</v>
      </c>
      <c r="K233" s="4">
        <v>13463</v>
      </c>
      <c r="L233" s="4">
        <v>0</v>
      </c>
      <c r="M233" s="4">
        <v>0</v>
      </c>
      <c r="N233" s="4">
        <v>0</v>
      </c>
      <c r="O233" s="4">
        <v>0</v>
      </c>
      <c r="P233" s="4">
        <v>53</v>
      </c>
      <c r="Q233" s="3" t="s">
        <v>26</v>
      </c>
      <c r="R233" s="3">
        <v>0</v>
      </c>
      <c r="S233" s="4">
        <v>9</v>
      </c>
      <c r="T233" s="4">
        <v>0</v>
      </c>
      <c r="U233" s="4">
        <v>0</v>
      </c>
      <c r="V233" s="4">
        <f>IF(ISERROR(VLOOKUP($S$233,'TAR FIN'!$A$1:$O$91,15,0)),0,VLOOKUP($S$233,'TAR FIN'!$A$1:$O$91,15,0))</f>
        <v>18.149999999999999</v>
      </c>
      <c r="W233" s="4">
        <f>IF(ISERROR(VLOOKUP($T$233,'TAR FIN'!$A$1:$O$91,15,0)),0,VLOOKUP($T$233,'TAR FIN'!$A$1:$O$91,15,0))</f>
        <v>0</v>
      </c>
      <c r="X233" s="4">
        <f>IF(ISERROR(VLOOKUP($U$233,'TAR FIN'!$A$1:$O$91,15,0)),0,VLOOKUP($U$233,'TAR FIN'!$A$1:$O$91,15,0))</f>
        <v>0</v>
      </c>
      <c r="Y233" s="4">
        <f ca="1">('TUSD BE'!$AM$13+'TUSD BF'!$AM$13+'TUSD CVA'!$AM$13)*1</f>
        <v>21.278333841554378</v>
      </c>
      <c r="Z233" s="4"/>
      <c r="AA233" s="4"/>
      <c r="AB233" s="4">
        <f>$K$233*$V$233</f>
        <v>244353.44999999998</v>
      </c>
      <c r="AC233" s="4">
        <f>$M$233*$W$233</f>
        <v>0</v>
      </c>
      <c r="AD233" s="4">
        <f>$O$233*$X$233</f>
        <v>0</v>
      </c>
      <c r="AE233" s="4">
        <f ca="1">$K$233*$Y$233</f>
        <v>286470.20850884658</v>
      </c>
      <c r="AF233" s="4">
        <f>$M$233*$Z$233</f>
        <v>0</v>
      </c>
      <c r="AG233" s="4">
        <f>$O$233*$AA$233</f>
        <v>0</v>
      </c>
    </row>
    <row r="234" spans="1:33" ht="11.25" customHeight="1" x14ac:dyDescent="0.25">
      <c r="A234" s="3" t="s">
        <v>28</v>
      </c>
      <c r="B234" s="3" t="s">
        <v>35</v>
      </c>
      <c r="C234" s="3" t="s">
        <v>36</v>
      </c>
      <c r="D234" s="3" t="s">
        <v>34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776</v>
      </c>
      <c r="K234" s="4">
        <v>776</v>
      </c>
      <c r="L234" s="4">
        <v>0</v>
      </c>
      <c r="M234" s="4">
        <v>0</v>
      </c>
      <c r="N234" s="4">
        <v>0</v>
      </c>
      <c r="O234" s="4">
        <v>0</v>
      </c>
      <c r="P234" s="4">
        <v>5</v>
      </c>
      <c r="Q234" s="3" t="s">
        <v>26</v>
      </c>
      <c r="R234" s="3">
        <v>0</v>
      </c>
      <c r="S234" s="4">
        <v>9</v>
      </c>
      <c r="T234" s="4">
        <v>0</v>
      </c>
      <c r="U234" s="4">
        <v>0</v>
      </c>
      <c r="V234" s="4">
        <f>IF(ISERROR(VLOOKUP($S$234,'TAR FIN'!$A$1:$O$91,15,0)),0,VLOOKUP($S$234,'TAR FIN'!$A$1:$O$91,15,0))</f>
        <v>18.149999999999999</v>
      </c>
      <c r="W234" s="4">
        <f>IF(ISERROR(VLOOKUP($T$234,'TAR FIN'!$A$1:$O$91,15,0)),0,VLOOKUP($T$234,'TAR FIN'!$A$1:$O$91,15,0))</f>
        <v>0</v>
      </c>
      <c r="X234" s="4">
        <f>IF(ISERROR(VLOOKUP($U$234,'TAR FIN'!$A$1:$O$91,15,0)),0,VLOOKUP($U$234,'TAR FIN'!$A$1:$O$91,15,0))</f>
        <v>0</v>
      </c>
      <c r="Y234" s="4">
        <f ca="1">('TUSD BE'!$AM$13+'TUSD BF'!$AM$13+'TUSD CVA'!$AM$13)*1</f>
        <v>21.278333841554378</v>
      </c>
      <c r="Z234" s="4"/>
      <c r="AA234" s="4"/>
      <c r="AB234" s="4">
        <f>$K$234*$V$234</f>
        <v>14084.4</v>
      </c>
      <c r="AC234" s="4">
        <f>$M$234*$W$234</f>
        <v>0</v>
      </c>
      <c r="AD234" s="4">
        <f>$O$234*$X$234</f>
        <v>0</v>
      </c>
      <c r="AE234" s="4">
        <f ca="1">$K$234*$Y$234</f>
        <v>16511.987061046199</v>
      </c>
      <c r="AF234" s="4">
        <f>$M$234*$Z$234</f>
        <v>0</v>
      </c>
      <c r="AG234" s="4">
        <f>$O$234*$AA$234</f>
        <v>0</v>
      </c>
    </row>
    <row r="235" spans="1:33" ht="11.25" customHeight="1" x14ac:dyDescent="0.25">
      <c r="A235" s="3" t="s">
        <v>21</v>
      </c>
      <c r="B235" s="3" t="s">
        <v>35</v>
      </c>
      <c r="C235" s="3" t="s">
        <v>36</v>
      </c>
      <c r="D235" s="3" t="s">
        <v>34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13374</v>
      </c>
      <c r="K235" s="4">
        <v>13374</v>
      </c>
      <c r="L235" s="4">
        <v>0</v>
      </c>
      <c r="M235" s="4">
        <v>0</v>
      </c>
      <c r="N235" s="4">
        <v>0</v>
      </c>
      <c r="O235" s="4">
        <v>0</v>
      </c>
      <c r="P235" s="4">
        <v>52</v>
      </c>
      <c r="Q235" s="3" t="s">
        <v>26</v>
      </c>
      <c r="R235" s="3">
        <v>0</v>
      </c>
      <c r="S235" s="4">
        <v>9</v>
      </c>
      <c r="T235" s="4">
        <v>0</v>
      </c>
      <c r="U235" s="4">
        <v>0</v>
      </c>
      <c r="V235" s="4">
        <f>IF(ISERROR(VLOOKUP($S$235,'TAR FIN'!$A$1:$O$91,15,0)),0,VLOOKUP($S$235,'TAR FIN'!$A$1:$O$91,15,0))</f>
        <v>18.149999999999999</v>
      </c>
      <c r="W235" s="4">
        <f>IF(ISERROR(VLOOKUP($T$235,'TAR FIN'!$A$1:$O$91,15,0)),0,VLOOKUP($T$235,'TAR FIN'!$A$1:$O$91,15,0))</f>
        <v>0</v>
      </c>
      <c r="X235" s="4">
        <f>IF(ISERROR(VLOOKUP($U$235,'TAR FIN'!$A$1:$O$91,15,0)),0,VLOOKUP($U$235,'TAR FIN'!$A$1:$O$91,15,0))</f>
        <v>0</v>
      </c>
      <c r="Y235" s="4">
        <f ca="1">('TUSD BE'!$AM$13+'TUSD BF'!$AM$13+'TUSD CVA'!$AM$13)*1</f>
        <v>21.278333841554378</v>
      </c>
      <c r="Z235" s="4"/>
      <c r="AA235" s="4"/>
      <c r="AB235" s="4">
        <f>$K$235*$V$235</f>
        <v>242738.09999999998</v>
      </c>
      <c r="AC235" s="4">
        <f>$M$235*$W$235</f>
        <v>0</v>
      </c>
      <c r="AD235" s="4">
        <f>$O$235*$X$235</f>
        <v>0</v>
      </c>
      <c r="AE235" s="4">
        <f ca="1">$K$235*$Y$235</f>
        <v>284576.43679694826</v>
      </c>
      <c r="AF235" s="4">
        <f>$M$235*$Z$235</f>
        <v>0</v>
      </c>
      <c r="AG235" s="4">
        <f>$O$235*$AA$235</f>
        <v>0</v>
      </c>
    </row>
    <row r="236" spans="1:33" ht="11.25" customHeight="1" x14ac:dyDescent="0.25">
      <c r="A236" s="3" t="s">
        <v>28</v>
      </c>
      <c r="B236" s="3" t="s">
        <v>35</v>
      </c>
      <c r="C236" s="3" t="s">
        <v>36</v>
      </c>
      <c r="D236" s="3" t="s">
        <v>34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946</v>
      </c>
      <c r="K236" s="4">
        <v>946</v>
      </c>
      <c r="L236" s="4">
        <v>0</v>
      </c>
      <c r="M236" s="4">
        <v>0</v>
      </c>
      <c r="N236" s="4">
        <v>0</v>
      </c>
      <c r="O236" s="4">
        <v>0</v>
      </c>
      <c r="P236" s="4">
        <v>6</v>
      </c>
      <c r="Q236" s="3" t="s">
        <v>26</v>
      </c>
      <c r="R236" s="3">
        <v>0</v>
      </c>
      <c r="S236" s="4">
        <v>9</v>
      </c>
      <c r="T236" s="4">
        <v>0</v>
      </c>
      <c r="U236" s="4">
        <v>0</v>
      </c>
      <c r="V236" s="4">
        <f>IF(ISERROR(VLOOKUP($S$236,'TAR FIN'!$A$1:$O$91,15,0)),0,VLOOKUP($S$236,'TAR FIN'!$A$1:$O$91,15,0))</f>
        <v>18.149999999999999</v>
      </c>
      <c r="W236" s="4">
        <f>IF(ISERROR(VLOOKUP($T$236,'TAR FIN'!$A$1:$O$91,15,0)),0,VLOOKUP($T$236,'TAR FIN'!$A$1:$O$91,15,0))</f>
        <v>0</v>
      </c>
      <c r="X236" s="4">
        <f>IF(ISERROR(VLOOKUP($U$236,'TAR FIN'!$A$1:$O$91,15,0)),0,VLOOKUP($U$236,'TAR FIN'!$A$1:$O$91,15,0))</f>
        <v>0</v>
      </c>
      <c r="Y236" s="4">
        <f ca="1">('TUSD BE'!$AM$13+'TUSD BF'!$AM$13+'TUSD CVA'!$AM$13)*1</f>
        <v>21.278333841554378</v>
      </c>
      <c r="Z236" s="4"/>
      <c r="AA236" s="4"/>
      <c r="AB236" s="4">
        <f>$K$236*$V$236</f>
        <v>17169.899999999998</v>
      </c>
      <c r="AC236" s="4">
        <f>$M$236*$W$236</f>
        <v>0</v>
      </c>
      <c r="AD236" s="4">
        <f>$O$236*$X$236</f>
        <v>0</v>
      </c>
      <c r="AE236" s="4">
        <f ca="1">$K$236*$Y$236</f>
        <v>20129.303814110441</v>
      </c>
      <c r="AF236" s="4">
        <f>$M$236*$Z$236</f>
        <v>0</v>
      </c>
      <c r="AG236" s="4">
        <f>$O$236*$AA$236</f>
        <v>0</v>
      </c>
    </row>
    <row r="237" spans="1:33" ht="11.25" customHeight="1" x14ac:dyDescent="0.25">
      <c r="A237" s="3" t="s">
        <v>21</v>
      </c>
      <c r="B237" s="3" t="s">
        <v>35</v>
      </c>
      <c r="C237" s="3" t="s">
        <v>36</v>
      </c>
      <c r="D237" s="3" t="s">
        <v>34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44501</v>
      </c>
      <c r="J237" s="4">
        <v>13587</v>
      </c>
      <c r="K237" s="4">
        <v>13587</v>
      </c>
      <c r="L237" s="4">
        <v>0</v>
      </c>
      <c r="M237" s="4">
        <v>0</v>
      </c>
      <c r="N237" s="4">
        <v>0</v>
      </c>
      <c r="O237" s="4">
        <v>0</v>
      </c>
      <c r="P237" s="4">
        <v>52</v>
      </c>
      <c r="Q237" s="3" t="s">
        <v>26</v>
      </c>
      <c r="R237" s="3">
        <v>0</v>
      </c>
      <c r="S237" s="4">
        <v>9</v>
      </c>
      <c r="T237" s="4">
        <v>0</v>
      </c>
      <c r="U237" s="4">
        <v>0</v>
      </c>
      <c r="V237" s="4">
        <f>IF(ISERROR(VLOOKUP($S$237,'TAR FIN'!$A$1:$O$91,15,0)),0,VLOOKUP($S$237,'TAR FIN'!$A$1:$O$91,15,0))</f>
        <v>18.149999999999999</v>
      </c>
      <c r="W237" s="4">
        <f>IF(ISERROR(VLOOKUP($T$237,'TAR FIN'!$A$1:$O$91,15,0)),0,VLOOKUP($T$237,'TAR FIN'!$A$1:$O$91,15,0))</f>
        <v>0</v>
      </c>
      <c r="X237" s="4">
        <f>IF(ISERROR(VLOOKUP($U$237,'TAR FIN'!$A$1:$O$91,15,0)),0,VLOOKUP($U$237,'TAR FIN'!$A$1:$O$91,15,0))</f>
        <v>0</v>
      </c>
      <c r="Y237" s="4">
        <f ca="1">('TUSD BE'!$AM$13+'TUSD BF'!$AM$13+'TUSD CVA'!$AM$13)*1</f>
        <v>21.278333841554378</v>
      </c>
      <c r="Z237" s="4"/>
      <c r="AA237" s="4"/>
      <c r="AB237" s="4">
        <f>$K$237*$V$237</f>
        <v>246604.05</v>
      </c>
      <c r="AC237" s="4">
        <f>$M$237*$W$237</f>
        <v>0</v>
      </c>
      <c r="AD237" s="4">
        <f>$O$237*$X$237</f>
        <v>0</v>
      </c>
      <c r="AE237" s="4">
        <f ca="1">$K$237*$Y$237</f>
        <v>289108.72190519935</v>
      </c>
      <c r="AF237" s="4">
        <f>$M$237*$Z$237</f>
        <v>0</v>
      </c>
      <c r="AG237" s="4">
        <f>$O$237*$AA$237</f>
        <v>0</v>
      </c>
    </row>
    <row r="238" spans="1:33" ht="11.25" customHeight="1" x14ac:dyDescent="0.25">
      <c r="A238" s="3" t="s">
        <v>28</v>
      </c>
      <c r="B238" s="3" t="s">
        <v>35</v>
      </c>
      <c r="C238" s="3" t="s">
        <v>36</v>
      </c>
      <c r="D238" s="3" t="s">
        <v>34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948</v>
      </c>
      <c r="K238" s="4">
        <v>948</v>
      </c>
      <c r="L238" s="4">
        <v>0</v>
      </c>
      <c r="M238" s="4">
        <v>0</v>
      </c>
      <c r="N238" s="4">
        <v>0</v>
      </c>
      <c r="O238" s="4">
        <v>0</v>
      </c>
      <c r="P238" s="4">
        <v>6</v>
      </c>
      <c r="Q238" s="3" t="s">
        <v>26</v>
      </c>
      <c r="R238" s="3">
        <v>0</v>
      </c>
      <c r="S238" s="4">
        <v>9</v>
      </c>
      <c r="T238" s="4">
        <v>0</v>
      </c>
      <c r="U238" s="4">
        <v>0</v>
      </c>
      <c r="V238" s="4">
        <f>IF(ISERROR(VLOOKUP($S$238,'TAR FIN'!$A$1:$O$91,15,0)),0,VLOOKUP($S$238,'TAR FIN'!$A$1:$O$91,15,0))</f>
        <v>18.149999999999999</v>
      </c>
      <c r="W238" s="4">
        <f>IF(ISERROR(VLOOKUP($T$238,'TAR FIN'!$A$1:$O$91,15,0)),0,VLOOKUP($T$238,'TAR FIN'!$A$1:$O$91,15,0))</f>
        <v>0</v>
      </c>
      <c r="X238" s="4">
        <f>IF(ISERROR(VLOOKUP($U$238,'TAR FIN'!$A$1:$O$91,15,0)),0,VLOOKUP($U$238,'TAR FIN'!$A$1:$O$91,15,0))</f>
        <v>0</v>
      </c>
      <c r="Y238" s="4">
        <f ca="1">('TUSD BE'!$AM$13+'TUSD BF'!$AM$13+'TUSD CVA'!$AM$13)*1</f>
        <v>21.278333841554378</v>
      </c>
      <c r="Z238" s="4"/>
      <c r="AA238" s="4"/>
      <c r="AB238" s="4">
        <f>$K$238*$V$238</f>
        <v>17206.199999999997</v>
      </c>
      <c r="AC238" s="4">
        <f>$M$238*$W$238</f>
        <v>0</v>
      </c>
      <c r="AD238" s="4">
        <f>$O$238*$X$238</f>
        <v>0</v>
      </c>
      <c r="AE238" s="4">
        <f ca="1">$K$238*$Y$238</f>
        <v>20171.860481793552</v>
      </c>
      <c r="AF238" s="4">
        <f>$M$238*$Z$238</f>
        <v>0</v>
      </c>
      <c r="AG238" s="4">
        <f>$O$238*$AA$238</f>
        <v>0</v>
      </c>
    </row>
    <row r="239" spans="1:33" ht="11.25" customHeight="1" x14ac:dyDescent="0.25">
      <c r="A239" s="3" t="s">
        <v>21</v>
      </c>
      <c r="B239" s="3" t="s">
        <v>35</v>
      </c>
      <c r="C239" s="3" t="s">
        <v>36</v>
      </c>
      <c r="D239" s="3" t="s">
        <v>34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44531</v>
      </c>
      <c r="J239" s="4">
        <v>13697</v>
      </c>
      <c r="K239" s="4">
        <v>13697</v>
      </c>
      <c r="L239" s="4">
        <v>0</v>
      </c>
      <c r="M239" s="4">
        <v>0</v>
      </c>
      <c r="N239" s="4">
        <v>0</v>
      </c>
      <c r="O239" s="4">
        <v>0</v>
      </c>
      <c r="P239" s="4">
        <v>53</v>
      </c>
      <c r="Q239" s="3" t="s">
        <v>26</v>
      </c>
      <c r="R239" s="3">
        <v>0</v>
      </c>
      <c r="S239" s="4">
        <v>9</v>
      </c>
      <c r="T239" s="4">
        <v>0</v>
      </c>
      <c r="U239" s="4">
        <v>0</v>
      </c>
      <c r="V239" s="4">
        <f>IF(ISERROR(VLOOKUP($S$239,'TAR FIN'!$A$1:$O$91,15,0)),0,VLOOKUP($S$239,'TAR FIN'!$A$1:$O$91,15,0))</f>
        <v>18.149999999999999</v>
      </c>
      <c r="W239" s="4">
        <f>IF(ISERROR(VLOOKUP($T$239,'TAR FIN'!$A$1:$O$91,15,0)),0,VLOOKUP($T$239,'TAR FIN'!$A$1:$O$91,15,0))</f>
        <v>0</v>
      </c>
      <c r="X239" s="4">
        <f>IF(ISERROR(VLOOKUP($U$239,'TAR FIN'!$A$1:$O$91,15,0)),0,VLOOKUP($U$239,'TAR FIN'!$A$1:$O$91,15,0))</f>
        <v>0</v>
      </c>
      <c r="Y239" s="4">
        <f ca="1">('TUSD BE'!$AM$13+'TUSD BF'!$AM$13+'TUSD CVA'!$AM$13)*1</f>
        <v>21.278333841554378</v>
      </c>
      <c r="Z239" s="4"/>
      <c r="AA239" s="4"/>
      <c r="AB239" s="4">
        <f>$K$239*$V$239</f>
        <v>248600.55</v>
      </c>
      <c r="AC239" s="4">
        <f>$M$239*$W$239</f>
        <v>0</v>
      </c>
      <c r="AD239" s="4">
        <f>$O$239*$X$239</f>
        <v>0</v>
      </c>
      <c r="AE239" s="4">
        <f ca="1">$K$239*$Y$239</f>
        <v>291449.33862777031</v>
      </c>
      <c r="AF239" s="4">
        <f>$M$239*$Z$239</f>
        <v>0</v>
      </c>
      <c r="AG239" s="4">
        <f>$O$239*$AA$239</f>
        <v>0</v>
      </c>
    </row>
    <row r="240" spans="1:33" ht="11.25" customHeight="1" x14ac:dyDescent="0.25">
      <c r="A240" s="3" t="s">
        <v>28</v>
      </c>
      <c r="B240" s="3" t="s">
        <v>35</v>
      </c>
      <c r="C240" s="3" t="s">
        <v>36</v>
      </c>
      <c r="D240" s="3" t="s">
        <v>34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44531</v>
      </c>
      <c r="J240" s="4">
        <v>957</v>
      </c>
      <c r="K240" s="4">
        <v>957</v>
      </c>
      <c r="L240" s="4">
        <v>0</v>
      </c>
      <c r="M240" s="4">
        <v>0</v>
      </c>
      <c r="N240" s="4">
        <v>0</v>
      </c>
      <c r="O240" s="4">
        <v>0</v>
      </c>
      <c r="P240" s="4">
        <v>6</v>
      </c>
      <c r="Q240" s="3" t="s">
        <v>26</v>
      </c>
      <c r="R240" s="3">
        <v>0</v>
      </c>
      <c r="S240" s="4">
        <v>9</v>
      </c>
      <c r="T240" s="4">
        <v>0</v>
      </c>
      <c r="U240" s="4">
        <v>0</v>
      </c>
      <c r="V240" s="4">
        <f>IF(ISERROR(VLOOKUP($S$240,'TAR FIN'!$A$1:$O$91,15,0)),0,VLOOKUP($S$240,'TAR FIN'!$A$1:$O$91,15,0))</f>
        <v>18.149999999999999</v>
      </c>
      <c r="W240" s="4">
        <f>IF(ISERROR(VLOOKUP($T$240,'TAR FIN'!$A$1:$O$91,15,0)),0,VLOOKUP($T$240,'TAR FIN'!$A$1:$O$91,15,0))</f>
        <v>0</v>
      </c>
      <c r="X240" s="4">
        <f>IF(ISERROR(VLOOKUP($U$240,'TAR FIN'!$A$1:$O$91,15,0)),0,VLOOKUP($U$240,'TAR FIN'!$A$1:$O$91,15,0))</f>
        <v>0</v>
      </c>
      <c r="Y240" s="4">
        <f ca="1">('TUSD BE'!$AM$13+'TUSD BF'!$AM$13+'TUSD CVA'!$AM$13)*1</f>
        <v>21.278333841554378</v>
      </c>
      <c r="Z240" s="4"/>
      <c r="AA240" s="4"/>
      <c r="AB240" s="4">
        <f>$K$240*$V$240</f>
        <v>17369.55</v>
      </c>
      <c r="AC240" s="4">
        <f>$M$240*$W$240</f>
        <v>0</v>
      </c>
      <c r="AD240" s="4">
        <f>$O$240*$X$240</f>
        <v>0</v>
      </c>
      <c r="AE240" s="4">
        <f ca="1">$K$240*$Y$240</f>
        <v>20363.36548636754</v>
      </c>
      <c r="AF240" s="4">
        <f>$M$240*$Z$240</f>
        <v>0</v>
      </c>
      <c r="AG240" s="4">
        <f>$O$240*$AA$240</f>
        <v>0</v>
      </c>
    </row>
    <row r="241" spans="1:33" ht="11.25" customHeight="1" x14ac:dyDescent="0.25">
      <c r="A241" s="3" t="s">
        <v>21</v>
      </c>
      <c r="B241" s="3" t="s">
        <v>35</v>
      </c>
      <c r="C241" s="3" t="s">
        <v>36</v>
      </c>
      <c r="D241" s="3" t="s">
        <v>34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44562</v>
      </c>
      <c r="J241" s="4">
        <v>13595</v>
      </c>
      <c r="K241" s="4">
        <v>13595</v>
      </c>
      <c r="L241" s="4">
        <v>0</v>
      </c>
      <c r="M241" s="4">
        <v>0</v>
      </c>
      <c r="N241" s="4">
        <v>0</v>
      </c>
      <c r="O241" s="4">
        <v>0</v>
      </c>
      <c r="P241" s="4">
        <v>53</v>
      </c>
      <c r="Q241" s="3" t="s">
        <v>26</v>
      </c>
      <c r="R241" s="3">
        <v>0</v>
      </c>
      <c r="S241" s="4">
        <v>9</v>
      </c>
      <c r="T241" s="4">
        <v>0</v>
      </c>
      <c r="U241" s="4">
        <v>0</v>
      </c>
      <c r="V241" s="4">
        <f>IF(ISERROR(VLOOKUP($S$241,'TAR FIN'!$A$1:$O$91,15,0)),0,VLOOKUP($S$241,'TAR FIN'!$A$1:$O$91,15,0))</f>
        <v>18.149999999999999</v>
      </c>
      <c r="W241" s="4">
        <f>IF(ISERROR(VLOOKUP($T$241,'TAR FIN'!$A$1:$O$91,15,0)),0,VLOOKUP($T$241,'TAR FIN'!$A$1:$O$91,15,0))</f>
        <v>0</v>
      </c>
      <c r="X241" s="4">
        <f>IF(ISERROR(VLOOKUP($U$241,'TAR FIN'!$A$1:$O$91,15,0)),0,VLOOKUP($U$241,'TAR FIN'!$A$1:$O$91,15,0))</f>
        <v>0</v>
      </c>
      <c r="Y241" s="4">
        <f ca="1">('TUSD BE'!$AM$13+'TUSD BF'!$AM$13+'TUSD CVA'!$AM$13)*1</f>
        <v>21.278333841554378</v>
      </c>
      <c r="Z241" s="4"/>
      <c r="AA241" s="4"/>
      <c r="AB241" s="4">
        <f>$K$241*$V$241</f>
        <v>246749.24999999997</v>
      </c>
      <c r="AC241" s="4">
        <f>$M$241*$W$241</f>
        <v>0</v>
      </c>
      <c r="AD241" s="4">
        <f>$O$241*$X$241</f>
        <v>0</v>
      </c>
      <c r="AE241" s="4">
        <f ca="1">$K$241*$Y$241</f>
        <v>289278.94857593178</v>
      </c>
      <c r="AF241" s="4">
        <f>$M$241*$Z$241</f>
        <v>0</v>
      </c>
      <c r="AG241" s="4">
        <f>$O$241*$AA$241</f>
        <v>0</v>
      </c>
    </row>
    <row r="242" spans="1:33" ht="11.25" customHeight="1" x14ac:dyDescent="0.25">
      <c r="A242" s="3" t="s">
        <v>28</v>
      </c>
      <c r="B242" s="3" t="s">
        <v>35</v>
      </c>
      <c r="C242" s="3" t="s">
        <v>36</v>
      </c>
      <c r="D242" s="3" t="s">
        <v>34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44562</v>
      </c>
      <c r="J242" s="4">
        <v>953</v>
      </c>
      <c r="K242" s="4">
        <v>953</v>
      </c>
      <c r="L242" s="4">
        <v>0</v>
      </c>
      <c r="M242" s="4">
        <v>0</v>
      </c>
      <c r="N242" s="4">
        <v>0</v>
      </c>
      <c r="O242" s="4">
        <v>0</v>
      </c>
      <c r="P242" s="4">
        <v>6</v>
      </c>
      <c r="Q242" s="3" t="s">
        <v>26</v>
      </c>
      <c r="R242" s="3">
        <v>0</v>
      </c>
      <c r="S242" s="4">
        <v>9</v>
      </c>
      <c r="T242" s="4">
        <v>0</v>
      </c>
      <c r="U242" s="4">
        <v>0</v>
      </c>
      <c r="V242" s="4">
        <f>IF(ISERROR(VLOOKUP($S$242,'TAR FIN'!$A$1:$O$91,15,0)),0,VLOOKUP($S$242,'TAR FIN'!$A$1:$O$91,15,0))</f>
        <v>18.149999999999999</v>
      </c>
      <c r="W242" s="4">
        <f>IF(ISERROR(VLOOKUP($T$242,'TAR FIN'!$A$1:$O$91,15,0)),0,VLOOKUP($T$242,'TAR FIN'!$A$1:$O$91,15,0))</f>
        <v>0</v>
      </c>
      <c r="X242" s="4">
        <f>IF(ISERROR(VLOOKUP($U$242,'TAR FIN'!$A$1:$O$91,15,0)),0,VLOOKUP($U$242,'TAR FIN'!$A$1:$O$91,15,0))</f>
        <v>0</v>
      </c>
      <c r="Y242" s="4">
        <f ca="1">('TUSD BE'!$AM$13+'TUSD BF'!$AM$13+'TUSD CVA'!$AM$13)*1</f>
        <v>21.278333841554378</v>
      </c>
      <c r="Z242" s="4"/>
      <c r="AA242" s="4"/>
      <c r="AB242" s="4">
        <f>$K$242*$V$242</f>
        <v>17296.949999999997</v>
      </c>
      <c r="AC242" s="4">
        <f>$M$242*$W$242</f>
        <v>0</v>
      </c>
      <c r="AD242" s="4">
        <f>$O$242*$X$242</f>
        <v>0</v>
      </c>
      <c r="AE242" s="4">
        <f ca="1">$K$242*$Y$242</f>
        <v>20278.252151001321</v>
      </c>
      <c r="AF242" s="4">
        <f>$M$242*$Z$242</f>
        <v>0</v>
      </c>
      <c r="AG242" s="4">
        <f>$O$242*$AA$242</f>
        <v>0</v>
      </c>
    </row>
    <row r="243" spans="1:33" ht="11.25" customHeight="1" x14ac:dyDescent="0.25">
      <c r="A243" s="3" t="s">
        <v>21</v>
      </c>
      <c r="B243" s="3" t="s">
        <v>35</v>
      </c>
      <c r="C243" s="3" t="s">
        <v>36</v>
      </c>
      <c r="D243" s="3" t="s">
        <v>34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44593</v>
      </c>
      <c r="J243" s="4">
        <v>13739</v>
      </c>
      <c r="K243" s="4">
        <v>13739</v>
      </c>
      <c r="L243" s="4">
        <v>0</v>
      </c>
      <c r="M243" s="4">
        <v>0</v>
      </c>
      <c r="N243" s="4">
        <v>0</v>
      </c>
      <c r="O243" s="4">
        <v>0</v>
      </c>
      <c r="P243" s="4">
        <v>53</v>
      </c>
      <c r="Q243" s="3" t="s">
        <v>26</v>
      </c>
      <c r="R243" s="3">
        <v>0</v>
      </c>
      <c r="S243" s="4">
        <v>9</v>
      </c>
      <c r="T243" s="4">
        <v>0</v>
      </c>
      <c r="U243" s="4">
        <v>0</v>
      </c>
      <c r="V243" s="4">
        <f>IF(ISERROR(VLOOKUP($S$243,'TAR FIN'!$A$1:$O$91,15,0)),0,VLOOKUP($S$243,'TAR FIN'!$A$1:$O$91,15,0))</f>
        <v>18.149999999999999</v>
      </c>
      <c r="W243" s="4">
        <f>IF(ISERROR(VLOOKUP($T$243,'TAR FIN'!$A$1:$O$91,15,0)),0,VLOOKUP($T$243,'TAR FIN'!$A$1:$O$91,15,0))</f>
        <v>0</v>
      </c>
      <c r="X243" s="4">
        <f>IF(ISERROR(VLOOKUP($U$243,'TAR FIN'!$A$1:$O$91,15,0)),0,VLOOKUP($U$243,'TAR FIN'!$A$1:$O$91,15,0))</f>
        <v>0</v>
      </c>
      <c r="Y243" s="4">
        <f ca="1">('TUSD BE'!$AM$13+'TUSD BF'!$AM$13+'TUSD CVA'!$AM$13)*1</f>
        <v>21.278333841554378</v>
      </c>
      <c r="Z243" s="4"/>
      <c r="AA243" s="4"/>
      <c r="AB243" s="4">
        <f>$K$243*$V$243</f>
        <v>249362.84999999998</v>
      </c>
      <c r="AC243" s="4">
        <f>$M$243*$W$243</f>
        <v>0</v>
      </c>
      <c r="AD243" s="4">
        <f>$O$243*$X$243</f>
        <v>0</v>
      </c>
      <c r="AE243" s="4">
        <f ca="1">$K$243*$Y$243</f>
        <v>292343.02864911559</v>
      </c>
      <c r="AF243" s="4">
        <f>$M$243*$Z$243</f>
        <v>0</v>
      </c>
      <c r="AG243" s="4">
        <f>$O$243*$AA$243</f>
        <v>0</v>
      </c>
    </row>
    <row r="244" spans="1:33" ht="11.25" customHeight="1" x14ac:dyDescent="0.25">
      <c r="A244" s="3" t="s">
        <v>28</v>
      </c>
      <c r="B244" s="3" t="s">
        <v>35</v>
      </c>
      <c r="C244" s="3" t="s">
        <v>36</v>
      </c>
      <c r="D244" s="3" t="s">
        <v>34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953</v>
      </c>
      <c r="K244" s="4">
        <v>953</v>
      </c>
      <c r="L244" s="4">
        <v>0</v>
      </c>
      <c r="M244" s="4">
        <v>0</v>
      </c>
      <c r="N244" s="4">
        <v>0</v>
      </c>
      <c r="O244" s="4">
        <v>0</v>
      </c>
      <c r="P244" s="4">
        <v>6</v>
      </c>
      <c r="Q244" s="3" t="s">
        <v>26</v>
      </c>
      <c r="R244" s="3">
        <v>0</v>
      </c>
      <c r="S244" s="4">
        <v>9</v>
      </c>
      <c r="T244" s="4">
        <v>0</v>
      </c>
      <c r="U244" s="4">
        <v>0</v>
      </c>
      <c r="V244" s="4">
        <f>IF(ISERROR(VLOOKUP($S$244,'TAR FIN'!$A$1:$O$91,15,0)),0,VLOOKUP($S$244,'TAR FIN'!$A$1:$O$91,15,0))</f>
        <v>18.149999999999999</v>
      </c>
      <c r="W244" s="4">
        <f>IF(ISERROR(VLOOKUP($T$244,'TAR FIN'!$A$1:$O$91,15,0)),0,VLOOKUP($T$244,'TAR FIN'!$A$1:$O$91,15,0))</f>
        <v>0</v>
      </c>
      <c r="X244" s="4">
        <f>IF(ISERROR(VLOOKUP($U$244,'TAR FIN'!$A$1:$O$91,15,0)),0,VLOOKUP($U$244,'TAR FIN'!$A$1:$O$91,15,0))</f>
        <v>0</v>
      </c>
      <c r="Y244" s="4">
        <f ca="1">('TUSD BE'!$AM$13+'TUSD BF'!$AM$13+'TUSD CVA'!$AM$13)*1</f>
        <v>21.278333841554378</v>
      </c>
      <c r="Z244" s="4"/>
      <c r="AA244" s="4"/>
      <c r="AB244" s="4">
        <f>$K$244*$V$244</f>
        <v>17296.949999999997</v>
      </c>
      <c r="AC244" s="4">
        <f>$M$244*$W$244</f>
        <v>0</v>
      </c>
      <c r="AD244" s="4">
        <f>$O$244*$X$244</f>
        <v>0</v>
      </c>
      <c r="AE244" s="4">
        <f ca="1">$K$244*$Y$244</f>
        <v>20278.252151001321</v>
      </c>
      <c r="AF244" s="4">
        <f>$M$244*$Z$244</f>
        <v>0</v>
      </c>
      <c r="AG244" s="4">
        <f>$O$244*$AA$244</f>
        <v>0</v>
      </c>
    </row>
    <row r="245" spans="1:33" ht="11.25" customHeight="1" x14ac:dyDescent="0.25">
      <c r="A245" s="3" t="s">
        <v>21</v>
      </c>
      <c r="B245" s="3" t="s">
        <v>35</v>
      </c>
      <c r="C245" s="3" t="s">
        <v>36</v>
      </c>
      <c r="D245" s="3" t="s">
        <v>34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44621</v>
      </c>
      <c r="J245" s="4">
        <v>13788</v>
      </c>
      <c r="K245" s="4">
        <v>13788</v>
      </c>
      <c r="L245" s="4">
        <v>0</v>
      </c>
      <c r="M245" s="4">
        <v>0</v>
      </c>
      <c r="N245" s="4">
        <v>0</v>
      </c>
      <c r="O245" s="4">
        <v>0</v>
      </c>
      <c r="P245" s="4">
        <v>54</v>
      </c>
      <c r="Q245" s="3" t="s">
        <v>26</v>
      </c>
      <c r="R245" s="3">
        <v>0</v>
      </c>
      <c r="S245" s="4">
        <v>9</v>
      </c>
      <c r="T245" s="4">
        <v>0</v>
      </c>
      <c r="U245" s="4">
        <v>0</v>
      </c>
      <c r="V245" s="4">
        <f>IF(ISERROR(VLOOKUP($S$245,'TAR FIN'!$A$1:$O$91,15,0)),0,VLOOKUP($S$245,'TAR FIN'!$A$1:$O$91,15,0))</f>
        <v>18.149999999999999</v>
      </c>
      <c r="W245" s="4">
        <f>IF(ISERROR(VLOOKUP($T$245,'TAR FIN'!$A$1:$O$91,15,0)),0,VLOOKUP($T$245,'TAR FIN'!$A$1:$O$91,15,0))</f>
        <v>0</v>
      </c>
      <c r="X245" s="4">
        <f>IF(ISERROR(VLOOKUP($U$245,'TAR FIN'!$A$1:$O$91,15,0)),0,VLOOKUP($U$245,'TAR FIN'!$A$1:$O$91,15,0))</f>
        <v>0</v>
      </c>
      <c r="Y245" s="4">
        <f ca="1">('TUSD BE'!$AM$13+'TUSD BF'!$AM$13+'TUSD CVA'!$AM$13)*1</f>
        <v>21.278333841554378</v>
      </c>
      <c r="Z245" s="4"/>
      <c r="AA245" s="4"/>
      <c r="AB245" s="4">
        <f>$K$245*$V$245</f>
        <v>250252.19999999998</v>
      </c>
      <c r="AC245" s="4">
        <f>$M$245*$W$245</f>
        <v>0</v>
      </c>
      <c r="AD245" s="4">
        <f>$O$245*$X$245</f>
        <v>0</v>
      </c>
      <c r="AE245" s="4">
        <f ca="1">$K$245*$Y$245</f>
        <v>293385.66700735176</v>
      </c>
      <c r="AF245" s="4">
        <f>$M$245*$Z$245</f>
        <v>0</v>
      </c>
      <c r="AG245" s="4">
        <f>$O$245*$AA$245</f>
        <v>0</v>
      </c>
    </row>
    <row r="246" spans="1:33" ht="11.25" customHeight="1" x14ac:dyDescent="0.25">
      <c r="A246" s="3" t="s">
        <v>27</v>
      </c>
      <c r="B246" s="3" t="s">
        <v>35</v>
      </c>
      <c r="C246" s="3" t="s">
        <v>36</v>
      </c>
      <c r="D246" s="3" t="s">
        <v>34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44621</v>
      </c>
      <c r="J246" s="4">
        <v>-151</v>
      </c>
      <c r="K246" s="4">
        <v>-151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3" t="s">
        <v>26</v>
      </c>
      <c r="R246" s="3">
        <v>0</v>
      </c>
      <c r="S246" s="4">
        <v>9</v>
      </c>
      <c r="T246" s="4">
        <v>0</v>
      </c>
      <c r="U246" s="4">
        <v>0</v>
      </c>
      <c r="V246" s="4">
        <f>IF(ISERROR(VLOOKUP($S$246,'TAR FIN'!$A$1:$O$91,15,0)),0,VLOOKUP($S$246,'TAR FIN'!$A$1:$O$91,15,0))</f>
        <v>18.149999999999999</v>
      </c>
      <c r="W246" s="4">
        <f>IF(ISERROR(VLOOKUP($T$246,'TAR FIN'!$A$1:$O$91,15,0)),0,VLOOKUP($T$246,'TAR FIN'!$A$1:$O$91,15,0))</f>
        <v>0</v>
      </c>
      <c r="X246" s="4">
        <f>IF(ISERROR(VLOOKUP($U$246,'TAR FIN'!$A$1:$O$91,15,0)),0,VLOOKUP($U$246,'TAR FIN'!$A$1:$O$91,15,0))</f>
        <v>0</v>
      </c>
      <c r="Y246" s="4">
        <f ca="1">('TUSD BE'!$AM$13+'TUSD BF'!$AM$13+'TUSD CVA'!$AM$13)*1</f>
        <v>21.278333841554378</v>
      </c>
      <c r="Z246" s="4"/>
      <c r="AA246" s="4"/>
      <c r="AB246" s="4">
        <f>$K$246*$V$246</f>
        <v>-2740.6499999999996</v>
      </c>
      <c r="AC246" s="4">
        <f>$M$246*$W$246</f>
        <v>0</v>
      </c>
      <c r="AD246" s="4">
        <f>$O$246*$X$246</f>
        <v>0</v>
      </c>
      <c r="AE246" s="4">
        <f ca="1">$K$246*$Y$246</f>
        <v>-3213.0284100747112</v>
      </c>
      <c r="AF246" s="4">
        <f>$M$246*$Z$246</f>
        <v>0</v>
      </c>
      <c r="AG246" s="4">
        <f>$O$246*$AA$246</f>
        <v>0</v>
      </c>
    </row>
    <row r="247" spans="1:33" ht="11.25" customHeight="1" x14ac:dyDescent="0.25">
      <c r="A247" s="3" t="s">
        <v>28</v>
      </c>
      <c r="B247" s="3" t="s">
        <v>35</v>
      </c>
      <c r="C247" s="3" t="s">
        <v>36</v>
      </c>
      <c r="D247" s="3" t="s">
        <v>34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950</v>
      </c>
      <c r="K247" s="4">
        <v>950</v>
      </c>
      <c r="L247" s="4">
        <v>0</v>
      </c>
      <c r="M247" s="4">
        <v>0</v>
      </c>
      <c r="N247" s="4">
        <v>0</v>
      </c>
      <c r="O247" s="4">
        <v>0</v>
      </c>
      <c r="P247" s="4">
        <v>6</v>
      </c>
      <c r="Q247" s="3" t="s">
        <v>26</v>
      </c>
      <c r="R247" s="3">
        <v>0</v>
      </c>
      <c r="S247" s="4">
        <v>9</v>
      </c>
      <c r="T247" s="4">
        <v>0</v>
      </c>
      <c r="U247" s="4">
        <v>0</v>
      </c>
      <c r="V247" s="4">
        <f>IF(ISERROR(VLOOKUP($S$247,'TAR FIN'!$A$1:$O$91,15,0)),0,VLOOKUP($S$247,'TAR FIN'!$A$1:$O$91,15,0))</f>
        <v>18.149999999999999</v>
      </c>
      <c r="W247" s="4">
        <f>IF(ISERROR(VLOOKUP($T$247,'TAR FIN'!$A$1:$O$91,15,0)),0,VLOOKUP($T$247,'TAR FIN'!$A$1:$O$91,15,0))</f>
        <v>0</v>
      </c>
      <c r="X247" s="4">
        <f>IF(ISERROR(VLOOKUP($U$247,'TAR FIN'!$A$1:$O$91,15,0)),0,VLOOKUP($U$247,'TAR FIN'!$A$1:$O$91,15,0))</f>
        <v>0</v>
      </c>
      <c r="Y247" s="4">
        <f ca="1">('TUSD BE'!$AM$13+'TUSD BF'!$AM$13+'TUSD CVA'!$AM$13)*1</f>
        <v>21.278333841554378</v>
      </c>
      <c r="Z247" s="4"/>
      <c r="AA247" s="4"/>
      <c r="AB247" s="4">
        <f>$K$247*$V$247</f>
        <v>17242.5</v>
      </c>
      <c r="AC247" s="4">
        <f>$M$247*$W$247</f>
        <v>0</v>
      </c>
      <c r="AD247" s="4">
        <f>$O$247*$X$247</f>
        <v>0</v>
      </c>
      <c r="AE247" s="4">
        <f ca="1">$K$247*$Y$247</f>
        <v>20214.41714947666</v>
      </c>
      <c r="AF247" s="4">
        <f>$M$247*$Z$247</f>
        <v>0</v>
      </c>
      <c r="AG247" s="4">
        <f>$O$247*$AA$247</f>
        <v>0</v>
      </c>
    </row>
    <row r="248" spans="1:33" ht="11.25" customHeight="1" x14ac:dyDescent="0.25">
      <c r="A248" s="3" t="s">
        <v>21</v>
      </c>
      <c r="B248" s="3" t="s">
        <v>35</v>
      </c>
      <c r="C248" s="3" t="s">
        <v>36</v>
      </c>
      <c r="D248" s="3" t="s">
        <v>34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44652</v>
      </c>
      <c r="J248" s="4">
        <v>13551</v>
      </c>
      <c r="K248" s="4">
        <v>13551</v>
      </c>
      <c r="L248" s="4">
        <v>0</v>
      </c>
      <c r="M248" s="4">
        <v>0</v>
      </c>
      <c r="N248" s="4">
        <v>0</v>
      </c>
      <c r="O248" s="4">
        <v>0</v>
      </c>
      <c r="P248" s="4">
        <v>54</v>
      </c>
      <c r="Q248" s="3" t="s">
        <v>26</v>
      </c>
      <c r="R248" s="3">
        <v>0</v>
      </c>
      <c r="S248" s="4">
        <v>9</v>
      </c>
      <c r="T248" s="4">
        <v>0</v>
      </c>
      <c r="U248" s="4">
        <v>0</v>
      </c>
      <c r="V248" s="4">
        <f>IF(ISERROR(VLOOKUP($S$248,'TAR FIN'!$A$1:$O$91,15,0)),0,VLOOKUP($S$248,'TAR FIN'!$A$1:$O$91,15,0))</f>
        <v>18.149999999999999</v>
      </c>
      <c r="W248" s="4">
        <f>IF(ISERROR(VLOOKUP($T$248,'TAR FIN'!$A$1:$O$91,15,0)),0,VLOOKUP($T$248,'TAR FIN'!$A$1:$O$91,15,0))</f>
        <v>0</v>
      </c>
      <c r="X248" s="4">
        <f>IF(ISERROR(VLOOKUP($U$248,'TAR FIN'!$A$1:$O$91,15,0)),0,VLOOKUP($U$248,'TAR FIN'!$A$1:$O$91,15,0))</f>
        <v>0</v>
      </c>
      <c r="Y248" s="4">
        <f ca="1">('TUSD BE'!$AM$13+'TUSD BF'!$AM$13+'TUSD CVA'!$AM$13)*1</f>
        <v>21.278333841554378</v>
      </c>
      <c r="Z248" s="4"/>
      <c r="AA248" s="4"/>
      <c r="AB248" s="4">
        <f>$K$248*$V$248</f>
        <v>245950.65</v>
      </c>
      <c r="AC248" s="4">
        <f>$M$248*$W$248</f>
        <v>0</v>
      </c>
      <c r="AD248" s="4">
        <f>$O$248*$X$248</f>
        <v>0</v>
      </c>
      <c r="AE248" s="4">
        <f ca="1">$K$248*$Y$248</f>
        <v>288342.70188690338</v>
      </c>
      <c r="AF248" s="4">
        <f>$M$248*$Z$248</f>
        <v>0</v>
      </c>
      <c r="AG248" s="4">
        <f>$O$248*$AA$248</f>
        <v>0</v>
      </c>
    </row>
    <row r="249" spans="1:33" ht="11.25" customHeight="1" x14ac:dyDescent="0.25">
      <c r="A249" s="3" t="s">
        <v>27</v>
      </c>
      <c r="B249" s="3" t="s">
        <v>35</v>
      </c>
      <c r="C249" s="3" t="s">
        <v>36</v>
      </c>
      <c r="D249" s="3" t="s">
        <v>34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-46</v>
      </c>
      <c r="K249" s="4">
        <v>-46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3" t="s">
        <v>26</v>
      </c>
      <c r="R249" s="3">
        <v>0</v>
      </c>
      <c r="S249" s="4">
        <v>9</v>
      </c>
      <c r="T249" s="4">
        <v>0</v>
      </c>
      <c r="U249" s="4">
        <v>0</v>
      </c>
      <c r="V249" s="4">
        <f>IF(ISERROR(VLOOKUP($S$249,'TAR FIN'!$A$1:$O$91,15,0)),0,VLOOKUP($S$249,'TAR FIN'!$A$1:$O$91,15,0))</f>
        <v>18.149999999999999</v>
      </c>
      <c r="W249" s="4">
        <f>IF(ISERROR(VLOOKUP($T$249,'TAR FIN'!$A$1:$O$91,15,0)),0,VLOOKUP($T$249,'TAR FIN'!$A$1:$O$91,15,0))</f>
        <v>0</v>
      </c>
      <c r="X249" s="4">
        <f>IF(ISERROR(VLOOKUP($U$249,'TAR FIN'!$A$1:$O$91,15,0)),0,VLOOKUP($U$249,'TAR FIN'!$A$1:$O$91,15,0))</f>
        <v>0</v>
      </c>
      <c r="Y249" s="4">
        <f ca="1">('TUSD BE'!$AM$13+'TUSD BF'!$AM$13+'TUSD CVA'!$AM$13)*1</f>
        <v>21.278333841554378</v>
      </c>
      <c r="Z249" s="4"/>
      <c r="AA249" s="4"/>
      <c r="AB249" s="4">
        <f>$K$249*$V$249</f>
        <v>-834.9</v>
      </c>
      <c r="AC249" s="4">
        <f>$M$249*$W$249</f>
        <v>0</v>
      </c>
      <c r="AD249" s="4">
        <f>$O$249*$X$249</f>
        <v>0</v>
      </c>
      <c r="AE249" s="4">
        <f ca="1">$K$249*$Y$249</f>
        <v>-978.80335671150135</v>
      </c>
      <c r="AF249" s="4">
        <f>$M$249*$Z$249</f>
        <v>0</v>
      </c>
      <c r="AG249" s="4">
        <f>$O$249*$AA$249</f>
        <v>0</v>
      </c>
    </row>
    <row r="250" spans="1:33" ht="11.25" customHeight="1" x14ac:dyDescent="0.25">
      <c r="A250" s="3" t="s">
        <v>28</v>
      </c>
      <c r="B250" s="3" t="s">
        <v>35</v>
      </c>
      <c r="C250" s="3" t="s">
        <v>36</v>
      </c>
      <c r="D250" s="3" t="s">
        <v>34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950</v>
      </c>
      <c r="K250" s="4">
        <v>950</v>
      </c>
      <c r="L250" s="4">
        <v>0</v>
      </c>
      <c r="M250" s="4">
        <v>0</v>
      </c>
      <c r="N250" s="4">
        <v>0</v>
      </c>
      <c r="O250" s="4">
        <v>0</v>
      </c>
      <c r="P250" s="4">
        <v>6</v>
      </c>
      <c r="Q250" s="3" t="s">
        <v>26</v>
      </c>
      <c r="R250" s="3">
        <v>0</v>
      </c>
      <c r="S250" s="4">
        <v>9</v>
      </c>
      <c r="T250" s="4">
        <v>0</v>
      </c>
      <c r="U250" s="4">
        <v>0</v>
      </c>
      <c r="V250" s="4">
        <f>IF(ISERROR(VLOOKUP($S$250,'TAR FIN'!$A$1:$O$91,15,0)),0,VLOOKUP($S$250,'TAR FIN'!$A$1:$O$91,15,0))</f>
        <v>18.149999999999999</v>
      </c>
      <c r="W250" s="4">
        <f>IF(ISERROR(VLOOKUP($T$250,'TAR FIN'!$A$1:$O$91,15,0)),0,VLOOKUP($T$250,'TAR FIN'!$A$1:$O$91,15,0))</f>
        <v>0</v>
      </c>
      <c r="X250" s="4">
        <f>IF(ISERROR(VLOOKUP($U$250,'TAR FIN'!$A$1:$O$91,15,0)),0,VLOOKUP($U$250,'TAR FIN'!$A$1:$O$91,15,0))</f>
        <v>0</v>
      </c>
      <c r="Y250" s="4">
        <f ca="1">('TUSD BE'!$AM$13+'TUSD BF'!$AM$13+'TUSD CVA'!$AM$13)*1</f>
        <v>21.278333841554378</v>
      </c>
      <c r="Z250" s="4"/>
      <c r="AA250" s="4"/>
      <c r="AB250" s="4">
        <f>$K$250*$V$250</f>
        <v>17242.5</v>
      </c>
      <c r="AC250" s="4">
        <f>$M$250*$W$250</f>
        <v>0</v>
      </c>
      <c r="AD250" s="4">
        <f>$O$250*$X$250</f>
        <v>0</v>
      </c>
      <c r="AE250" s="4">
        <f ca="1">$K$250*$Y$250</f>
        <v>20214.41714947666</v>
      </c>
      <c r="AF250" s="4">
        <f>$M$250*$Z$250</f>
        <v>0</v>
      </c>
      <c r="AG250" s="4">
        <f>$O$250*$AA$250</f>
        <v>0</v>
      </c>
    </row>
    <row r="251" spans="1:33" ht="11.25" customHeight="1" x14ac:dyDescent="0.25">
      <c r="A251" s="3" t="s">
        <v>21</v>
      </c>
      <c r="B251" s="3" t="s">
        <v>35</v>
      </c>
      <c r="C251" s="3" t="s">
        <v>36</v>
      </c>
      <c r="D251" s="3" t="s">
        <v>34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44682</v>
      </c>
      <c r="J251" s="4">
        <v>13991</v>
      </c>
      <c r="K251" s="4">
        <v>13991</v>
      </c>
      <c r="L251" s="4">
        <v>0</v>
      </c>
      <c r="M251" s="4">
        <v>0</v>
      </c>
      <c r="N251" s="4">
        <v>0</v>
      </c>
      <c r="O251" s="4">
        <v>0</v>
      </c>
      <c r="P251" s="4">
        <v>55</v>
      </c>
      <c r="Q251" s="3" t="s">
        <v>26</v>
      </c>
      <c r="R251" s="3">
        <v>0</v>
      </c>
      <c r="S251" s="4">
        <v>9</v>
      </c>
      <c r="T251" s="4">
        <v>0</v>
      </c>
      <c r="U251" s="4">
        <v>0</v>
      </c>
      <c r="V251" s="4">
        <f>IF(ISERROR(VLOOKUP($S$251,'TAR FIN'!$A$1:$O$91,15,0)),0,VLOOKUP($S$251,'TAR FIN'!$A$1:$O$91,15,0))</f>
        <v>18.149999999999999</v>
      </c>
      <c r="W251" s="4">
        <f>IF(ISERROR(VLOOKUP($T$251,'TAR FIN'!$A$1:$O$91,15,0)),0,VLOOKUP($T$251,'TAR FIN'!$A$1:$O$91,15,0))</f>
        <v>0</v>
      </c>
      <c r="X251" s="4">
        <f>IF(ISERROR(VLOOKUP($U$251,'TAR FIN'!$A$1:$O$91,15,0)),0,VLOOKUP($U$251,'TAR FIN'!$A$1:$O$91,15,0))</f>
        <v>0</v>
      </c>
      <c r="Y251" s="4">
        <f ca="1">('TUSD BE'!$AM$13+'TUSD BF'!$AM$13+'TUSD CVA'!$AM$13)*1</f>
        <v>21.278333841554378</v>
      </c>
      <c r="Z251" s="4"/>
      <c r="AA251" s="4"/>
      <c r="AB251" s="4">
        <f>$K$251*$V$251</f>
        <v>253936.65</v>
      </c>
      <c r="AC251" s="4">
        <f>$M$251*$W$251</f>
        <v>0</v>
      </c>
      <c r="AD251" s="4">
        <f>$O$251*$X$251</f>
        <v>0</v>
      </c>
      <c r="AE251" s="4">
        <f ca="1">$K$251*$Y$251</f>
        <v>297705.1687771873</v>
      </c>
      <c r="AF251" s="4">
        <f>$M$251*$Z$251</f>
        <v>0</v>
      </c>
      <c r="AG251" s="4">
        <f>$O$251*$AA$251</f>
        <v>0</v>
      </c>
    </row>
    <row r="252" spans="1:33" ht="11.25" customHeight="1" x14ac:dyDescent="0.25">
      <c r="A252" s="3" t="s">
        <v>28</v>
      </c>
      <c r="B252" s="3" t="s">
        <v>35</v>
      </c>
      <c r="C252" s="3" t="s">
        <v>36</v>
      </c>
      <c r="D252" s="3" t="s">
        <v>34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776</v>
      </c>
      <c r="K252" s="4">
        <v>776</v>
      </c>
      <c r="L252" s="4">
        <v>0</v>
      </c>
      <c r="M252" s="4">
        <v>0</v>
      </c>
      <c r="N252" s="4">
        <v>0</v>
      </c>
      <c r="O252" s="4">
        <v>0</v>
      </c>
      <c r="P252" s="4">
        <v>5</v>
      </c>
      <c r="Q252" s="3" t="s">
        <v>26</v>
      </c>
      <c r="R252" s="3">
        <v>0</v>
      </c>
      <c r="S252" s="4">
        <v>9</v>
      </c>
      <c r="T252" s="4">
        <v>0</v>
      </c>
      <c r="U252" s="4">
        <v>0</v>
      </c>
      <c r="V252" s="4">
        <f>IF(ISERROR(VLOOKUP($S$252,'TAR FIN'!$A$1:$O$91,15,0)),0,VLOOKUP($S$252,'TAR FIN'!$A$1:$O$91,15,0))</f>
        <v>18.149999999999999</v>
      </c>
      <c r="W252" s="4">
        <f>IF(ISERROR(VLOOKUP($T$252,'TAR FIN'!$A$1:$O$91,15,0)),0,VLOOKUP($T$252,'TAR FIN'!$A$1:$O$91,15,0))</f>
        <v>0</v>
      </c>
      <c r="X252" s="4">
        <f>IF(ISERROR(VLOOKUP($U$252,'TAR FIN'!$A$1:$O$91,15,0)),0,VLOOKUP($U$252,'TAR FIN'!$A$1:$O$91,15,0))</f>
        <v>0</v>
      </c>
      <c r="Y252" s="4">
        <f ca="1">('TUSD BE'!$AM$13+'TUSD BF'!$AM$13+'TUSD CVA'!$AM$13)*1</f>
        <v>21.278333841554378</v>
      </c>
      <c r="Z252" s="4"/>
      <c r="AA252" s="4"/>
      <c r="AB252" s="4">
        <f>$K$252*$V$252</f>
        <v>14084.4</v>
      </c>
      <c r="AC252" s="4">
        <f>$M$252*$W$252</f>
        <v>0</v>
      </c>
      <c r="AD252" s="4">
        <f>$O$252*$X$252</f>
        <v>0</v>
      </c>
      <c r="AE252" s="4">
        <f ca="1">$K$252*$Y$252</f>
        <v>16511.987061046199</v>
      </c>
      <c r="AF252" s="4">
        <f>$M$252*$Z$252</f>
        <v>0</v>
      </c>
      <c r="AG252" s="4">
        <f>$O$252*$AA$252</f>
        <v>0</v>
      </c>
    </row>
    <row r="253" spans="1:33" ht="11.25" customHeight="1" x14ac:dyDescent="0.25">
      <c r="A253" s="3" t="s">
        <v>21</v>
      </c>
      <c r="B253" s="3" t="s">
        <v>35</v>
      </c>
      <c r="C253" s="3" t="s">
        <v>36</v>
      </c>
      <c r="D253" s="3" t="s">
        <v>34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44713</v>
      </c>
      <c r="J253" s="4">
        <v>14010</v>
      </c>
      <c r="K253" s="4">
        <v>14010</v>
      </c>
      <c r="L253" s="4">
        <v>0</v>
      </c>
      <c r="M253" s="4">
        <v>0</v>
      </c>
      <c r="N253" s="4">
        <v>0</v>
      </c>
      <c r="O253" s="4">
        <v>0</v>
      </c>
      <c r="P253" s="4">
        <v>56</v>
      </c>
      <c r="Q253" s="3" t="s">
        <v>26</v>
      </c>
      <c r="R253" s="3">
        <v>0</v>
      </c>
      <c r="S253" s="4">
        <v>9</v>
      </c>
      <c r="T253" s="4">
        <v>0</v>
      </c>
      <c r="U253" s="4">
        <v>0</v>
      </c>
      <c r="V253" s="4">
        <f>IF(ISERROR(VLOOKUP($S$253,'TAR FIN'!$A$1:$O$91,15,0)),0,VLOOKUP($S$253,'TAR FIN'!$A$1:$O$91,15,0))</f>
        <v>18.149999999999999</v>
      </c>
      <c r="W253" s="4">
        <f>IF(ISERROR(VLOOKUP($T$253,'TAR FIN'!$A$1:$O$91,15,0)),0,VLOOKUP($T$253,'TAR FIN'!$A$1:$O$91,15,0))</f>
        <v>0</v>
      </c>
      <c r="X253" s="4">
        <f>IF(ISERROR(VLOOKUP($U$253,'TAR FIN'!$A$1:$O$91,15,0)),0,VLOOKUP($U$253,'TAR FIN'!$A$1:$O$91,15,0))</f>
        <v>0</v>
      </c>
      <c r="Y253" s="4">
        <f ca="1">('TUSD BE'!$AM$13+'TUSD BF'!$AM$13+'TUSD CVA'!$AM$13)*1</f>
        <v>21.278333841554378</v>
      </c>
      <c r="Z253" s="4"/>
      <c r="AA253" s="4"/>
      <c r="AB253" s="4">
        <f>$K$253*$V$253</f>
        <v>254281.49999999997</v>
      </c>
      <c r="AC253" s="4">
        <f>$M$253*$W$253</f>
        <v>0</v>
      </c>
      <c r="AD253" s="4">
        <f>$O$253*$X$253</f>
        <v>0</v>
      </c>
      <c r="AE253" s="4">
        <f ca="1">$K$253*$Y$253</f>
        <v>298109.45712017681</v>
      </c>
      <c r="AF253" s="4">
        <f>$M$253*$Z$253</f>
        <v>0</v>
      </c>
      <c r="AG253" s="4">
        <f>$O$253*$AA$253</f>
        <v>0</v>
      </c>
    </row>
    <row r="254" spans="1:33" ht="11.25" customHeight="1" x14ac:dyDescent="0.25">
      <c r="A254" s="3" t="s">
        <v>28</v>
      </c>
      <c r="B254" s="3" t="s">
        <v>35</v>
      </c>
      <c r="C254" s="3" t="s">
        <v>36</v>
      </c>
      <c r="D254" s="3" t="s">
        <v>34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44713</v>
      </c>
      <c r="J254" s="4">
        <v>776</v>
      </c>
      <c r="K254" s="4">
        <v>776</v>
      </c>
      <c r="L254" s="4">
        <v>0</v>
      </c>
      <c r="M254" s="4">
        <v>0</v>
      </c>
      <c r="N254" s="4">
        <v>0</v>
      </c>
      <c r="O254" s="4">
        <v>0</v>
      </c>
      <c r="P254" s="4">
        <v>5</v>
      </c>
      <c r="Q254" s="3" t="s">
        <v>26</v>
      </c>
      <c r="R254" s="3">
        <v>0</v>
      </c>
      <c r="S254" s="4">
        <v>9</v>
      </c>
      <c r="T254" s="4">
        <v>0</v>
      </c>
      <c r="U254" s="4">
        <v>0</v>
      </c>
      <c r="V254" s="4">
        <f>IF(ISERROR(VLOOKUP($S$254,'TAR FIN'!$A$1:$O$91,15,0)),0,VLOOKUP($S$254,'TAR FIN'!$A$1:$O$91,15,0))</f>
        <v>18.149999999999999</v>
      </c>
      <c r="W254" s="4">
        <f>IF(ISERROR(VLOOKUP($T$254,'TAR FIN'!$A$1:$O$91,15,0)),0,VLOOKUP($T$254,'TAR FIN'!$A$1:$O$91,15,0))</f>
        <v>0</v>
      </c>
      <c r="X254" s="4">
        <f>IF(ISERROR(VLOOKUP($U$254,'TAR FIN'!$A$1:$O$91,15,0)),0,VLOOKUP($U$254,'TAR FIN'!$A$1:$O$91,15,0))</f>
        <v>0</v>
      </c>
      <c r="Y254" s="4">
        <f ca="1">('TUSD BE'!$AM$13+'TUSD BF'!$AM$13+'TUSD CVA'!$AM$13)*1</f>
        <v>21.278333841554378</v>
      </c>
      <c r="Z254" s="4"/>
      <c r="AA254" s="4"/>
      <c r="AB254" s="4">
        <f>$K$254*$V$254</f>
        <v>14084.4</v>
      </c>
      <c r="AC254" s="4">
        <f>$M$254*$W$254</f>
        <v>0</v>
      </c>
      <c r="AD254" s="4">
        <f>$O$254*$X$254</f>
        <v>0</v>
      </c>
      <c r="AE254" s="4">
        <f ca="1">$K$254*$Y$254</f>
        <v>16511.987061046199</v>
      </c>
      <c r="AF254" s="4">
        <f>$M$254*$Z$254</f>
        <v>0</v>
      </c>
      <c r="AG254" s="4">
        <f>$O$254*$AA$254</f>
        <v>0</v>
      </c>
    </row>
    <row r="255" spans="1:33" ht="11.25" customHeight="1" x14ac:dyDescent="0.25">
      <c r="A255" s="3" t="s">
        <v>21</v>
      </c>
      <c r="B255" s="3" t="s">
        <v>35</v>
      </c>
      <c r="C255" s="3" t="s">
        <v>36</v>
      </c>
      <c r="D255" s="3" t="s">
        <v>34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44743</v>
      </c>
      <c r="J255" s="4">
        <v>14031</v>
      </c>
      <c r="K255" s="4">
        <v>14031</v>
      </c>
      <c r="L255" s="4">
        <v>0</v>
      </c>
      <c r="M255" s="4">
        <v>0</v>
      </c>
      <c r="N255" s="4">
        <v>0</v>
      </c>
      <c r="O255" s="4">
        <v>0</v>
      </c>
      <c r="P255" s="4">
        <v>56</v>
      </c>
      <c r="Q255" s="3" t="s">
        <v>26</v>
      </c>
      <c r="R255" s="3">
        <v>0</v>
      </c>
      <c r="S255" s="4">
        <v>9</v>
      </c>
      <c r="T255" s="4">
        <v>0</v>
      </c>
      <c r="U255" s="4">
        <v>0</v>
      </c>
      <c r="V255" s="4">
        <f>IF(ISERROR(VLOOKUP($S$255,'TAR FIN'!$A$1:$O$91,15,0)),0,VLOOKUP($S$255,'TAR FIN'!$A$1:$O$91,15,0))</f>
        <v>18.149999999999999</v>
      </c>
      <c r="W255" s="4">
        <f>IF(ISERROR(VLOOKUP($T$255,'TAR FIN'!$A$1:$O$91,15,0)),0,VLOOKUP($T$255,'TAR FIN'!$A$1:$O$91,15,0))</f>
        <v>0</v>
      </c>
      <c r="X255" s="4">
        <f>IF(ISERROR(VLOOKUP($U$255,'TAR FIN'!$A$1:$O$91,15,0)),0,VLOOKUP($U$255,'TAR FIN'!$A$1:$O$91,15,0))</f>
        <v>0</v>
      </c>
      <c r="Y255" s="4">
        <f ca="1">('TUSD BE'!$AM$13+'TUSD BF'!$AM$13+'TUSD CVA'!$AM$13)*1</f>
        <v>21.278333841554378</v>
      </c>
      <c r="Z255" s="4"/>
      <c r="AA255" s="4"/>
      <c r="AB255" s="4">
        <f>$K$255*$V$255</f>
        <v>254662.65</v>
      </c>
      <c r="AC255" s="4">
        <f>$M$255*$W$255</f>
        <v>0</v>
      </c>
      <c r="AD255" s="4">
        <f>$O$255*$X$255</f>
        <v>0</v>
      </c>
      <c r="AE255" s="4">
        <f ca="1">$K$255*$Y$255</f>
        <v>298556.30213084951</v>
      </c>
      <c r="AF255" s="4">
        <f>$M$255*$Z$255</f>
        <v>0</v>
      </c>
      <c r="AG255" s="4">
        <f>$O$255*$AA$255</f>
        <v>0</v>
      </c>
    </row>
    <row r="256" spans="1:33" ht="11.25" customHeight="1" x14ac:dyDescent="0.25">
      <c r="A256" s="3" t="s">
        <v>21</v>
      </c>
      <c r="B256" s="3" t="s">
        <v>35</v>
      </c>
      <c r="C256" s="3" t="s">
        <v>36</v>
      </c>
      <c r="D256" s="3" t="s">
        <v>34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44774</v>
      </c>
      <c r="J256" s="4">
        <v>13837</v>
      </c>
      <c r="K256" s="4">
        <v>13837</v>
      </c>
      <c r="L256" s="4">
        <v>0</v>
      </c>
      <c r="M256" s="4">
        <v>0</v>
      </c>
      <c r="N256" s="4">
        <v>0</v>
      </c>
      <c r="O256" s="4">
        <v>0</v>
      </c>
      <c r="P256" s="4">
        <v>56</v>
      </c>
      <c r="Q256" s="3" t="s">
        <v>26</v>
      </c>
      <c r="R256" s="3">
        <v>0</v>
      </c>
      <c r="S256" s="4">
        <v>9</v>
      </c>
      <c r="T256" s="4">
        <v>0</v>
      </c>
      <c r="U256" s="4">
        <v>0</v>
      </c>
      <c r="V256" s="4">
        <f>IF(ISERROR(VLOOKUP($S$256,'TAR FIN'!$A$1:$O$91,15,0)),0,VLOOKUP($S$256,'TAR FIN'!$A$1:$O$91,15,0))</f>
        <v>18.149999999999999</v>
      </c>
      <c r="W256" s="4">
        <f>IF(ISERROR(VLOOKUP($T$256,'TAR FIN'!$A$1:$O$91,15,0)),0,VLOOKUP($T$256,'TAR FIN'!$A$1:$O$91,15,0))</f>
        <v>0</v>
      </c>
      <c r="X256" s="4">
        <f>IF(ISERROR(VLOOKUP($U$256,'TAR FIN'!$A$1:$O$91,15,0)),0,VLOOKUP($U$256,'TAR FIN'!$A$1:$O$91,15,0))</f>
        <v>0</v>
      </c>
      <c r="Y256" s="4">
        <f ca="1">('TUSD BE'!$AM$13+'TUSD BF'!$AM$13+'TUSD CVA'!$AM$13)*1</f>
        <v>21.278333841554378</v>
      </c>
      <c r="Z256" s="4"/>
      <c r="AA256" s="4"/>
      <c r="AB256" s="4">
        <f>$K$256*$V$256</f>
        <v>251141.55</v>
      </c>
      <c r="AC256" s="4">
        <f>$M$256*$W$256</f>
        <v>0</v>
      </c>
      <c r="AD256" s="4">
        <f>$O$256*$X$256</f>
        <v>0</v>
      </c>
      <c r="AE256" s="4">
        <f ca="1">$K$256*$Y$256</f>
        <v>294428.30536558793</v>
      </c>
      <c r="AF256" s="4">
        <f>$M$256*$Z$256</f>
        <v>0</v>
      </c>
      <c r="AG256" s="4">
        <f>$O$256*$AA$256</f>
        <v>0</v>
      </c>
    </row>
    <row r="257" spans="1:33" ht="11.25" customHeight="1" x14ac:dyDescent="0.25">
      <c r="A257" s="3" t="s">
        <v>27</v>
      </c>
      <c r="B257" s="3" t="s">
        <v>35</v>
      </c>
      <c r="C257" s="3" t="s">
        <v>36</v>
      </c>
      <c r="D257" s="3" t="s">
        <v>34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44774</v>
      </c>
      <c r="J257" s="4">
        <v>-97</v>
      </c>
      <c r="K257" s="4">
        <v>-97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 t="s">
        <v>26</v>
      </c>
      <c r="R257" s="3">
        <v>0</v>
      </c>
      <c r="S257" s="4">
        <v>9</v>
      </c>
      <c r="T257" s="4">
        <v>0</v>
      </c>
      <c r="U257" s="4">
        <v>0</v>
      </c>
      <c r="V257" s="4">
        <f>IF(ISERROR(VLOOKUP($S$257,'TAR FIN'!$A$1:$O$91,15,0)),0,VLOOKUP($S$257,'TAR FIN'!$A$1:$O$91,15,0))</f>
        <v>18.149999999999999</v>
      </c>
      <c r="W257" s="4">
        <f>IF(ISERROR(VLOOKUP($T$257,'TAR FIN'!$A$1:$O$91,15,0)),0,VLOOKUP($T$257,'TAR FIN'!$A$1:$O$91,15,0))</f>
        <v>0</v>
      </c>
      <c r="X257" s="4">
        <f>IF(ISERROR(VLOOKUP($U$257,'TAR FIN'!$A$1:$O$91,15,0)),0,VLOOKUP($U$257,'TAR FIN'!$A$1:$O$91,15,0))</f>
        <v>0</v>
      </c>
      <c r="Y257" s="4">
        <f ca="1">('TUSD BE'!$AM$13+'TUSD BF'!$AM$13+'TUSD CVA'!$AM$13)*1</f>
        <v>21.278333841554378</v>
      </c>
      <c r="Z257" s="4"/>
      <c r="AA257" s="4"/>
      <c r="AB257" s="4">
        <f>$K$257*$V$257</f>
        <v>-1760.55</v>
      </c>
      <c r="AC257" s="4">
        <f>$M$257*$W$257</f>
        <v>0</v>
      </c>
      <c r="AD257" s="4">
        <f>$O$257*$X$257</f>
        <v>0</v>
      </c>
      <c r="AE257" s="4">
        <f ca="1">$K$257*$Y$257</f>
        <v>-2063.9983826307748</v>
      </c>
      <c r="AF257" s="4">
        <f>$M$257*$Z$257</f>
        <v>0</v>
      </c>
      <c r="AG257" s="4">
        <f>$O$257*$AA$257</f>
        <v>0</v>
      </c>
    </row>
    <row r="258" spans="1:33" ht="11.25" customHeight="1" x14ac:dyDescent="0.25">
      <c r="A258" s="3" t="s">
        <v>28</v>
      </c>
      <c r="B258" s="3" t="s">
        <v>35</v>
      </c>
      <c r="C258" s="3" t="s">
        <v>36</v>
      </c>
      <c r="D258" s="3" t="s">
        <v>34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44774</v>
      </c>
      <c r="J258" s="4">
        <v>1114</v>
      </c>
      <c r="K258" s="4">
        <v>1114</v>
      </c>
      <c r="L258" s="4">
        <v>0</v>
      </c>
      <c r="M258" s="4">
        <v>0</v>
      </c>
      <c r="N258" s="4">
        <v>0</v>
      </c>
      <c r="O258" s="4">
        <v>0</v>
      </c>
      <c r="P258" s="4">
        <v>7</v>
      </c>
      <c r="Q258" s="3" t="s">
        <v>26</v>
      </c>
      <c r="R258" s="3">
        <v>0</v>
      </c>
      <c r="S258" s="4">
        <v>9</v>
      </c>
      <c r="T258" s="4">
        <v>0</v>
      </c>
      <c r="U258" s="4">
        <v>0</v>
      </c>
      <c r="V258" s="4">
        <f>IF(ISERROR(VLOOKUP($S$258,'TAR FIN'!$A$1:$O$91,15,0)),0,VLOOKUP($S$258,'TAR FIN'!$A$1:$O$91,15,0))</f>
        <v>18.149999999999999</v>
      </c>
      <c r="W258" s="4">
        <f>IF(ISERROR(VLOOKUP($T$258,'TAR FIN'!$A$1:$O$91,15,0)),0,VLOOKUP($T$258,'TAR FIN'!$A$1:$O$91,15,0))</f>
        <v>0</v>
      </c>
      <c r="X258" s="4">
        <f>IF(ISERROR(VLOOKUP($U$258,'TAR FIN'!$A$1:$O$91,15,0)),0,VLOOKUP($U$258,'TAR FIN'!$A$1:$O$91,15,0))</f>
        <v>0</v>
      </c>
      <c r="Y258" s="4">
        <f ca="1">('TUSD BE'!$AM$13+'TUSD BF'!$AM$13+'TUSD CVA'!$AM$13)*1</f>
        <v>21.278333841554378</v>
      </c>
      <c r="Z258" s="4"/>
      <c r="AA258" s="4"/>
      <c r="AB258" s="4">
        <f>$K$258*$V$258</f>
        <v>20219.099999999999</v>
      </c>
      <c r="AC258" s="4">
        <f>$M$258*$W$258</f>
        <v>0</v>
      </c>
      <c r="AD258" s="4">
        <f>$O$258*$X$258</f>
        <v>0</v>
      </c>
      <c r="AE258" s="4">
        <f ca="1">$K$258*$Y$258</f>
        <v>23704.063899491579</v>
      </c>
      <c r="AF258" s="4">
        <f>$M$258*$Z$258</f>
        <v>0</v>
      </c>
      <c r="AG258" s="4">
        <f>$O$258*$AA$258</f>
        <v>0</v>
      </c>
    </row>
    <row r="259" spans="1:33" ht="11.25" customHeight="1" x14ac:dyDescent="0.25">
      <c r="A259" s="3" t="s">
        <v>21</v>
      </c>
      <c r="B259" s="3" t="s">
        <v>35</v>
      </c>
      <c r="C259" s="3" t="s">
        <v>36</v>
      </c>
      <c r="D259" s="3" t="s">
        <v>34</v>
      </c>
      <c r="E259" s="3" t="s">
        <v>25</v>
      </c>
      <c r="F259" s="3" t="s">
        <v>25</v>
      </c>
      <c r="G259" s="3" t="s">
        <v>25</v>
      </c>
      <c r="H259" s="3" t="s">
        <v>37</v>
      </c>
      <c r="I259" s="6">
        <v>44440</v>
      </c>
      <c r="J259" s="4">
        <v>0</v>
      </c>
      <c r="K259" s="4">
        <v>0</v>
      </c>
      <c r="L259" s="4">
        <v>227.98599999999999</v>
      </c>
      <c r="M259" s="4">
        <v>227.98599999999999</v>
      </c>
      <c r="N259" s="4">
        <v>227.98599999999999</v>
      </c>
      <c r="O259" s="4">
        <v>227.98599999999999</v>
      </c>
      <c r="P259" s="4">
        <v>0</v>
      </c>
      <c r="Q259" s="3" t="s">
        <v>26</v>
      </c>
      <c r="R259" s="3">
        <v>0</v>
      </c>
      <c r="S259" s="4">
        <v>0</v>
      </c>
      <c r="T259" s="4">
        <v>10</v>
      </c>
      <c r="U259" s="4">
        <v>77</v>
      </c>
      <c r="V259" s="4">
        <f>IF(ISERROR(VLOOKUP($S$259,'TAR FIN'!$A$1:$O$91,15,0)),0,VLOOKUP($S$259,'TAR FIN'!$A$1:$O$91,15,0))</f>
        <v>0</v>
      </c>
      <c r="W259" s="4">
        <f>IF(ISERROR(VLOOKUP($T$259,'TAR FIN'!$A$1:$O$91,15,0)),0,VLOOKUP($T$259,'TAR FIN'!$A$1:$O$91,15,0))</f>
        <v>1426.09</v>
      </c>
      <c r="X259" s="4">
        <f>IF(ISERROR(VLOOKUP($U$259,'TAR FIN'!$A$1:$O$91,15,0)),0,VLOOKUP($U$259,'TAR FIN'!$A$1:$O$91,15,0))</f>
        <v>249.25</v>
      </c>
      <c r="Y259" s="4"/>
      <c r="Z259" s="4">
        <f ca="1">('TUSD BE'!$AM$14+'TUSD BF'!$AM$14+'TUSD CVA'!$AM$14)*1</f>
        <v>1695.6228771157423</v>
      </c>
      <c r="AA259" s="4">
        <f>('TE BE'!$AB$5+'TE BF'!$AB$5+'TE CVA'!$AB$5)*1</f>
        <v>203.38274236935246</v>
      </c>
      <c r="AB259" s="4">
        <f>$K$259*$V$259</f>
        <v>0</v>
      </c>
      <c r="AC259" s="4">
        <f>$M$259*$W$259</f>
        <v>325128.55473999999</v>
      </c>
      <c r="AD259" s="4">
        <f>$O$259*$X$259</f>
        <v>56825.510499999997</v>
      </c>
      <c r="AE259" s="4">
        <f>$K$259*$Y$259</f>
        <v>0</v>
      </c>
      <c r="AF259" s="4">
        <f ca="1">$M$259*$Z$259</f>
        <v>386578.27726210962</v>
      </c>
      <c r="AG259" s="4">
        <f>$O$259*$AA$259</f>
        <v>46368.417901819186</v>
      </c>
    </row>
    <row r="260" spans="1:33" ht="11.25" customHeight="1" x14ac:dyDescent="0.25">
      <c r="A260" s="3" t="s">
        <v>28</v>
      </c>
      <c r="B260" s="3" t="s">
        <v>35</v>
      </c>
      <c r="C260" s="3" t="s">
        <v>36</v>
      </c>
      <c r="D260" s="3" t="s">
        <v>34</v>
      </c>
      <c r="E260" s="3" t="s">
        <v>25</v>
      </c>
      <c r="F260" s="3" t="s">
        <v>25</v>
      </c>
      <c r="G260" s="3" t="s">
        <v>25</v>
      </c>
      <c r="H260" s="3" t="s">
        <v>37</v>
      </c>
      <c r="I260" s="6">
        <v>44440</v>
      </c>
      <c r="J260" s="4">
        <v>0</v>
      </c>
      <c r="K260" s="4">
        <v>0</v>
      </c>
      <c r="L260" s="4">
        <v>0.92600000000000005</v>
      </c>
      <c r="M260" s="4">
        <v>0.92600000000000005</v>
      </c>
      <c r="N260" s="4">
        <v>0.92600000000000005</v>
      </c>
      <c r="O260" s="4">
        <v>0.92600000000000005</v>
      </c>
      <c r="P260" s="4">
        <v>0</v>
      </c>
      <c r="Q260" s="3" t="s">
        <v>26</v>
      </c>
      <c r="R260" s="3">
        <v>0</v>
      </c>
      <c r="S260" s="4">
        <v>0</v>
      </c>
      <c r="T260" s="4">
        <v>10</v>
      </c>
      <c r="U260" s="4">
        <v>77</v>
      </c>
      <c r="V260" s="4">
        <f>IF(ISERROR(VLOOKUP($S$260,'TAR FIN'!$A$1:$O$91,15,0)),0,VLOOKUP($S$260,'TAR FIN'!$A$1:$O$91,15,0))</f>
        <v>0</v>
      </c>
      <c r="W260" s="4">
        <f>IF(ISERROR(VLOOKUP($T$260,'TAR FIN'!$A$1:$O$91,15,0)),0,VLOOKUP($T$260,'TAR FIN'!$A$1:$O$91,15,0))</f>
        <v>1426.09</v>
      </c>
      <c r="X260" s="4">
        <f>IF(ISERROR(VLOOKUP($U$260,'TAR FIN'!$A$1:$O$91,15,0)),0,VLOOKUP($U$260,'TAR FIN'!$A$1:$O$91,15,0))</f>
        <v>249.25</v>
      </c>
      <c r="Y260" s="4"/>
      <c r="Z260" s="4">
        <f ca="1">('TUSD BE'!$AM$14+'TUSD BF'!$AM$14+'TUSD CVA'!$AM$14)*1</f>
        <v>1695.6228771157423</v>
      </c>
      <c r="AA260" s="4">
        <f>('TE BE'!$AB$5+'TE BF'!$AB$5+'TE CVA'!$AB$5)*1</f>
        <v>203.38274236935246</v>
      </c>
      <c r="AB260" s="4">
        <f>$K$260*$V$260</f>
        <v>0</v>
      </c>
      <c r="AC260" s="4">
        <f>$M$260*$W$260</f>
        <v>1320.55934</v>
      </c>
      <c r="AD260" s="4">
        <f>$O$260*$X$260</f>
        <v>230.80550000000002</v>
      </c>
      <c r="AE260" s="4">
        <f>$K$260*$Y$260</f>
        <v>0</v>
      </c>
      <c r="AF260" s="4">
        <f ca="1">$M$260*$Z$260</f>
        <v>1570.1467842091774</v>
      </c>
      <c r="AG260" s="4">
        <f>$O$260*$AA$260</f>
        <v>188.33241943402038</v>
      </c>
    </row>
    <row r="261" spans="1:33" ht="11.25" customHeight="1" x14ac:dyDescent="0.25">
      <c r="A261" s="3" t="s">
        <v>21</v>
      </c>
      <c r="B261" s="3" t="s">
        <v>35</v>
      </c>
      <c r="C261" s="3" t="s">
        <v>36</v>
      </c>
      <c r="D261" s="3" t="s">
        <v>34</v>
      </c>
      <c r="E261" s="3" t="s">
        <v>25</v>
      </c>
      <c r="F261" s="3" t="s">
        <v>25</v>
      </c>
      <c r="G261" s="3" t="s">
        <v>25</v>
      </c>
      <c r="H261" s="3" t="s">
        <v>37</v>
      </c>
      <c r="I261" s="6">
        <v>44470</v>
      </c>
      <c r="J261" s="4">
        <v>0</v>
      </c>
      <c r="K261" s="4">
        <v>0</v>
      </c>
      <c r="L261" s="4">
        <v>229.4</v>
      </c>
      <c r="M261" s="4">
        <v>229.4</v>
      </c>
      <c r="N261" s="4">
        <v>229.4</v>
      </c>
      <c r="O261" s="4">
        <v>229.4</v>
      </c>
      <c r="P261" s="4">
        <v>0</v>
      </c>
      <c r="Q261" s="3" t="s">
        <v>26</v>
      </c>
      <c r="R261" s="3">
        <v>0</v>
      </c>
      <c r="S261" s="4">
        <v>0</v>
      </c>
      <c r="T261" s="4">
        <v>10</v>
      </c>
      <c r="U261" s="4">
        <v>77</v>
      </c>
      <c r="V261" s="4">
        <f>IF(ISERROR(VLOOKUP($S$261,'TAR FIN'!$A$1:$O$91,15,0)),0,VLOOKUP($S$261,'TAR FIN'!$A$1:$O$91,15,0))</f>
        <v>0</v>
      </c>
      <c r="W261" s="4">
        <f>IF(ISERROR(VLOOKUP($T$261,'TAR FIN'!$A$1:$O$91,15,0)),0,VLOOKUP($T$261,'TAR FIN'!$A$1:$O$91,15,0))</f>
        <v>1426.09</v>
      </c>
      <c r="X261" s="4">
        <f>IF(ISERROR(VLOOKUP($U$261,'TAR FIN'!$A$1:$O$91,15,0)),0,VLOOKUP($U$261,'TAR FIN'!$A$1:$O$91,15,0))</f>
        <v>249.25</v>
      </c>
      <c r="Y261" s="4"/>
      <c r="Z261" s="4">
        <f ca="1">('TUSD BE'!$AM$14+'TUSD BF'!$AM$14+'TUSD CVA'!$AM$14)*1</f>
        <v>1695.6228771157423</v>
      </c>
      <c r="AA261" s="4">
        <f>('TE BE'!$AB$5+'TE BF'!$AB$5+'TE CVA'!$AB$5)*1</f>
        <v>203.38274236935246</v>
      </c>
      <c r="AB261" s="4">
        <f>$K$261*$V$261</f>
        <v>0</v>
      </c>
      <c r="AC261" s="4">
        <f>$M$261*$W$261</f>
        <v>327145.04599999997</v>
      </c>
      <c r="AD261" s="4">
        <f>$O$261*$X$261</f>
        <v>57177.950000000004</v>
      </c>
      <c r="AE261" s="4">
        <f>$K$261*$Y$261</f>
        <v>0</v>
      </c>
      <c r="AF261" s="4">
        <f ca="1">$M$261*$Z$261</f>
        <v>388975.88801035128</v>
      </c>
      <c r="AG261" s="4">
        <f>$O$261*$AA$261</f>
        <v>46656.001099529458</v>
      </c>
    </row>
    <row r="262" spans="1:33" ht="11.25" customHeight="1" x14ac:dyDescent="0.25">
      <c r="A262" s="3" t="s">
        <v>28</v>
      </c>
      <c r="B262" s="3" t="s">
        <v>35</v>
      </c>
      <c r="C262" s="3" t="s">
        <v>36</v>
      </c>
      <c r="D262" s="3" t="s">
        <v>34</v>
      </c>
      <c r="E262" s="3" t="s">
        <v>25</v>
      </c>
      <c r="F262" s="3" t="s">
        <v>25</v>
      </c>
      <c r="G262" s="3" t="s">
        <v>25</v>
      </c>
      <c r="H262" s="3" t="s">
        <v>37</v>
      </c>
      <c r="I262" s="6">
        <v>44470</v>
      </c>
      <c r="J262" s="4">
        <v>0</v>
      </c>
      <c r="K262" s="4">
        <v>0</v>
      </c>
      <c r="L262" s="4">
        <v>1.1779999999999999</v>
      </c>
      <c r="M262" s="4">
        <v>1.1779999999999999</v>
      </c>
      <c r="N262" s="4">
        <v>1.1779999999999999</v>
      </c>
      <c r="O262" s="4">
        <v>1.1779999999999999</v>
      </c>
      <c r="P262" s="4">
        <v>0</v>
      </c>
      <c r="Q262" s="3" t="s">
        <v>26</v>
      </c>
      <c r="R262" s="3">
        <v>0</v>
      </c>
      <c r="S262" s="4">
        <v>0</v>
      </c>
      <c r="T262" s="4">
        <v>10</v>
      </c>
      <c r="U262" s="4">
        <v>77</v>
      </c>
      <c r="V262" s="4">
        <f>IF(ISERROR(VLOOKUP($S$262,'TAR FIN'!$A$1:$O$91,15,0)),0,VLOOKUP($S$262,'TAR FIN'!$A$1:$O$91,15,0))</f>
        <v>0</v>
      </c>
      <c r="W262" s="4">
        <f>IF(ISERROR(VLOOKUP($T$262,'TAR FIN'!$A$1:$O$91,15,0)),0,VLOOKUP($T$262,'TAR FIN'!$A$1:$O$91,15,0))</f>
        <v>1426.09</v>
      </c>
      <c r="X262" s="4">
        <f>IF(ISERROR(VLOOKUP($U$262,'TAR FIN'!$A$1:$O$91,15,0)),0,VLOOKUP($U$262,'TAR FIN'!$A$1:$O$91,15,0))</f>
        <v>249.25</v>
      </c>
      <c r="Y262" s="4"/>
      <c r="Z262" s="4">
        <f ca="1">('TUSD BE'!$AM$14+'TUSD BF'!$AM$14+'TUSD CVA'!$AM$14)*1</f>
        <v>1695.6228771157423</v>
      </c>
      <c r="AA262" s="4">
        <f>('TE BE'!$AB$5+'TE BF'!$AB$5+'TE CVA'!$AB$5)*1</f>
        <v>203.38274236935246</v>
      </c>
      <c r="AB262" s="4">
        <f>$K$262*$V$262</f>
        <v>0</v>
      </c>
      <c r="AC262" s="4">
        <f>$M$262*$W$262</f>
        <v>1679.9340199999999</v>
      </c>
      <c r="AD262" s="4">
        <f>$O$262*$X$262</f>
        <v>293.61649999999997</v>
      </c>
      <c r="AE262" s="4">
        <f>$K$262*$Y$262</f>
        <v>0</v>
      </c>
      <c r="AF262" s="4">
        <f ca="1">$M$262*$Z$262</f>
        <v>1997.4437492423444</v>
      </c>
      <c r="AG262" s="4">
        <f>$O$262*$AA$262</f>
        <v>239.58487051109719</v>
      </c>
    </row>
    <row r="263" spans="1:33" ht="11.25" customHeight="1" x14ac:dyDescent="0.25">
      <c r="A263" s="3" t="s">
        <v>21</v>
      </c>
      <c r="B263" s="3" t="s">
        <v>35</v>
      </c>
      <c r="C263" s="3" t="s">
        <v>36</v>
      </c>
      <c r="D263" s="3" t="s">
        <v>34</v>
      </c>
      <c r="E263" s="3" t="s">
        <v>25</v>
      </c>
      <c r="F263" s="3" t="s">
        <v>25</v>
      </c>
      <c r="G263" s="3" t="s">
        <v>25</v>
      </c>
      <c r="H263" s="3" t="s">
        <v>37</v>
      </c>
      <c r="I263" s="6">
        <v>44501</v>
      </c>
      <c r="J263" s="4">
        <v>0</v>
      </c>
      <c r="K263" s="4">
        <v>0</v>
      </c>
      <c r="L263" s="4">
        <v>231.04300000000001</v>
      </c>
      <c r="M263" s="4">
        <v>231.04300000000001</v>
      </c>
      <c r="N263" s="4">
        <v>231.04300000000001</v>
      </c>
      <c r="O263" s="4">
        <v>231.04300000000001</v>
      </c>
      <c r="P263" s="4">
        <v>0</v>
      </c>
      <c r="Q263" s="3" t="s">
        <v>26</v>
      </c>
      <c r="R263" s="3">
        <v>0</v>
      </c>
      <c r="S263" s="4">
        <v>0</v>
      </c>
      <c r="T263" s="4">
        <v>10</v>
      </c>
      <c r="U263" s="4">
        <v>77</v>
      </c>
      <c r="V263" s="4">
        <f>IF(ISERROR(VLOOKUP($S$263,'TAR FIN'!$A$1:$O$91,15,0)),0,VLOOKUP($S$263,'TAR FIN'!$A$1:$O$91,15,0))</f>
        <v>0</v>
      </c>
      <c r="W263" s="4">
        <f>IF(ISERROR(VLOOKUP($T$263,'TAR FIN'!$A$1:$O$91,15,0)),0,VLOOKUP($T$263,'TAR FIN'!$A$1:$O$91,15,0))</f>
        <v>1426.09</v>
      </c>
      <c r="X263" s="4">
        <f>IF(ISERROR(VLOOKUP($U$263,'TAR FIN'!$A$1:$O$91,15,0)),0,VLOOKUP($U$263,'TAR FIN'!$A$1:$O$91,15,0))</f>
        <v>249.25</v>
      </c>
      <c r="Y263" s="4"/>
      <c r="Z263" s="4">
        <f ca="1">('TUSD BE'!$AM$14+'TUSD BF'!$AM$14+'TUSD CVA'!$AM$14)*1</f>
        <v>1695.6228771157423</v>
      </c>
      <c r="AA263" s="4">
        <f>('TE BE'!$AB$5+'TE BF'!$AB$5+'TE CVA'!$AB$5)*1</f>
        <v>203.38274236935246</v>
      </c>
      <c r="AB263" s="4">
        <f>$K$263*$V$263</f>
        <v>0</v>
      </c>
      <c r="AC263" s="4">
        <f>$M$263*$W$263</f>
        <v>329488.11186999996</v>
      </c>
      <c r="AD263" s="4">
        <f>$O$263*$X$263</f>
        <v>57587.467750000003</v>
      </c>
      <c r="AE263" s="4">
        <f>$K$263*$Y$263</f>
        <v>0</v>
      </c>
      <c r="AF263" s="4">
        <f ca="1">$M$263*$Z$263</f>
        <v>391761.79639745248</v>
      </c>
      <c r="AG263" s="4">
        <f>$O$263*$AA$263</f>
        <v>46990.1589452423</v>
      </c>
    </row>
    <row r="264" spans="1:33" ht="11.25" customHeight="1" x14ac:dyDescent="0.25">
      <c r="A264" s="3" t="s">
        <v>28</v>
      </c>
      <c r="B264" s="3" t="s">
        <v>35</v>
      </c>
      <c r="C264" s="3" t="s">
        <v>36</v>
      </c>
      <c r="D264" s="3" t="s">
        <v>34</v>
      </c>
      <c r="E264" s="3" t="s">
        <v>25</v>
      </c>
      <c r="F264" s="3" t="s">
        <v>25</v>
      </c>
      <c r="G264" s="3" t="s">
        <v>25</v>
      </c>
      <c r="H264" s="3" t="s">
        <v>37</v>
      </c>
      <c r="I264" s="6">
        <v>44501</v>
      </c>
      <c r="J264" s="4">
        <v>0</v>
      </c>
      <c r="K264" s="4">
        <v>0</v>
      </c>
      <c r="L264" s="4">
        <v>1.3169999999999999</v>
      </c>
      <c r="M264" s="4">
        <v>1.3169999999999999</v>
      </c>
      <c r="N264" s="4">
        <v>1.3169999999999999</v>
      </c>
      <c r="O264" s="4">
        <v>1.3169999999999999</v>
      </c>
      <c r="P264" s="4">
        <v>0</v>
      </c>
      <c r="Q264" s="3" t="s">
        <v>26</v>
      </c>
      <c r="R264" s="3">
        <v>0</v>
      </c>
      <c r="S264" s="4">
        <v>0</v>
      </c>
      <c r="T264" s="4">
        <v>10</v>
      </c>
      <c r="U264" s="4">
        <v>77</v>
      </c>
      <c r="V264" s="4">
        <f>IF(ISERROR(VLOOKUP($S$264,'TAR FIN'!$A$1:$O$91,15,0)),0,VLOOKUP($S$264,'TAR FIN'!$A$1:$O$91,15,0))</f>
        <v>0</v>
      </c>
      <c r="W264" s="4">
        <f>IF(ISERROR(VLOOKUP($T$264,'TAR FIN'!$A$1:$O$91,15,0)),0,VLOOKUP($T$264,'TAR FIN'!$A$1:$O$91,15,0))</f>
        <v>1426.09</v>
      </c>
      <c r="X264" s="4">
        <f>IF(ISERROR(VLOOKUP($U$264,'TAR FIN'!$A$1:$O$91,15,0)),0,VLOOKUP($U$264,'TAR FIN'!$A$1:$O$91,15,0))</f>
        <v>249.25</v>
      </c>
      <c r="Y264" s="4"/>
      <c r="Z264" s="4">
        <f ca="1">('TUSD BE'!$AM$14+'TUSD BF'!$AM$14+'TUSD CVA'!$AM$14)*1</f>
        <v>1695.6228771157423</v>
      </c>
      <c r="AA264" s="4">
        <f>('TE BE'!$AB$5+'TE BF'!$AB$5+'TE CVA'!$AB$5)*1</f>
        <v>203.38274236935246</v>
      </c>
      <c r="AB264" s="4">
        <f>$K$264*$V$264</f>
        <v>0</v>
      </c>
      <c r="AC264" s="4">
        <f>$M$264*$W$264</f>
        <v>1878.1605299999999</v>
      </c>
      <c r="AD264" s="4">
        <f>$O$264*$X$264</f>
        <v>328.26224999999999</v>
      </c>
      <c r="AE264" s="4">
        <f>$K$264*$Y$264</f>
        <v>0</v>
      </c>
      <c r="AF264" s="4">
        <f ca="1">$M$264*$Z$264</f>
        <v>2233.1353291614328</v>
      </c>
      <c r="AG264" s="4">
        <f>$O$264*$AA$264</f>
        <v>267.85507170043718</v>
      </c>
    </row>
    <row r="265" spans="1:33" ht="11.25" customHeight="1" x14ac:dyDescent="0.25">
      <c r="A265" s="3" t="s">
        <v>21</v>
      </c>
      <c r="B265" s="3" t="s">
        <v>35</v>
      </c>
      <c r="C265" s="3" t="s">
        <v>36</v>
      </c>
      <c r="D265" s="3" t="s">
        <v>34</v>
      </c>
      <c r="E265" s="3" t="s">
        <v>25</v>
      </c>
      <c r="F265" s="3" t="s">
        <v>25</v>
      </c>
      <c r="G265" s="3" t="s">
        <v>25</v>
      </c>
      <c r="H265" s="3" t="s">
        <v>37</v>
      </c>
      <c r="I265" s="6">
        <v>44531</v>
      </c>
      <c r="J265" s="4">
        <v>0</v>
      </c>
      <c r="K265" s="4">
        <v>0</v>
      </c>
      <c r="L265" s="4">
        <v>187.69200000000001</v>
      </c>
      <c r="M265" s="4">
        <v>187.69200000000001</v>
      </c>
      <c r="N265" s="4">
        <v>187.69200000000001</v>
      </c>
      <c r="O265" s="4">
        <v>187.69200000000001</v>
      </c>
      <c r="P265" s="4">
        <v>0</v>
      </c>
      <c r="Q265" s="3" t="s">
        <v>26</v>
      </c>
      <c r="R265" s="3">
        <v>0</v>
      </c>
      <c r="S265" s="4">
        <v>0</v>
      </c>
      <c r="T265" s="4">
        <v>10</v>
      </c>
      <c r="U265" s="4">
        <v>77</v>
      </c>
      <c r="V265" s="4">
        <f>IF(ISERROR(VLOOKUP($S$265,'TAR FIN'!$A$1:$O$91,15,0)),0,VLOOKUP($S$265,'TAR FIN'!$A$1:$O$91,15,0))</f>
        <v>0</v>
      </c>
      <c r="W265" s="4">
        <f>IF(ISERROR(VLOOKUP($T$265,'TAR FIN'!$A$1:$O$91,15,0)),0,VLOOKUP($T$265,'TAR FIN'!$A$1:$O$91,15,0))</f>
        <v>1426.09</v>
      </c>
      <c r="X265" s="4">
        <f>IF(ISERROR(VLOOKUP($U$265,'TAR FIN'!$A$1:$O$91,15,0)),0,VLOOKUP($U$265,'TAR FIN'!$A$1:$O$91,15,0))</f>
        <v>249.25</v>
      </c>
      <c r="Y265" s="4"/>
      <c r="Z265" s="4">
        <f ca="1">('TUSD BE'!$AM$14+'TUSD BF'!$AM$14+'TUSD CVA'!$AM$14)*1</f>
        <v>1695.6228771157423</v>
      </c>
      <c r="AA265" s="4">
        <f>('TE BE'!$AB$5+'TE BF'!$AB$5+'TE CVA'!$AB$5)*1</f>
        <v>203.38274236935246</v>
      </c>
      <c r="AB265" s="4">
        <f>$K$265*$V$265</f>
        <v>0</v>
      </c>
      <c r="AC265" s="4">
        <f>$M$265*$W$265</f>
        <v>267665.68427999999</v>
      </c>
      <c r="AD265" s="4">
        <f>$O$265*$X$265</f>
        <v>46782.231</v>
      </c>
      <c r="AE265" s="4">
        <f>$K$265*$Y$265</f>
        <v>0</v>
      </c>
      <c r="AF265" s="4">
        <f ca="1">$M$265*$Z$265</f>
        <v>318254.84905160795</v>
      </c>
      <c r="AG265" s="4">
        <f>$O$265*$AA$265</f>
        <v>38173.313680788502</v>
      </c>
    </row>
    <row r="266" spans="1:33" ht="11.25" customHeight="1" x14ac:dyDescent="0.25">
      <c r="A266" s="3" t="s">
        <v>28</v>
      </c>
      <c r="B266" s="3" t="s">
        <v>35</v>
      </c>
      <c r="C266" s="3" t="s">
        <v>36</v>
      </c>
      <c r="D266" s="3" t="s">
        <v>34</v>
      </c>
      <c r="E266" s="3" t="s">
        <v>25</v>
      </c>
      <c r="F266" s="3" t="s">
        <v>25</v>
      </c>
      <c r="G266" s="3" t="s">
        <v>25</v>
      </c>
      <c r="H266" s="3" t="s">
        <v>37</v>
      </c>
      <c r="I266" s="6">
        <v>44531</v>
      </c>
      <c r="J266" s="4">
        <v>0</v>
      </c>
      <c r="K266" s="4">
        <v>0</v>
      </c>
      <c r="L266" s="4">
        <v>1.0589999999999999</v>
      </c>
      <c r="M266" s="4">
        <v>1.0589999999999999</v>
      </c>
      <c r="N266" s="4">
        <v>1.0589999999999999</v>
      </c>
      <c r="O266" s="4">
        <v>1.0589999999999999</v>
      </c>
      <c r="P266" s="4">
        <v>0</v>
      </c>
      <c r="Q266" s="3" t="s">
        <v>26</v>
      </c>
      <c r="R266" s="3">
        <v>0</v>
      </c>
      <c r="S266" s="4">
        <v>0</v>
      </c>
      <c r="T266" s="4">
        <v>10</v>
      </c>
      <c r="U266" s="4">
        <v>77</v>
      </c>
      <c r="V266" s="4">
        <f>IF(ISERROR(VLOOKUP($S$266,'TAR FIN'!$A$1:$O$91,15,0)),0,VLOOKUP($S$266,'TAR FIN'!$A$1:$O$91,15,0))</f>
        <v>0</v>
      </c>
      <c r="W266" s="4">
        <f>IF(ISERROR(VLOOKUP($T$266,'TAR FIN'!$A$1:$O$91,15,0)),0,VLOOKUP($T$266,'TAR FIN'!$A$1:$O$91,15,0))</f>
        <v>1426.09</v>
      </c>
      <c r="X266" s="4">
        <f>IF(ISERROR(VLOOKUP($U$266,'TAR FIN'!$A$1:$O$91,15,0)),0,VLOOKUP($U$266,'TAR FIN'!$A$1:$O$91,15,0))</f>
        <v>249.25</v>
      </c>
      <c r="Y266" s="4"/>
      <c r="Z266" s="4">
        <f ca="1">('TUSD BE'!$AM$14+'TUSD BF'!$AM$14+'TUSD CVA'!$AM$14)*1</f>
        <v>1695.6228771157423</v>
      </c>
      <c r="AA266" s="4">
        <f>('TE BE'!$AB$5+'TE BF'!$AB$5+'TE CVA'!$AB$5)*1</f>
        <v>203.38274236935246</v>
      </c>
      <c r="AB266" s="4">
        <f>$K$266*$V$266</f>
        <v>0</v>
      </c>
      <c r="AC266" s="4">
        <f>$M$266*$W$266</f>
        <v>1510.2293099999999</v>
      </c>
      <c r="AD266" s="4">
        <f>$O$266*$X$266</f>
        <v>263.95574999999997</v>
      </c>
      <c r="AE266" s="4">
        <f>$K$266*$Y$266</f>
        <v>0</v>
      </c>
      <c r="AF266" s="4">
        <f ca="1">$M$266*$Z$266</f>
        <v>1795.6646268655711</v>
      </c>
      <c r="AG266" s="4">
        <f>$O$266*$AA$266</f>
        <v>215.38232416914423</v>
      </c>
    </row>
    <row r="267" spans="1:33" ht="11.25" customHeight="1" x14ac:dyDescent="0.25">
      <c r="A267" s="3" t="s">
        <v>21</v>
      </c>
      <c r="B267" s="3" t="s">
        <v>35</v>
      </c>
      <c r="C267" s="3" t="s">
        <v>36</v>
      </c>
      <c r="D267" s="3" t="s">
        <v>34</v>
      </c>
      <c r="E267" s="3" t="s">
        <v>25</v>
      </c>
      <c r="F267" s="3" t="s">
        <v>25</v>
      </c>
      <c r="G267" s="3" t="s">
        <v>25</v>
      </c>
      <c r="H267" s="3" t="s">
        <v>37</v>
      </c>
      <c r="I267" s="6">
        <v>44562</v>
      </c>
      <c r="J267" s="4">
        <v>0</v>
      </c>
      <c r="K267" s="4">
        <v>0</v>
      </c>
      <c r="L267" s="4">
        <v>210.47200000000001</v>
      </c>
      <c r="M267" s="4">
        <v>210.47200000000001</v>
      </c>
      <c r="N267" s="4">
        <v>210.47200000000001</v>
      </c>
      <c r="O267" s="4">
        <v>210.47200000000001</v>
      </c>
      <c r="P267" s="4">
        <v>0</v>
      </c>
      <c r="Q267" s="3" t="s">
        <v>26</v>
      </c>
      <c r="R267" s="3">
        <v>0</v>
      </c>
      <c r="S267" s="4">
        <v>0</v>
      </c>
      <c r="T267" s="4">
        <v>10</v>
      </c>
      <c r="U267" s="4">
        <v>77</v>
      </c>
      <c r="V267" s="4">
        <f>IF(ISERROR(VLOOKUP($S$267,'TAR FIN'!$A$1:$O$91,15,0)),0,VLOOKUP($S$267,'TAR FIN'!$A$1:$O$91,15,0))</f>
        <v>0</v>
      </c>
      <c r="W267" s="4">
        <f>IF(ISERROR(VLOOKUP($T$267,'TAR FIN'!$A$1:$O$91,15,0)),0,VLOOKUP($T$267,'TAR FIN'!$A$1:$O$91,15,0))</f>
        <v>1426.09</v>
      </c>
      <c r="X267" s="4">
        <f>IF(ISERROR(VLOOKUP($U$267,'TAR FIN'!$A$1:$O$91,15,0)),0,VLOOKUP($U$267,'TAR FIN'!$A$1:$O$91,15,0))</f>
        <v>249.25</v>
      </c>
      <c r="Y267" s="4"/>
      <c r="Z267" s="4">
        <f ca="1">('TUSD BE'!$AM$14+'TUSD BF'!$AM$14+'TUSD CVA'!$AM$14)*1</f>
        <v>1695.6228771157423</v>
      </c>
      <c r="AA267" s="4">
        <f>('TE BE'!$AB$5+'TE BF'!$AB$5+'TE CVA'!$AB$5)*1</f>
        <v>203.38274236935246</v>
      </c>
      <c r="AB267" s="4">
        <f>$K$267*$V$267</f>
        <v>0</v>
      </c>
      <c r="AC267" s="4">
        <f>$M$267*$W$267</f>
        <v>300152.01448000001</v>
      </c>
      <c r="AD267" s="4">
        <f>$O$267*$X$267</f>
        <v>52460.146000000001</v>
      </c>
      <c r="AE267" s="4">
        <f>$K$267*$Y$267</f>
        <v>0</v>
      </c>
      <c r="AF267" s="4">
        <f ca="1">$M$267*$Z$267</f>
        <v>356881.13819230453</v>
      </c>
      <c r="AG267" s="4">
        <f>$O$267*$AA$267</f>
        <v>42806.372551962355</v>
      </c>
    </row>
    <row r="268" spans="1:33" ht="11.25" customHeight="1" x14ac:dyDescent="0.25">
      <c r="A268" s="3" t="s">
        <v>28</v>
      </c>
      <c r="B268" s="3" t="s">
        <v>35</v>
      </c>
      <c r="C268" s="3" t="s">
        <v>36</v>
      </c>
      <c r="D268" s="3" t="s">
        <v>34</v>
      </c>
      <c r="E268" s="3" t="s">
        <v>25</v>
      </c>
      <c r="F268" s="3" t="s">
        <v>25</v>
      </c>
      <c r="G268" s="3" t="s">
        <v>25</v>
      </c>
      <c r="H268" s="3" t="s">
        <v>37</v>
      </c>
      <c r="I268" s="6">
        <v>44562</v>
      </c>
      <c r="J268" s="4">
        <v>0</v>
      </c>
      <c r="K268" s="4">
        <v>0</v>
      </c>
      <c r="L268" s="4">
        <v>1.2370000000000001</v>
      </c>
      <c r="M268" s="4">
        <v>1.2370000000000001</v>
      </c>
      <c r="N268" s="4">
        <v>1.2370000000000001</v>
      </c>
      <c r="O268" s="4">
        <v>1.2370000000000001</v>
      </c>
      <c r="P268" s="4">
        <v>0</v>
      </c>
      <c r="Q268" s="3" t="s">
        <v>26</v>
      </c>
      <c r="R268" s="3">
        <v>0</v>
      </c>
      <c r="S268" s="4">
        <v>0</v>
      </c>
      <c r="T268" s="4">
        <v>10</v>
      </c>
      <c r="U268" s="4">
        <v>77</v>
      </c>
      <c r="V268" s="4">
        <f>IF(ISERROR(VLOOKUP($S$268,'TAR FIN'!$A$1:$O$91,15,0)),0,VLOOKUP($S$268,'TAR FIN'!$A$1:$O$91,15,0))</f>
        <v>0</v>
      </c>
      <c r="W268" s="4">
        <f>IF(ISERROR(VLOOKUP($T$268,'TAR FIN'!$A$1:$O$91,15,0)),0,VLOOKUP($T$268,'TAR FIN'!$A$1:$O$91,15,0))</f>
        <v>1426.09</v>
      </c>
      <c r="X268" s="4">
        <f>IF(ISERROR(VLOOKUP($U$268,'TAR FIN'!$A$1:$O$91,15,0)),0,VLOOKUP($U$268,'TAR FIN'!$A$1:$O$91,15,0))</f>
        <v>249.25</v>
      </c>
      <c r="Y268" s="4"/>
      <c r="Z268" s="4">
        <f ca="1">('TUSD BE'!$AM$14+'TUSD BF'!$AM$14+'TUSD CVA'!$AM$14)*1</f>
        <v>1695.6228771157423</v>
      </c>
      <c r="AA268" s="4">
        <f>('TE BE'!$AB$5+'TE BF'!$AB$5+'TE CVA'!$AB$5)*1</f>
        <v>203.38274236935246</v>
      </c>
      <c r="AB268" s="4">
        <f>$K$268*$V$268</f>
        <v>0</v>
      </c>
      <c r="AC268" s="4">
        <f>$M$268*$W$268</f>
        <v>1764.0733299999999</v>
      </c>
      <c r="AD268" s="4">
        <f>$O$268*$X$268</f>
        <v>308.32225</v>
      </c>
      <c r="AE268" s="4">
        <f>$K$268*$Y$268</f>
        <v>0</v>
      </c>
      <c r="AF268" s="4">
        <f ca="1">$M$268*$Z$268</f>
        <v>2097.4854989921732</v>
      </c>
      <c r="AG268" s="4">
        <f>$O$268*$AA$268</f>
        <v>251.58445231088902</v>
      </c>
    </row>
    <row r="269" spans="1:33" ht="11.25" customHeight="1" x14ac:dyDescent="0.25">
      <c r="A269" s="3" t="s">
        <v>21</v>
      </c>
      <c r="B269" s="3" t="s">
        <v>35</v>
      </c>
      <c r="C269" s="3" t="s">
        <v>36</v>
      </c>
      <c r="D269" s="3" t="s">
        <v>34</v>
      </c>
      <c r="E269" s="3" t="s">
        <v>25</v>
      </c>
      <c r="F269" s="3" t="s">
        <v>25</v>
      </c>
      <c r="G269" s="3" t="s">
        <v>25</v>
      </c>
      <c r="H269" s="3" t="s">
        <v>37</v>
      </c>
      <c r="I269" s="6">
        <v>44593</v>
      </c>
      <c r="J269" s="4">
        <v>0</v>
      </c>
      <c r="K269" s="4">
        <v>0</v>
      </c>
      <c r="L269" s="4">
        <v>225.51599999999999</v>
      </c>
      <c r="M269" s="4">
        <v>225.51599999999999</v>
      </c>
      <c r="N269" s="4">
        <v>225.51599999999999</v>
      </c>
      <c r="O269" s="4">
        <v>225.51599999999999</v>
      </c>
      <c r="P269" s="4">
        <v>0</v>
      </c>
      <c r="Q269" s="3" t="s">
        <v>26</v>
      </c>
      <c r="R269" s="3">
        <v>0</v>
      </c>
      <c r="S269" s="4">
        <v>0</v>
      </c>
      <c r="T269" s="4">
        <v>10</v>
      </c>
      <c r="U269" s="4">
        <v>77</v>
      </c>
      <c r="V269" s="4">
        <f>IF(ISERROR(VLOOKUP($S$269,'TAR FIN'!$A$1:$O$91,15,0)),0,VLOOKUP($S$269,'TAR FIN'!$A$1:$O$91,15,0))</f>
        <v>0</v>
      </c>
      <c r="W269" s="4">
        <f>IF(ISERROR(VLOOKUP($T$269,'TAR FIN'!$A$1:$O$91,15,0)),0,VLOOKUP($T$269,'TAR FIN'!$A$1:$O$91,15,0))</f>
        <v>1426.09</v>
      </c>
      <c r="X269" s="4">
        <f>IF(ISERROR(VLOOKUP($U$269,'TAR FIN'!$A$1:$O$91,15,0)),0,VLOOKUP($U$269,'TAR FIN'!$A$1:$O$91,15,0))</f>
        <v>249.25</v>
      </c>
      <c r="Y269" s="4"/>
      <c r="Z269" s="4">
        <f ca="1">('TUSD BE'!$AM$14+'TUSD BF'!$AM$14+'TUSD CVA'!$AM$14)*1</f>
        <v>1695.6228771157423</v>
      </c>
      <c r="AA269" s="4">
        <f>('TE BE'!$AB$5+'TE BF'!$AB$5+'TE CVA'!$AB$5)*1</f>
        <v>203.38274236935246</v>
      </c>
      <c r="AB269" s="4">
        <f>$K$269*$V$269</f>
        <v>0</v>
      </c>
      <c r="AC269" s="4">
        <f>$M$269*$W$269</f>
        <v>321606.11244</v>
      </c>
      <c r="AD269" s="4">
        <f>$O$269*$X$269</f>
        <v>56209.862999999998</v>
      </c>
      <c r="AE269" s="4">
        <f>$K$269*$Y$269</f>
        <v>0</v>
      </c>
      <c r="AF269" s="4">
        <f ca="1">$M$269*$Z$269</f>
        <v>382390.08875563374</v>
      </c>
      <c r="AG269" s="4">
        <f>$O$269*$AA$269</f>
        <v>45866.062528166884</v>
      </c>
    </row>
    <row r="270" spans="1:33" ht="11.25" customHeight="1" x14ac:dyDescent="0.25">
      <c r="A270" s="3" t="s">
        <v>28</v>
      </c>
      <c r="B270" s="3" t="s">
        <v>35</v>
      </c>
      <c r="C270" s="3" t="s">
        <v>36</v>
      </c>
      <c r="D270" s="3" t="s">
        <v>34</v>
      </c>
      <c r="E270" s="3" t="s">
        <v>25</v>
      </c>
      <c r="F270" s="3" t="s">
        <v>25</v>
      </c>
      <c r="G270" s="3" t="s">
        <v>25</v>
      </c>
      <c r="H270" s="3" t="s">
        <v>37</v>
      </c>
      <c r="I270" s="6">
        <v>44593</v>
      </c>
      <c r="J270" s="4">
        <v>0</v>
      </c>
      <c r="K270" s="4">
        <v>0</v>
      </c>
      <c r="L270" s="4">
        <v>1.113</v>
      </c>
      <c r="M270" s="4">
        <v>1.113</v>
      </c>
      <c r="N270" s="4">
        <v>1.113</v>
      </c>
      <c r="O270" s="4">
        <v>1.113</v>
      </c>
      <c r="P270" s="4">
        <v>0</v>
      </c>
      <c r="Q270" s="3" t="s">
        <v>26</v>
      </c>
      <c r="R270" s="3">
        <v>0</v>
      </c>
      <c r="S270" s="4">
        <v>0</v>
      </c>
      <c r="T270" s="4">
        <v>10</v>
      </c>
      <c r="U270" s="4">
        <v>77</v>
      </c>
      <c r="V270" s="4">
        <f>IF(ISERROR(VLOOKUP($S$270,'TAR FIN'!$A$1:$O$91,15,0)),0,VLOOKUP($S$270,'TAR FIN'!$A$1:$O$91,15,0))</f>
        <v>0</v>
      </c>
      <c r="W270" s="4">
        <f>IF(ISERROR(VLOOKUP($T$270,'TAR FIN'!$A$1:$O$91,15,0)),0,VLOOKUP($T$270,'TAR FIN'!$A$1:$O$91,15,0))</f>
        <v>1426.09</v>
      </c>
      <c r="X270" s="4">
        <f>IF(ISERROR(VLOOKUP($U$270,'TAR FIN'!$A$1:$O$91,15,0)),0,VLOOKUP($U$270,'TAR FIN'!$A$1:$O$91,15,0))</f>
        <v>249.25</v>
      </c>
      <c r="Y270" s="4"/>
      <c r="Z270" s="4">
        <f ca="1">('TUSD BE'!$AM$14+'TUSD BF'!$AM$14+'TUSD CVA'!$AM$14)*1</f>
        <v>1695.6228771157423</v>
      </c>
      <c r="AA270" s="4">
        <f>('TE BE'!$AB$5+'TE BF'!$AB$5+'TE CVA'!$AB$5)*1</f>
        <v>203.38274236935246</v>
      </c>
      <c r="AB270" s="4">
        <f>$K$270*$V$270</f>
        <v>0</v>
      </c>
      <c r="AC270" s="4">
        <f>$M$270*$W$270</f>
        <v>1587.2381699999999</v>
      </c>
      <c r="AD270" s="4">
        <f>$O$270*$X$270</f>
        <v>277.41525000000001</v>
      </c>
      <c r="AE270" s="4">
        <f>$K$270*$Y$270</f>
        <v>0</v>
      </c>
      <c r="AF270" s="4">
        <f ca="1">$M$270*$Z$270</f>
        <v>1887.2282622298212</v>
      </c>
      <c r="AG270" s="4">
        <f>$O$270*$AA$270</f>
        <v>226.36499225708928</v>
      </c>
    </row>
    <row r="271" spans="1:33" ht="11.25" customHeight="1" x14ac:dyDescent="0.25">
      <c r="A271" s="3" t="s">
        <v>21</v>
      </c>
      <c r="B271" s="3" t="s">
        <v>35</v>
      </c>
      <c r="C271" s="3" t="s">
        <v>36</v>
      </c>
      <c r="D271" s="3" t="s">
        <v>34</v>
      </c>
      <c r="E271" s="3" t="s">
        <v>25</v>
      </c>
      <c r="F271" s="3" t="s">
        <v>25</v>
      </c>
      <c r="G271" s="3" t="s">
        <v>25</v>
      </c>
      <c r="H271" s="3" t="s">
        <v>37</v>
      </c>
      <c r="I271" s="6">
        <v>44621</v>
      </c>
      <c r="J271" s="4">
        <v>0</v>
      </c>
      <c r="K271" s="4">
        <v>0</v>
      </c>
      <c r="L271" s="4">
        <v>249.94399999999999</v>
      </c>
      <c r="M271" s="4">
        <v>249.94399999999999</v>
      </c>
      <c r="N271" s="4">
        <v>249.94399999999999</v>
      </c>
      <c r="O271" s="4">
        <v>249.94399999999999</v>
      </c>
      <c r="P271" s="4">
        <v>0</v>
      </c>
      <c r="Q271" s="3" t="s">
        <v>26</v>
      </c>
      <c r="R271" s="3">
        <v>0</v>
      </c>
      <c r="S271" s="4">
        <v>0</v>
      </c>
      <c r="T271" s="4">
        <v>10</v>
      </c>
      <c r="U271" s="4">
        <v>77</v>
      </c>
      <c r="V271" s="4">
        <f>IF(ISERROR(VLOOKUP($S$271,'TAR FIN'!$A$1:$O$91,15,0)),0,VLOOKUP($S$271,'TAR FIN'!$A$1:$O$91,15,0))</f>
        <v>0</v>
      </c>
      <c r="W271" s="4">
        <f>IF(ISERROR(VLOOKUP($T$271,'TAR FIN'!$A$1:$O$91,15,0)),0,VLOOKUP($T$271,'TAR FIN'!$A$1:$O$91,15,0))</f>
        <v>1426.09</v>
      </c>
      <c r="X271" s="4">
        <f>IF(ISERROR(VLOOKUP($U$271,'TAR FIN'!$A$1:$O$91,15,0)),0,VLOOKUP($U$271,'TAR FIN'!$A$1:$O$91,15,0))</f>
        <v>249.25</v>
      </c>
      <c r="Y271" s="4"/>
      <c r="Z271" s="4">
        <f ca="1">('TUSD BE'!$AM$14+'TUSD BF'!$AM$14+'TUSD CVA'!$AM$14)*1</f>
        <v>1695.6228771157423</v>
      </c>
      <c r="AA271" s="4">
        <f>('TE BE'!$AB$5+'TE BF'!$AB$5+'TE CVA'!$AB$5)*1</f>
        <v>203.38274236935246</v>
      </c>
      <c r="AB271" s="4">
        <f>$K$271*$V$271</f>
        <v>0</v>
      </c>
      <c r="AC271" s="4">
        <f>$M$271*$W$271</f>
        <v>356442.63895999995</v>
      </c>
      <c r="AD271" s="4">
        <f>$O$271*$X$271</f>
        <v>62298.541999999994</v>
      </c>
      <c r="AE271" s="4">
        <f>$K$271*$Y$271</f>
        <v>0</v>
      </c>
      <c r="AF271" s="4">
        <f ca="1">$M$271*$Z$271</f>
        <v>423810.76439781708</v>
      </c>
      <c r="AG271" s="4">
        <f>$O$271*$AA$271</f>
        <v>50834.296158765428</v>
      </c>
    </row>
    <row r="272" spans="1:33" ht="11.25" customHeight="1" x14ac:dyDescent="0.25">
      <c r="A272" s="3" t="s">
        <v>28</v>
      </c>
      <c r="B272" s="3" t="s">
        <v>35</v>
      </c>
      <c r="C272" s="3" t="s">
        <v>36</v>
      </c>
      <c r="D272" s="3" t="s">
        <v>34</v>
      </c>
      <c r="E272" s="3" t="s">
        <v>25</v>
      </c>
      <c r="F272" s="3" t="s">
        <v>25</v>
      </c>
      <c r="G272" s="3" t="s">
        <v>25</v>
      </c>
      <c r="H272" s="3" t="s">
        <v>37</v>
      </c>
      <c r="I272" s="6">
        <v>44621</v>
      </c>
      <c r="J272" s="4">
        <v>0</v>
      </c>
      <c r="K272" s="4">
        <v>0</v>
      </c>
      <c r="L272" s="4">
        <v>1.5529999999999999</v>
      </c>
      <c r="M272" s="4">
        <v>1.5529999999999999</v>
      </c>
      <c r="N272" s="4">
        <v>1.5529999999999999</v>
      </c>
      <c r="O272" s="4">
        <v>1.5529999999999999</v>
      </c>
      <c r="P272" s="4">
        <v>0</v>
      </c>
      <c r="Q272" s="3" t="s">
        <v>26</v>
      </c>
      <c r="R272" s="3">
        <v>0</v>
      </c>
      <c r="S272" s="4">
        <v>0</v>
      </c>
      <c r="T272" s="4">
        <v>10</v>
      </c>
      <c r="U272" s="4">
        <v>77</v>
      </c>
      <c r="V272" s="4">
        <f>IF(ISERROR(VLOOKUP($S$272,'TAR FIN'!$A$1:$O$91,15,0)),0,VLOOKUP($S$272,'TAR FIN'!$A$1:$O$91,15,0))</f>
        <v>0</v>
      </c>
      <c r="W272" s="4">
        <f>IF(ISERROR(VLOOKUP($T$272,'TAR FIN'!$A$1:$O$91,15,0)),0,VLOOKUP($T$272,'TAR FIN'!$A$1:$O$91,15,0))</f>
        <v>1426.09</v>
      </c>
      <c r="X272" s="4">
        <f>IF(ISERROR(VLOOKUP($U$272,'TAR FIN'!$A$1:$O$91,15,0)),0,VLOOKUP($U$272,'TAR FIN'!$A$1:$O$91,15,0))</f>
        <v>249.25</v>
      </c>
      <c r="Y272" s="4"/>
      <c r="Z272" s="4">
        <f ca="1">('TUSD BE'!$AM$14+'TUSD BF'!$AM$14+'TUSD CVA'!$AM$14)*1</f>
        <v>1695.6228771157423</v>
      </c>
      <c r="AA272" s="4">
        <f>('TE BE'!$AB$5+'TE BF'!$AB$5+'TE CVA'!$AB$5)*1</f>
        <v>203.38274236935246</v>
      </c>
      <c r="AB272" s="4">
        <f>$K$272*$V$272</f>
        <v>0</v>
      </c>
      <c r="AC272" s="4">
        <f>$M$272*$W$272</f>
        <v>2214.7177699999997</v>
      </c>
      <c r="AD272" s="4">
        <f>$O$272*$X$272</f>
        <v>387.08524999999997</v>
      </c>
      <c r="AE272" s="4">
        <f>$K$272*$Y$272</f>
        <v>0</v>
      </c>
      <c r="AF272" s="4">
        <f ca="1">$M$272*$Z$272</f>
        <v>2633.3023281607475</v>
      </c>
      <c r="AG272" s="4">
        <f>$O$272*$AA$272</f>
        <v>315.85339889960437</v>
      </c>
    </row>
    <row r="273" spans="1:33" ht="11.25" customHeight="1" x14ac:dyDescent="0.25">
      <c r="A273" s="3" t="s">
        <v>21</v>
      </c>
      <c r="B273" s="3" t="s">
        <v>35</v>
      </c>
      <c r="C273" s="3" t="s">
        <v>36</v>
      </c>
      <c r="D273" s="3" t="s">
        <v>34</v>
      </c>
      <c r="E273" s="3" t="s">
        <v>25</v>
      </c>
      <c r="F273" s="3" t="s">
        <v>25</v>
      </c>
      <c r="G273" s="3" t="s">
        <v>25</v>
      </c>
      <c r="H273" s="3" t="s">
        <v>37</v>
      </c>
      <c r="I273" s="6">
        <v>44652</v>
      </c>
      <c r="J273" s="4">
        <v>0</v>
      </c>
      <c r="K273" s="4">
        <v>0</v>
      </c>
      <c r="L273" s="4">
        <v>212.27199999999999</v>
      </c>
      <c r="M273" s="4">
        <v>212.27199999999999</v>
      </c>
      <c r="N273" s="4">
        <v>212.27199999999999</v>
      </c>
      <c r="O273" s="4">
        <v>212.27199999999999</v>
      </c>
      <c r="P273" s="4">
        <v>0</v>
      </c>
      <c r="Q273" s="3" t="s">
        <v>26</v>
      </c>
      <c r="R273" s="3">
        <v>0</v>
      </c>
      <c r="S273" s="4">
        <v>0</v>
      </c>
      <c r="T273" s="4">
        <v>10</v>
      </c>
      <c r="U273" s="4">
        <v>77</v>
      </c>
      <c r="V273" s="4">
        <f>IF(ISERROR(VLOOKUP($S$273,'TAR FIN'!$A$1:$O$91,15,0)),0,VLOOKUP($S$273,'TAR FIN'!$A$1:$O$91,15,0))</f>
        <v>0</v>
      </c>
      <c r="W273" s="4">
        <f>IF(ISERROR(VLOOKUP($T$273,'TAR FIN'!$A$1:$O$91,15,0)),0,VLOOKUP($T$273,'TAR FIN'!$A$1:$O$91,15,0))</f>
        <v>1426.09</v>
      </c>
      <c r="X273" s="4">
        <f>IF(ISERROR(VLOOKUP($U$273,'TAR FIN'!$A$1:$O$91,15,0)),0,VLOOKUP($U$273,'TAR FIN'!$A$1:$O$91,15,0))</f>
        <v>249.25</v>
      </c>
      <c r="Y273" s="4"/>
      <c r="Z273" s="4">
        <f ca="1">('TUSD BE'!$AM$14+'TUSD BF'!$AM$14+'TUSD CVA'!$AM$14)*1</f>
        <v>1695.6228771157423</v>
      </c>
      <c r="AA273" s="4">
        <f>('TE BE'!$AB$5+'TE BF'!$AB$5+'TE CVA'!$AB$5)*1</f>
        <v>203.38274236935246</v>
      </c>
      <c r="AB273" s="4">
        <f>$K$273*$V$273</f>
        <v>0</v>
      </c>
      <c r="AC273" s="4">
        <f>$M$273*$W$273</f>
        <v>302718.97647999995</v>
      </c>
      <c r="AD273" s="4">
        <f>$O$273*$X$273</f>
        <v>52908.795999999995</v>
      </c>
      <c r="AE273" s="4">
        <f>$K$273*$Y$273</f>
        <v>0</v>
      </c>
      <c r="AF273" s="4">
        <f ca="1">$M$273*$Z$273</f>
        <v>359933.25937111286</v>
      </c>
      <c r="AG273" s="4">
        <f>$O$273*$AA$273</f>
        <v>43172.461488227185</v>
      </c>
    </row>
    <row r="274" spans="1:33" ht="11.25" customHeight="1" x14ac:dyDescent="0.25">
      <c r="A274" s="3" t="s">
        <v>28</v>
      </c>
      <c r="B274" s="3" t="s">
        <v>35</v>
      </c>
      <c r="C274" s="3" t="s">
        <v>36</v>
      </c>
      <c r="D274" s="3" t="s">
        <v>34</v>
      </c>
      <c r="E274" s="3" t="s">
        <v>25</v>
      </c>
      <c r="F274" s="3" t="s">
        <v>25</v>
      </c>
      <c r="G274" s="3" t="s">
        <v>25</v>
      </c>
      <c r="H274" s="3" t="s">
        <v>37</v>
      </c>
      <c r="I274" s="6">
        <v>44652</v>
      </c>
      <c r="J274" s="4">
        <v>0</v>
      </c>
      <c r="K274" s="4">
        <v>0</v>
      </c>
      <c r="L274" s="4">
        <v>1.5489999999999999</v>
      </c>
      <c r="M274" s="4">
        <v>1.5489999999999999</v>
      </c>
      <c r="N274" s="4">
        <v>1.5489999999999999</v>
      </c>
      <c r="O274" s="4">
        <v>1.5489999999999999</v>
      </c>
      <c r="P274" s="4">
        <v>0</v>
      </c>
      <c r="Q274" s="3" t="s">
        <v>26</v>
      </c>
      <c r="R274" s="3">
        <v>0</v>
      </c>
      <c r="S274" s="4">
        <v>0</v>
      </c>
      <c r="T274" s="4">
        <v>10</v>
      </c>
      <c r="U274" s="4">
        <v>77</v>
      </c>
      <c r="V274" s="4">
        <f>IF(ISERROR(VLOOKUP($S$274,'TAR FIN'!$A$1:$O$91,15,0)),0,VLOOKUP($S$274,'TAR FIN'!$A$1:$O$91,15,0))</f>
        <v>0</v>
      </c>
      <c r="W274" s="4">
        <f>IF(ISERROR(VLOOKUP($T$274,'TAR FIN'!$A$1:$O$91,15,0)),0,VLOOKUP($T$274,'TAR FIN'!$A$1:$O$91,15,0))</f>
        <v>1426.09</v>
      </c>
      <c r="X274" s="4">
        <f>IF(ISERROR(VLOOKUP($U$274,'TAR FIN'!$A$1:$O$91,15,0)),0,VLOOKUP($U$274,'TAR FIN'!$A$1:$O$91,15,0))</f>
        <v>249.25</v>
      </c>
      <c r="Y274" s="4"/>
      <c r="Z274" s="4">
        <f ca="1">('TUSD BE'!$AM$14+'TUSD BF'!$AM$14+'TUSD CVA'!$AM$14)*1</f>
        <v>1695.6228771157423</v>
      </c>
      <c r="AA274" s="4">
        <f>('TE BE'!$AB$5+'TE BF'!$AB$5+'TE CVA'!$AB$5)*1</f>
        <v>203.38274236935246</v>
      </c>
      <c r="AB274" s="4">
        <f>$K$274*$V$274</f>
        <v>0</v>
      </c>
      <c r="AC274" s="4">
        <f>$M$274*$W$274</f>
        <v>2209.0134099999996</v>
      </c>
      <c r="AD274" s="4">
        <f>$O$274*$X$274</f>
        <v>386.08824999999996</v>
      </c>
      <c r="AE274" s="4">
        <f>$K$274*$Y$274</f>
        <v>0</v>
      </c>
      <c r="AF274" s="4">
        <f ca="1">$M$274*$Z$274</f>
        <v>2626.5198366522845</v>
      </c>
      <c r="AG274" s="4">
        <f>$O$274*$AA$274</f>
        <v>315.03986793012695</v>
      </c>
    </row>
    <row r="275" spans="1:33" ht="11.25" customHeight="1" x14ac:dyDescent="0.25">
      <c r="A275" s="3" t="s">
        <v>21</v>
      </c>
      <c r="B275" s="3" t="s">
        <v>35</v>
      </c>
      <c r="C275" s="3" t="s">
        <v>36</v>
      </c>
      <c r="D275" s="3" t="s">
        <v>34</v>
      </c>
      <c r="E275" s="3" t="s">
        <v>25</v>
      </c>
      <c r="F275" s="3" t="s">
        <v>25</v>
      </c>
      <c r="G275" s="3" t="s">
        <v>25</v>
      </c>
      <c r="H275" s="3" t="s">
        <v>37</v>
      </c>
      <c r="I275" s="6">
        <v>44682</v>
      </c>
      <c r="J275" s="4">
        <v>0</v>
      </c>
      <c r="K275" s="4">
        <v>0</v>
      </c>
      <c r="L275" s="4">
        <v>227.17599999999999</v>
      </c>
      <c r="M275" s="4">
        <v>227.17599999999999</v>
      </c>
      <c r="N275" s="4">
        <v>227.17599999999999</v>
      </c>
      <c r="O275" s="4">
        <v>227.17599999999999</v>
      </c>
      <c r="P275" s="4">
        <v>0</v>
      </c>
      <c r="Q275" s="3" t="s">
        <v>26</v>
      </c>
      <c r="R275" s="3">
        <v>0</v>
      </c>
      <c r="S275" s="4">
        <v>0</v>
      </c>
      <c r="T275" s="4">
        <v>10</v>
      </c>
      <c r="U275" s="4">
        <v>77</v>
      </c>
      <c r="V275" s="4">
        <f>IF(ISERROR(VLOOKUP($S$275,'TAR FIN'!$A$1:$O$91,15,0)),0,VLOOKUP($S$275,'TAR FIN'!$A$1:$O$91,15,0))</f>
        <v>0</v>
      </c>
      <c r="W275" s="4">
        <f>IF(ISERROR(VLOOKUP($T$275,'TAR FIN'!$A$1:$O$91,15,0)),0,VLOOKUP($T$275,'TAR FIN'!$A$1:$O$91,15,0))</f>
        <v>1426.09</v>
      </c>
      <c r="X275" s="4">
        <f>IF(ISERROR(VLOOKUP($U$275,'TAR FIN'!$A$1:$O$91,15,0)),0,VLOOKUP($U$275,'TAR FIN'!$A$1:$O$91,15,0))</f>
        <v>249.25</v>
      </c>
      <c r="Y275" s="4"/>
      <c r="Z275" s="4">
        <f ca="1">('TUSD BE'!$AM$14+'TUSD BF'!$AM$14+'TUSD CVA'!$AM$14)*1</f>
        <v>1695.6228771157423</v>
      </c>
      <c r="AA275" s="4">
        <f>('TE BE'!$AB$5+'TE BF'!$AB$5+'TE CVA'!$AB$5)*1</f>
        <v>203.38274236935246</v>
      </c>
      <c r="AB275" s="4">
        <f>$K$275*$V$275</f>
        <v>0</v>
      </c>
      <c r="AC275" s="4">
        <f>$M$275*$W$275</f>
        <v>323973.42183999997</v>
      </c>
      <c r="AD275" s="4">
        <f>$O$275*$X$275</f>
        <v>56623.617999999995</v>
      </c>
      <c r="AE275" s="4">
        <f>$K$275*$Y$275</f>
        <v>0</v>
      </c>
      <c r="AF275" s="4">
        <f ca="1">$M$275*$Z$275</f>
        <v>385204.82273164584</v>
      </c>
      <c r="AG275" s="4">
        <f>$O$275*$AA$275</f>
        <v>46203.677880500014</v>
      </c>
    </row>
    <row r="276" spans="1:33" ht="11.25" customHeight="1" x14ac:dyDescent="0.25">
      <c r="A276" s="3" t="s">
        <v>28</v>
      </c>
      <c r="B276" s="3" t="s">
        <v>35</v>
      </c>
      <c r="C276" s="3" t="s">
        <v>36</v>
      </c>
      <c r="D276" s="3" t="s">
        <v>34</v>
      </c>
      <c r="E276" s="3" t="s">
        <v>25</v>
      </c>
      <c r="F276" s="3" t="s">
        <v>25</v>
      </c>
      <c r="G276" s="3" t="s">
        <v>25</v>
      </c>
      <c r="H276" s="3" t="s">
        <v>37</v>
      </c>
      <c r="I276" s="6">
        <v>44682</v>
      </c>
      <c r="J276" s="4">
        <v>0</v>
      </c>
      <c r="K276" s="4">
        <v>0</v>
      </c>
      <c r="L276" s="4">
        <v>1.038</v>
      </c>
      <c r="M276" s="4">
        <v>1.038</v>
      </c>
      <c r="N276" s="4">
        <v>1.038</v>
      </c>
      <c r="O276" s="4">
        <v>1.038</v>
      </c>
      <c r="P276" s="4">
        <v>0</v>
      </c>
      <c r="Q276" s="3" t="s">
        <v>26</v>
      </c>
      <c r="R276" s="3">
        <v>0</v>
      </c>
      <c r="S276" s="4">
        <v>0</v>
      </c>
      <c r="T276" s="4">
        <v>10</v>
      </c>
      <c r="U276" s="4">
        <v>77</v>
      </c>
      <c r="V276" s="4">
        <f>IF(ISERROR(VLOOKUP($S$276,'TAR FIN'!$A$1:$O$91,15,0)),0,VLOOKUP($S$276,'TAR FIN'!$A$1:$O$91,15,0))</f>
        <v>0</v>
      </c>
      <c r="W276" s="4">
        <f>IF(ISERROR(VLOOKUP($T$276,'TAR FIN'!$A$1:$O$91,15,0)),0,VLOOKUP($T$276,'TAR FIN'!$A$1:$O$91,15,0))</f>
        <v>1426.09</v>
      </c>
      <c r="X276" s="4">
        <f>IF(ISERROR(VLOOKUP($U$276,'TAR FIN'!$A$1:$O$91,15,0)),0,VLOOKUP($U$276,'TAR FIN'!$A$1:$O$91,15,0))</f>
        <v>249.25</v>
      </c>
      <c r="Y276" s="4"/>
      <c r="Z276" s="4">
        <f ca="1">('TUSD BE'!$AM$14+'TUSD BF'!$AM$14+'TUSD CVA'!$AM$14)*1</f>
        <v>1695.6228771157423</v>
      </c>
      <c r="AA276" s="4">
        <f>('TE BE'!$AB$5+'TE BF'!$AB$5+'TE CVA'!$AB$5)*1</f>
        <v>203.38274236935246</v>
      </c>
      <c r="AB276" s="4">
        <f>$K$276*$V$276</f>
        <v>0</v>
      </c>
      <c r="AC276" s="4">
        <f>$M$276*$W$276</f>
        <v>1480.28142</v>
      </c>
      <c r="AD276" s="4">
        <f>$O$276*$X$276</f>
        <v>258.72149999999999</v>
      </c>
      <c r="AE276" s="4">
        <f>$K$276*$Y$276</f>
        <v>0</v>
      </c>
      <c r="AF276" s="4">
        <f ca="1">$M$276*$Z$276</f>
        <v>1760.0565464461406</v>
      </c>
      <c r="AG276" s="4">
        <f>$O$276*$AA$276</f>
        <v>211.11128657938787</v>
      </c>
    </row>
    <row r="277" spans="1:33" ht="11.25" customHeight="1" x14ac:dyDescent="0.25">
      <c r="A277" s="3" t="s">
        <v>21</v>
      </c>
      <c r="B277" s="3" t="s">
        <v>35</v>
      </c>
      <c r="C277" s="3" t="s">
        <v>36</v>
      </c>
      <c r="D277" s="3" t="s">
        <v>34</v>
      </c>
      <c r="E277" s="3" t="s">
        <v>25</v>
      </c>
      <c r="F277" s="3" t="s">
        <v>25</v>
      </c>
      <c r="G277" s="3" t="s">
        <v>25</v>
      </c>
      <c r="H277" s="3" t="s">
        <v>37</v>
      </c>
      <c r="I277" s="6">
        <v>44713</v>
      </c>
      <c r="J277" s="4">
        <v>0</v>
      </c>
      <c r="K277" s="4">
        <v>0</v>
      </c>
      <c r="L277" s="4">
        <v>234.74199999999999</v>
      </c>
      <c r="M277" s="4">
        <v>234.74199999999999</v>
      </c>
      <c r="N277" s="4">
        <v>234.74199999999999</v>
      </c>
      <c r="O277" s="4">
        <v>234.74199999999999</v>
      </c>
      <c r="P277" s="4">
        <v>0</v>
      </c>
      <c r="Q277" s="3" t="s">
        <v>26</v>
      </c>
      <c r="R277" s="3">
        <v>0</v>
      </c>
      <c r="S277" s="4">
        <v>0</v>
      </c>
      <c r="T277" s="4">
        <v>10</v>
      </c>
      <c r="U277" s="4">
        <v>77</v>
      </c>
      <c r="V277" s="4">
        <f>IF(ISERROR(VLOOKUP($S$277,'TAR FIN'!$A$1:$O$91,15,0)),0,VLOOKUP($S$277,'TAR FIN'!$A$1:$O$91,15,0))</f>
        <v>0</v>
      </c>
      <c r="W277" s="4">
        <f>IF(ISERROR(VLOOKUP($T$277,'TAR FIN'!$A$1:$O$91,15,0)),0,VLOOKUP($T$277,'TAR FIN'!$A$1:$O$91,15,0))</f>
        <v>1426.09</v>
      </c>
      <c r="X277" s="4">
        <f>IF(ISERROR(VLOOKUP($U$277,'TAR FIN'!$A$1:$O$91,15,0)),0,VLOOKUP($U$277,'TAR FIN'!$A$1:$O$91,15,0))</f>
        <v>249.25</v>
      </c>
      <c r="Y277" s="4"/>
      <c r="Z277" s="4">
        <f ca="1">('TUSD BE'!$AM$14+'TUSD BF'!$AM$14+'TUSD CVA'!$AM$14)*1</f>
        <v>1695.6228771157423</v>
      </c>
      <c r="AA277" s="4">
        <f>('TE BE'!$AB$5+'TE BF'!$AB$5+'TE CVA'!$AB$5)*1</f>
        <v>203.38274236935246</v>
      </c>
      <c r="AB277" s="4">
        <f>$K$277*$V$277</f>
        <v>0</v>
      </c>
      <c r="AC277" s="4">
        <f>$M$277*$W$277</f>
        <v>334763.21878</v>
      </c>
      <c r="AD277" s="4">
        <f>$O$277*$X$277</f>
        <v>58509.443499999994</v>
      </c>
      <c r="AE277" s="4">
        <f>$K$277*$Y$277</f>
        <v>0</v>
      </c>
      <c r="AF277" s="4">
        <f ca="1">$M$277*$Z$277</f>
        <v>398033.90541990357</v>
      </c>
      <c r="AG277" s="4">
        <f>$O$277*$AA$277</f>
        <v>47742.471709266531</v>
      </c>
    </row>
    <row r="278" spans="1:33" ht="11.25" customHeight="1" x14ac:dyDescent="0.25">
      <c r="A278" s="3" t="s">
        <v>28</v>
      </c>
      <c r="B278" s="3" t="s">
        <v>35</v>
      </c>
      <c r="C278" s="3" t="s">
        <v>36</v>
      </c>
      <c r="D278" s="3" t="s">
        <v>34</v>
      </c>
      <c r="E278" s="3" t="s">
        <v>25</v>
      </c>
      <c r="F278" s="3" t="s">
        <v>25</v>
      </c>
      <c r="G278" s="3" t="s">
        <v>25</v>
      </c>
      <c r="H278" s="3" t="s">
        <v>37</v>
      </c>
      <c r="I278" s="6">
        <v>44713</v>
      </c>
      <c r="J278" s="4">
        <v>0</v>
      </c>
      <c r="K278" s="4">
        <v>0</v>
      </c>
      <c r="L278" s="4">
        <v>1.1060000000000001</v>
      </c>
      <c r="M278" s="4">
        <v>1.1060000000000001</v>
      </c>
      <c r="N278" s="4">
        <v>1.1060000000000001</v>
      </c>
      <c r="O278" s="4">
        <v>1.1060000000000001</v>
      </c>
      <c r="P278" s="4">
        <v>0</v>
      </c>
      <c r="Q278" s="3" t="s">
        <v>26</v>
      </c>
      <c r="R278" s="3">
        <v>0</v>
      </c>
      <c r="S278" s="4">
        <v>0</v>
      </c>
      <c r="T278" s="4">
        <v>10</v>
      </c>
      <c r="U278" s="4">
        <v>77</v>
      </c>
      <c r="V278" s="4">
        <f>IF(ISERROR(VLOOKUP($S$278,'TAR FIN'!$A$1:$O$91,15,0)),0,VLOOKUP($S$278,'TAR FIN'!$A$1:$O$91,15,0))</f>
        <v>0</v>
      </c>
      <c r="W278" s="4">
        <f>IF(ISERROR(VLOOKUP($T$278,'TAR FIN'!$A$1:$O$91,15,0)),0,VLOOKUP($T$278,'TAR FIN'!$A$1:$O$91,15,0))</f>
        <v>1426.09</v>
      </c>
      <c r="X278" s="4">
        <f>IF(ISERROR(VLOOKUP($U$278,'TAR FIN'!$A$1:$O$91,15,0)),0,VLOOKUP($U$278,'TAR FIN'!$A$1:$O$91,15,0))</f>
        <v>249.25</v>
      </c>
      <c r="Y278" s="4"/>
      <c r="Z278" s="4">
        <f ca="1">('TUSD BE'!$AM$14+'TUSD BF'!$AM$14+'TUSD CVA'!$AM$14)*1</f>
        <v>1695.6228771157423</v>
      </c>
      <c r="AA278" s="4">
        <f>('TE BE'!$AB$5+'TE BF'!$AB$5+'TE CVA'!$AB$5)*1</f>
        <v>203.38274236935246</v>
      </c>
      <c r="AB278" s="4">
        <f>$K$278*$V$278</f>
        <v>0</v>
      </c>
      <c r="AC278" s="4">
        <f>$M$278*$W$278</f>
        <v>1577.2555400000001</v>
      </c>
      <c r="AD278" s="4">
        <f>$O$278*$X$278</f>
        <v>275.6705</v>
      </c>
      <c r="AE278" s="4">
        <f>$K$278*$Y$278</f>
        <v>0</v>
      </c>
      <c r="AF278" s="4">
        <f ca="1">$M$278*$Z$278</f>
        <v>1875.3589020900113</v>
      </c>
      <c r="AG278" s="4">
        <f>$O$278*$AA$278</f>
        <v>224.94131306050383</v>
      </c>
    </row>
    <row r="279" spans="1:33" ht="11.25" customHeight="1" x14ac:dyDescent="0.25">
      <c r="A279" s="3" t="s">
        <v>21</v>
      </c>
      <c r="B279" s="3" t="s">
        <v>35</v>
      </c>
      <c r="C279" s="3" t="s">
        <v>36</v>
      </c>
      <c r="D279" s="3" t="s">
        <v>34</v>
      </c>
      <c r="E279" s="3" t="s">
        <v>25</v>
      </c>
      <c r="F279" s="3" t="s">
        <v>25</v>
      </c>
      <c r="G279" s="3" t="s">
        <v>25</v>
      </c>
      <c r="H279" s="3" t="s">
        <v>37</v>
      </c>
      <c r="I279" s="6">
        <v>44743</v>
      </c>
      <c r="J279" s="4">
        <v>0</v>
      </c>
      <c r="K279" s="4">
        <v>0</v>
      </c>
      <c r="L279" s="4">
        <v>234.173</v>
      </c>
      <c r="M279" s="4">
        <v>234.173</v>
      </c>
      <c r="N279" s="4">
        <v>234.173</v>
      </c>
      <c r="O279" s="4">
        <v>234.173</v>
      </c>
      <c r="P279" s="4">
        <v>0</v>
      </c>
      <c r="Q279" s="3" t="s">
        <v>26</v>
      </c>
      <c r="R279" s="3">
        <v>0</v>
      </c>
      <c r="S279" s="4">
        <v>0</v>
      </c>
      <c r="T279" s="4">
        <v>10</v>
      </c>
      <c r="U279" s="4">
        <v>77</v>
      </c>
      <c r="V279" s="4">
        <f>IF(ISERROR(VLOOKUP($S$279,'TAR FIN'!$A$1:$O$91,15,0)),0,VLOOKUP($S$279,'TAR FIN'!$A$1:$O$91,15,0))</f>
        <v>0</v>
      </c>
      <c r="W279" s="4">
        <f>IF(ISERROR(VLOOKUP($T$279,'TAR FIN'!$A$1:$O$91,15,0)),0,VLOOKUP($T$279,'TAR FIN'!$A$1:$O$91,15,0))</f>
        <v>1426.09</v>
      </c>
      <c r="X279" s="4">
        <f>IF(ISERROR(VLOOKUP($U$279,'TAR FIN'!$A$1:$O$91,15,0)),0,VLOOKUP($U$279,'TAR FIN'!$A$1:$O$91,15,0))</f>
        <v>249.25</v>
      </c>
      <c r="Y279" s="4"/>
      <c r="Z279" s="4">
        <f ca="1">('TUSD BE'!$AM$14+'TUSD BF'!$AM$14+'TUSD CVA'!$AM$14)*1</f>
        <v>1695.6228771157423</v>
      </c>
      <c r="AA279" s="4">
        <f>('TE BE'!$AB$5+'TE BF'!$AB$5+'TE CVA'!$AB$5)*1</f>
        <v>203.38274236935246</v>
      </c>
      <c r="AB279" s="4">
        <f>$K$279*$V$279</f>
        <v>0</v>
      </c>
      <c r="AC279" s="4">
        <f>$M$279*$W$279</f>
        <v>333951.77356999996</v>
      </c>
      <c r="AD279" s="4">
        <f>$O$279*$X$279</f>
        <v>58367.62025</v>
      </c>
      <c r="AE279" s="4">
        <f>$K$279*$Y$279</f>
        <v>0</v>
      </c>
      <c r="AF279" s="4">
        <f ca="1">$M$279*$Z$279</f>
        <v>397069.09600282472</v>
      </c>
      <c r="AG279" s="4">
        <f>$O$279*$AA$279</f>
        <v>47626.746928858374</v>
      </c>
    </row>
    <row r="280" spans="1:33" ht="11.25" customHeight="1" x14ac:dyDescent="0.25">
      <c r="A280" s="3" t="s">
        <v>21</v>
      </c>
      <c r="B280" s="3" t="s">
        <v>35</v>
      </c>
      <c r="C280" s="3" t="s">
        <v>36</v>
      </c>
      <c r="D280" s="3" t="s">
        <v>34</v>
      </c>
      <c r="E280" s="3" t="s">
        <v>25</v>
      </c>
      <c r="F280" s="3" t="s">
        <v>25</v>
      </c>
      <c r="G280" s="3" t="s">
        <v>25</v>
      </c>
      <c r="H280" s="3" t="s">
        <v>37</v>
      </c>
      <c r="I280" s="6">
        <v>44774</v>
      </c>
      <c r="J280" s="4">
        <v>0</v>
      </c>
      <c r="K280" s="4">
        <v>0</v>
      </c>
      <c r="L280" s="4">
        <v>264.64100000000002</v>
      </c>
      <c r="M280" s="4">
        <v>264.64100000000002</v>
      </c>
      <c r="N280" s="4">
        <v>264.64100000000002</v>
      </c>
      <c r="O280" s="4">
        <v>264.64100000000002</v>
      </c>
      <c r="P280" s="4">
        <v>0</v>
      </c>
      <c r="Q280" s="3" t="s">
        <v>26</v>
      </c>
      <c r="R280" s="3">
        <v>0</v>
      </c>
      <c r="S280" s="4">
        <v>0</v>
      </c>
      <c r="T280" s="4">
        <v>10</v>
      </c>
      <c r="U280" s="4">
        <v>77</v>
      </c>
      <c r="V280" s="4">
        <f>IF(ISERROR(VLOOKUP($S$280,'TAR FIN'!$A$1:$O$91,15,0)),0,VLOOKUP($S$280,'TAR FIN'!$A$1:$O$91,15,0))</f>
        <v>0</v>
      </c>
      <c r="W280" s="4">
        <f>IF(ISERROR(VLOOKUP($T$280,'TAR FIN'!$A$1:$O$91,15,0)),0,VLOOKUP($T$280,'TAR FIN'!$A$1:$O$91,15,0))</f>
        <v>1426.09</v>
      </c>
      <c r="X280" s="4">
        <f>IF(ISERROR(VLOOKUP($U$280,'TAR FIN'!$A$1:$O$91,15,0)),0,VLOOKUP($U$280,'TAR FIN'!$A$1:$O$91,15,0))</f>
        <v>249.25</v>
      </c>
      <c r="Y280" s="4"/>
      <c r="Z280" s="4">
        <f ca="1">('TUSD BE'!$AM$14+'TUSD BF'!$AM$14+'TUSD CVA'!$AM$14)*1</f>
        <v>1695.6228771157423</v>
      </c>
      <c r="AA280" s="4">
        <f>('TE BE'!$AB$5+'TE BF'!$AB$5+'TE CVA'!$AB$5)*1</f>
        <v>203.38274236935246</v>
      </c>
      <c r="AB280" s="4">
        <f>$K$280*$V$280</f>
        <v>0</v>
      </c>
      <c r="AC280" s="4">
        <f>$M$280*$W$280</f>
        <v>377401.88368999999</v>
      </c>
      <c r="AD280" s="4">
        <f>$O$280*$X$280</f>
        <v>65961.769250000012</v>
      </c>
      <c r="AE280" s="4">
        <f>$K$280*$Y$280</f>
        <v>0</v>
      </c>
      <c r="AF280" s="4">
        <f ca="1">$M$280*$Z$280</f>
        <v>448731.33382278722</v>
      </c>
      <c r="AG280" s="4">
        <f>$O$280*$AA$280</f>
        <v>53823.412323367811</v>
      </c>
    </row>
    <row r="281" spans="1:33" ht="11.25" customHeight="1" x14ac:dyDescent="0.25">
      <c r="A281" s="3" t="s">
        <v>27</v>
      </c>
      <c r="B281" s="3" t="s">
        <v>35</v>
      </c>
      <c r="C281" s="3" t="s">
        <v>36</v>
      </c>
      <c r="D281" s="3" t="s">
        <v>34</v>
      </c>
      <c r="E281" s="3" t="s">
        <v>25</v>
      </c>
      <c r="F281" s="3" t="s">
        <v>25</v>
      </c>
      <c r="G281" s="3" t="s">
        <v>25</v>
      </c>
      <c r="H281" s="3" t="s">
        <v>37</v>
      </c>
      <c r="I281" s="6">
        <v>44774</v>
      </c>
      <c r="J281" s="4">
        <v>0</v>
      </c>
      <c r="K281" s="4">
        <v>0</v>
      </c>
      <c r="L281" s="4">
        <v>-3.1890000000000001</v>
      </c>
      <c r="M281" s="4">
        <v>-3.1890000000000001</v>
      </c>
      <c r="N281" s="4">
        <v>-3.1890000000000001</v>
      </c>
      <c r="O281" s="4">
        <v>-3.1890000000000001</v>
      </c>
      <c r="P281" s="4">
        <v>0</v>
      </c>
      <c r="Q281" s="3" t="s">
        <v>26</v>
      </c>
      <c r="R281" s="3">
        <v>0</v>
      </c>
      <c r="S281" s="4">
        <v>0</v>
      </c>
      <c r="T281" s="4">
        <v>10</v>
      </c>
      <c r="U281" s="4">
        <v>77</v>
      </c>
      <c r="V281" s="4">
        <f>IF(ISERROR(VLOOKUP($S$281,'TAR FIN'!$A$1:$O$91,15,0)),0,VLOOKUP($S$281,'TAR FIN'!$A$1:$O$91,15,0))</f>
        <v>0</v>
      </c>
      <c r="W281" s="4">
        <f>IF(ISERROR(VLOOKUP($T$281,'TAR FIN'!$A$1:$O$91,15,0)),0,VLOOKUP($T$281,'TAR FIN'!$A$1:$O$91,15,0))</f>
        <v>1426.09</v>
      </c>
      <c r="X281" s="4">
        <f>IF(ISERROR(VLOOKUP($U$281,'TAR FIN'!$A$1:$O$91,15,0)),0,VLOOKUP($U$281,'TAR FIN'!$A$1:$O$91,15,0))</f>
        <v>249.25</v>
      </c>
      <c r="Y281" s="4"/>
      <c r="Z281" s="4">
        <f ca="1">('TUSD BE'!$AM$14+'TUSD BF'!$AM$14+'TUSD CVA'!$AM$14)*1</f>
        <v>1695.6228771157423</v>
      </c>
      <c r="AA281" s="4">
        <f>('TE BE'!$AB$5+'TE BF'!$AB$5+'TE CVA'!$AB$5)*1</f>
        <v>203.38274236935246</v>
      </c>
      <c r="AB281" s="4">
        <f>$K$281*$V$281</f>
        <v>0</v>
      </c>
      <c r="AC281" s="4">
        <f>$M$281*$W$281</f>
        <v>-4547.8010100000001</v>
      </c>
      <c r="AD281" s="4">
        <f>$O$281*$X$281</f>
        <v>-794.85825</v>
      </c>
      <c r="AE281" s="4">
        <f>$K$281*$Y$281</f>
        <v>0</v>
      </c>
      <c r="AF281" s="4">
        <f ca="1">$M$281*$Z$281</f>
        <v>-5407.341355122102</v>
      </c>
      <c r="AG281" s="4">
        <f>$O$281*$AA$281</f>
        <v>-648.58756541586501</v>
      </c>
    </row>
    <row r="282" spans="1:33" ht="11.25" customHeight="1" x14ac:dyDescent="0.25">
      <c r="A282" s="3" t="s">
        <v>28</v>
      </c>
      <c r="B282" s="3" t="s">
        <v>35</v>
      </c>
      <c r="C282" s="3" t="s">
        <v>36</v>
      </c>
      <c r="D282" s="3" t="s">
        <v>34</v>
      </c>
      <c r="E282" s="3" t="s">
        <v>25</v>
      </c>
      <c r="F282" s="3" t="s">
        <v>25</v>
      </c>
      <c r="G282" s="3" t="s">
        <v>25</v>
      </c>
      <c r="H282" s="3" t="s">
        <v>37</v>
      </c>
      <c r="I282" s="6">
        <v>44774</v>
      </c>
      <c r="J282" s="4">
        <v>0</v>
      </c>
      <c r="K282" s="4">
        <v>0</v>
      </c>
      <c r="L282" s="4">
        <v>7.3390000000000004</v>
      </c>
      <c r="M282" s="4">
        <v>7.3390000000000004</v>
      </c>
      <c r="N282" s="4">
        <v>7.3390000000000004</v>
      </c>
      <c r="O282" s="4">
        <v>7.3390000000000004</v>
      </c>
      <c r="P282" s="4">
        <v>0</v>
      </c>
      <c r="Q282" s="3" t="s">
        <v>26</v>
      </c>
      <c r="R282" s="3">
        <v>0</v>
      </c>
      <c r="S282" s="4">
        <v>0</v>
      </c>
      <c r="T282" s="4">
        <v>10</v>
      </c>
      <c r="U282" s="4">
        <v>77</v>
      </c>
      <c r="V282" s="4">
        <f>IF(ISERROR(VLOOKUP($S$282,'TAR FIN'!$A$1:$O$91,15,0)),0,VLOOKUP($S$282,'TAR FIN'!$A$1:$O$91,15,0))</f>
        <v>0</v>
      </c>
      <c r="W282" s="4">
        <f>IF(ISERROR(VLOOKUP($T$282,'TAR FIN'!$A$1:$O$91,15,0)),0,VLOOKUP($T$282,'TAR FIN'!$A$1:$O$91,15,0))</f>
        <v>1426.09</v>
      </c>
      <c r="X282" s="4">
        <f>IF(ISERROR(VLOOKUP($U$282,'TAR FIN'!$A$1:$O$91,15,0)),0,VLOOKUP($U$282,'TAR FIN'!$A$1:$O$91,15,0))</f>
        <v>249.25</v>
      </c>
      <c r="Y282" s="4"/>
      <c r="Z282" s="4">
        <f ca="1">('TUSD BE'!$AM$14+'TUSD BF'!$AM$14+'TUSD CVA'!$AM$14)*1</f>
        <v>1695.6228771157423</v>
      </c>
      <c r="AA282" s="4">
        <f>('TE BE'!$AB$5+'TE BF'!$AB$5+'TE CVA'!$AB$5)*1</f>
        <v>203.38274236935246</v>
      </c>
      <c r="AB282" s="4">
        <f>$K$282*$V$282</f>
        <v>0</v>
      </c>
      <c r="AC282" s="4">
        <f>$M$282*$W$282</f>
        <v>10466.07451</v>
      </c>
      <c r="AD282" s="4">
        <f>$O$282*$X$282</f>
        <v>1829.24575</v>
      </c>
      <c r="AE282" s="4">
        <f>$K$282*$Y$282</f>
        <v>0</v>
      </c>
      <c r="AF282" s="4">
        <f ca="1">$M$282*$Z$282</f>
        <v>12444.176295152434</v>
      </c>
      <c r="AG282" s="4">
        <f>$O$282*$AA$282</f>
        <v>1492.6259462486778</v>
      </c>
    </row>
    <row r="283" spans="1:33" ht="11.25" customHeight="1" x14ac:dyDescent="0.25">
      <c r="A283" s="3" t="s">
        <v>21</v>
      </c>
      <c r="B283" s="3" t="s">
        <v>35</v>
      </c>
      <c r="C283" s="3" t="s">
        <v>36</v>
      </c>
      <c r="D283" s="3" t="s">
        <v>42</v>
      </c>
      <c r="E283" s="3" t="s">
        <v>25</v>
      </c>
      <c r="F283" s="3" t="s">
        <v>25</v>
      </c>
      <c r="G283" s="3" t="s">
        <v>25</v>
      </c>
      <c r="H283" s="3" t="s">
        <v>38</v>
      </c>
      <c r="I283" s="6">
        <v>44440</v>
      </c>
      <c r="J283" s="4">
        <v>0</v>
      </c>
      <c r="K283" s="4">
        <v>0</v>
      </c>
      <c r="L283" s="4">
        <v>8.141</v>
      </c>
      <c r="M283" s="4">
        <v>8.141</v>
      </c>
      <c r="N283" s="4">
        <v>8.141</v>
      </c>
      <c r="O283" s="4">
        <v>8.141</v>
      </c>
      <c r="P283" s="4">
        <v>0</v>
      </c>
      <c r="Q283" s="3" t="s">
        <v>26</v>
      </c>
      <c r="R283" s="3">
        <v>0</v>
      </c>
      <c r="S283" s="4">
        <v>0</v>
      </c>
      <c r="T283" s="4">
        <v>13</v>
      </c>
      <c r="U283" s="4">
        <v>69</v>
      </c>
      <c r="V283" s="4">
        <f>IF(ISERROR(VLOOKUP($S$283,'TAR FIN'!$A$1:$O$91,15,0)),0,VLOOKUP($S$283,'TAR FIN'!$A$1:$O$91,15,0))</f>
        <v>0</v>
      </c>
      <c r="W283" s="4">
        <f>IF(ISERROR(VLOOKUP($T$283,'TAR FIN'!$A$1:$O$91,15,0)),0,VLOOKUP($T$283,'TAR FIN'!$A$1:$O$91,15,0))</f>
        <v>71.14</v>
      </c>
      <c r="X283" s="4">
        <f>IF(ISERROR(VLOOKUP($U$283,'TAR FIN'!$A$1:$O$91,15,0)),0,VLOOKUP($U$283,'TAR FIN'!$A$1:$O$91,15,0))</f>
        <v>249.25</v>
      </c>
      <c r="Y283" s="4"/>
      <c r="Z283" s="4">
        <f ca="1">('TUSD BE'!$AM$15+'TUSD BF'!$AM$15+'TUSD CVA'!$AM$15)*1</f>
        <v>102.88633971139855</v>
      </c>
      <c r="AA283" s="4">
        <f>('TE BE'!$AB$6+'TE BF'!$AB$6+'TE CVA'!$AB$6)*1</f>
        <v>203.38274236935246</v>
      </c>
      <c r="AB283" s="4">
        <f>$K$283*$V$283</f>
        <v>0</v>
      </c>
      <c r="AC283" s="4">
        <f>$M$283*$W$283</f>
        <v>579.15074000000004</v>
      </c>
      <c r="AD283" s="4">
        <f>$O$283*$X$283</f>
        <v>2029.1442500000001</v>
      </c>
      <c r="AE283" s="4">
        <f>$K$283*$Y$283</f>
        <v>0</v>
      </c>
      <c r="AF283" s="4">
        <f ca="1">$M$283*$Z$283</f>
        <v>837.59769159049563</v>
      </c>
      <c r="AG283" s="4">
        <f>$O$283*$AA$283</f>
        <v>1655.7389056288985</v>
      </c>
    </row>
    <row r="284" spans="1:33" ht="11.25" customHeight="1" x14ac:dyDescent="0.25">
      <c r="A284" s="3" t="s">
        <v>21</v>
      </c>
      <c r="B284" s="3" t="s">
        <v>35</v>
      </c>
      <c r="C284" s="3" t="s">
        <v>36</v>
      </c>
      <c r="D284" s="3" t="s">
        <v>42</v>
      </c>
      <c r="E284" s="3" t="s">
        <v>25</v>
      </c>
      <c r="F284" s="3" t="s">
        <v>25</v>
      </c>
      <c r="G284" s="3" t="s">
        <v>25</v>
      </c>
      <c r="H284" s="3" t="s">
        <v>38</v>
      </c>
      <c r="I284" s="6">
        <v>44470</v>
      </c>
      <c r="J284" s="4">
        <v>0</v>
      </c>
      <c r="K284" s="4">
        <v>0</v>
      </c>
      <c r="L284" s="4">
        <v>8.1289999999999996</v>
      </c>
      <c r="M284" s="4">
        <v>8.1289999999999996</v>
      </c>
      <c r="N284" s="4">
        <v>8.1289999999999996</v>
      </c>
      <c r="O284" s="4">
        <v>8.1289999999999996</v>
      </c>
      <c r="P284" s="4">
        <v>0</v>
      </c>
      <c r="Q284" s="3" t="s">
        <v>26</v>
      </c>
      <c r="R284" s="3">
        <v>0</v>
      </c>
      <c r="S284" s="4">
        <v>0</v>
      </c>
      <c r="T284" s="4">
        <v>13</v>
      </c>
      <c r="U284" s="4">
        <v>69</v>
      </c>
      <c r="V284" s="4">
        <f>IF(ISERROR(VLOOKUP($S$284,'TAR FIN'!$A$1:$O$91,15,0)),0,VLOOKUP($S$284,'TAR FIN'!$A$1:$O$91,15,0))</f>
        <v>0</v>
      </c>
      <c r="W284" s="4">
        <f>IF(ISERROR(VLOOKUP($T$284,'TAR FIN'!$A$1:$O$91,15,0)),0,VLOOKUP($T$284,'TAR FIN'!$A$1:$O$91,15,0))</f>
        <v>71.14</v>
      </c>
      <c r="X284" s="4">
        <f>IF(ISERROR(VLOOKUP($U$284,'TAR FIN'!$A$1:$O$91,15,0)),0,VLOOKUP($U$284,'TAR FIN'!$A$1:$O$91,15,0))</f>
        <v>249.25</v>
      </c>
      <c r="Y284" s="4"/>
      <c r="Z284" s="4">
        <f ca="1">('TUSD BE'!$AM$15+'TUSD BF'!$AM$15+'TUSD CVA'!$AM$15)*1</f>
        <v>102.88633971139855</v>
      </c>
      <c r="AA284" s="4">
        <f>('TE BE'!$AB$6+'TE BF'!$AB$6+'TE CVA'!$AB$6)*1</f>
        <v>203.38274236935246</v>
      </c>
      <c r="AB284" s="4">
        <f>$K$284*$V$284</f>
        <v>0</v>
      </c>
      <c r="AC284" s="4">
        <f>$M$284*$W$284</f>
        <v>578.29705999999999</v>
      </c>
      <c r="AD284" s="4">
        <f>$O$284*$X$284</f>
        <v>2026.1532499999998</v>
      </c>
      <c r="AE284" s="4">
        <f>$K$284*$Y$284</f>
        <v>0</v>
      </c>
      <c r="AF284" s="4">
        <f ca="1">$M$284*$Z$284</f>
        <v>836.36305551395878</v>
      </c>
      <c r="AG284" s="4">
        <f>$O$284*$AA$284</f>
        <v>1653.2983127204661</v>
      </c>
    </row>
    <row r="285" spans="1:33" ht="11.25" customHeight="1" x14ac:dyDescent="0.25">
      <c r="A285" s="3" t="s">
        <v>21</v>
      </c>
      <c r="B285" s="3" t="s">
        <v>35</v>
      </c>
      <c r="C285" s="3" t="s">
        <v>36</v>
      </c>
      <c r="D285" s="3" t="s">
        <v>42</v>
      </c>
      <c r="E285" s="3" t="s">
        <v>25</v>
      </c>
      <c r="F285" s="3" t="s">
        <v>25</v>
      </c>
      <c r="G285" s="3" t="s">
        <v>25</v>
      </c>
      <c r="H285" s="3" t="s">
        <v>38</v>
      </c>
      <c r="I285" s="6">
        <v>44501</v>
      </c>
      <c r="J285" s="4">
        <v>0</v>
      </c>
      <c r="K285" s="4">
        <v>0</v>
      </c>
      <c r="L285" s="4">
        <v>15.029</v>
      </c>
      <c r="M285" s="4">
        <v>15.029</v>
      </c>
      <c r="N285" s="4">
        <v>15.029</v>
      </c>
      <c r="O285" s="4">
        <v>15.029</v>
      </c>
      <c r="P285" s="4">
        <v>0</v>
      </c>
      <c r="Q285" s="3" t="s">
        <v>26</v>
      </c>
      <c r="R285" s="3">
        <v>0</v>
      </c>
      <c r="S285" s="4">
        <v>0</v>
      </c>
      <c r="T285" s="4">
        <v>13</v>
      </c>
      <c r="U285" s="4">
        <v>69</v>
      </c>
      <c r="V285" s="4">
        <f>IF(ISERROR(VLOOKUP($S$285,'TAR FIN'!$A$1:$O$91,15,0)),0,VLOOKUP($S$285,'TAR FIN'!$A$1:$O$91,15,0))</f>
        <v>0</v>
      </c>
      <c r="W285" s="4">
        <f>IF(ISERROR(VLOOKUP($T$285,'TAR FIN'!$A$1:$O$91,15,0)),0,VLOOKUP($T$285,'TAR FIN'!$A$1:$O$91,15,0))</f>
        <v>71.14</v>
      </c>
      <c r="X285" s="4">
        <f>IF(ISERROR(VLOOKUP($U$285,'TAR FIN'!$A$1:$O$91,15,0)),0,VLOOKUP($U$285,'TAR FIN'!$A$1:$O$91,15,0))</f>
        <v>249.25</v>
      </c>
      <c r="Y285" s="4"/>
      <c r="Z285" s="4">
        <f ca="1">('TUSD BE'!$AM$15+'TUSD BF'!$AM$15+'TUSD CVA'!$AM$15)*1</f>
        <v>102.88633971139855</v>
      </c>
      <c r="AA285" s="4">
        <f>('TE BE'!$AB$6+'TE BF'!$AB$6+'TE CVA'!$AB$6)*1</f>
        <v>203.38274236935246</v>
      </c>
      <c r="AB285" s="4">
        <f>$K$285*$V$285</f>
        <v>0</v>
      </c>
      <c r="AC285" s="4">
        <f>$M$285*$W$285</f>
        <v>1069.1630600000001</v>
      </c>
      <c r="AD285" s="4">
        <f>$O$285*$X$285</f>
        <v>3745.9782500000001</v>
      </c>
      <c r="AE285" s="4">
        <f>$K$285*$Y$285</f>
        <v>0</v>
      </c>
      <c r="AF285" s="4">
        <f ca="1">$M$285*$Z$285</f>
        <v>1546.2787995226088</v>
      </c>
      <c r="AG285" s="4">
        <f>$O$285*$AA$285</f>
        <v>3056.639235068998</v>
      </c>
    </row>
    <row r="286" spans="1:33" ht="11.25" customHeight="1" x14ac:dyDescent="0.25">
      <c r="A286" s="3" t="s">
        <v>21</v>
      </c>
      <c r="B286" s="3" t="s">
        <v>35</v>
      </c>
      <c r="C286" s="3" t="s">
        <v>36</v>
      </c>
      <c r="D286" s="3" t="s">
        <v>42</v>
      </c>
      <c r="E286" s="3" t="s">
        <v>25</v>
      </c>
      <c r="F286" s="3" t="s">
        <v>25</v>
      </c>
      <c r="G286" s="3" t="s">
        <v>25</v>
      </c>
      <c r="H286" s="3" t="s">
        <v>38</v>
      </c>
      <c r="I286" s="6">
        <v>44531</v>
      </c>
      <c r="J286" s="4">
        <v>0</v>
      </c>
      <c r="K286" s="4">
        <v>0</v>
      </c>
      <c r="L286" s="4">
        <v>6.3529999999999998</v>
      </c>
      <c r="M286" s="4">
        <v>6.3529999999999998</v>
      </c>
      <c r="N286" s="4">
        <v>6.3529999999999998</v>
      </c>
      <c r="O286" s="4">
        <v>6.3529999999999998</v>
      </c>
      <c r="P286" s="4">
        <v>0</v>
      </c>
      <c r="Q286" s="3" t="s">
        <v>26</v>
      </c>
      <c r="R286" s="3">
        <v>0</v>
      </c>
      <c r="S286" s="4">
        <v>0</v>
      </c>
      <c r="T286" s="4">
        <v>13</v>
      </c>
      <c r="U286" s="4">
        <v>69</v>
      </c>
      <c r="V286" s="4">
        <f>IF(ISERROR(VLOOKUP($S$286,'TAR FIN'!$A$1:$O$91,15,0)),0,VLOOKUP($S$286,'TAR FIN'!$A$1:$O$91,15,0))</f>
        <v>0</v>
      </c>
      <c r="W286" s="4">
        <f>IF(ISERROR(VLOOKUP($T$286,'TAR FIN'!$A$1:$O$91,15,0)),0,VLOOKUP($T$286,'TAR FIN'!$A$1:$O$91,15,0))</f>
        <v>71.14</v>
      </c>
      <c r="X286" s="4">
        <f>IF(ISERROR(VLOOKUP($U$286,'TAR FIN'!$A$1:$O$91,15,0)),0,VLOOKUP($U$286,'TAR FIN'!$A$1:$O$91,15,0))</f>
        <v>249.25</v>
      </c>
      <c r="Y286" s="4"/>
      <c r="Z286" s="4">
        <f ca="1">('TUSD BE'!$AM$15+'TUSD BF'!$AM$15+'TUSD CVA'!$AM$15)*1</f>
        <v>102.88633971139855</v>
      </c>
      <c r="AA286" s="4">
        <f>('TE BE'!$AB$6+'TE BF'!$AB$6+'TE CVA'!$AB$6)*1</f>
        <v>203.38274236935246</v>
      </c>
      <c r="AB286" s="4">
        <f>$K$286*$V$286</f>
        <v>0</v>
      </c>
      <c r="AC286" s="4">
        <f>$M$286*$W$286</f>
        <v>451.95241999999996</v>
      </c>
      <c r="AD286" s="4">
        <f>$O$286*$X$286</f>
        <v>1583.48525</v>
      </c>
      <c r="AE286" s="4">
        <f>$K$286*$Y$286</f>
        <v>0</v>
      </c>
      <c r="AF286" s="4">
        <f ca="1">$M$286*$Z$286</f>
        <v>653.63691618651501</v>
      </c>
      <c r="AG286" s="4">
        <f>$O$286*$AA$286</f>
        <v>1292.0905622724961</v>
      </c>
    </row>
    <row r="287" spans="1:33" ht="11.25" customHeight="1" x14ac:dyDescent="0.25">
      <c r="A287" s="3" t="s">
        <v>21</v>
      </c>
      <c r="B287" s="3" t="s">
        <v>35</v>
      </c>
      <c r="C287" s="3" t="s">
        <v>36</v>
      </c>
      <c r="D287" s="3" t="s">
        <v>42</v>
      </c>
      <c r="E287" s="3" t="s">
        <v>25</v>
      </c>
      <c r="F287" s="3" t="s">
        <v>25</v>
      </c>
      <c r="G287" s="3" t="s">
        <v>25</v>
      </c>
      <c r="H287" s="3" t="s">
        <v>38</v>
      </c>
      <c r="I287" s="6">
        <v>44562</v>
      </c>
      <c r="J287" s="4">
        <v>0</v>
      </c>
      <c r="K287" s="4">
        <v>0</v>
      </c>
      <c r="L287" s="4">
        <v>2.786</v>
      </c>
      <c r="M287" s="4">
        <v>2.786</v>
      </c>
      <c r="N287" s="4">
        <v>2.786</v>
      </c>
      <c r="O287" s="4">
        <v>2.786</v>
      </c>
      <c r="P287" s="4">
        <v>0</v>
      </c>
      <c r="Q287" s="3" t="s">
        <v>26</v>
      </c>
      <c r="R287" s="3">
        <v>0</v>
      </c>
      <c r="S287" s="4">
        <v>0</v>
      </c>
      <c r="T287" s="4">
        <v>13</v>
      </c>
      <c r="U287" s="4">
        <v>69</v>
      </c>
      <c r="V287" s="4">
        <f>IF(ISERROR(VLOOKUP($S$287,'TAR FIN'!$A$1:$O$91,15,0)),0,VLOOKUP($S$287,'TAR FIN'!$A$1:$O$91,15,0))</f>
        <v>0</v>
      </c>
      <c r="W287" s="4">
        <f>IF(ISERROR(VLOOKUP($T$287,'TAR FIN'!$A$1:$O$91,15,0)),0,VLOOKUP($T$287,'TAR FIN'!$A$1:$O$91,15,0))</f>
        <v>71.14</v>
      </c>
      <c r="X287" s="4">
        <f>IF(ISERROR(VLOOKUP($U$287,'TAR FIN'!$A$1:$O$91,15,0)),0,VLOOKUP($U$287,'TAR FIN'!$A$1:$O$91,15,0))</f>
        <v>249.25</v>
      </c>
      <c r="Y287" s="4"/>
      <c r="Z287" s="4">
        <f ca="1">('TUSD BE'!$AM$15+'TUSD BF'!$AM$15+'TUSD CVA'!$AM$15)*1</f>
        <v>102.88633971139855</v>
      </c>
      <c r="AA287" s="4">
        <f>('TE BE'!$AB$6+'TE BF'!$AB$6+'TE CVA'!$AB$6)*1</f>
        <v>203.38274236935246</v>
      </c>
      <c r="AB287" s="4">
        <f>$K$287*$V$287</f>
        <v>0</v>
      </c>
      <c r="AC287" s="4">
        <f>$M$287*$W$287</f>
        <v>198.19604000000001</v>
      </c>
      <c r="AD287" s="4">
        <f>$O$287*$X$287</f>
        <v>694.41049999999996</v>
      </c>
      <c r="AE287" s="4">
        <f>$K$287*$Y$287</f>
        <v>0</v>
      </c>
      <c r="AF287" s="4">
        <f ca="1">$M$287*$Z$287</f>
        <v>286.64134243595635</v>
      </c>
      <c r="AG287" s="4">
        <f>$O$287*$AA$287</f>
        <v>566.62432024101599</v>
      </c>
    </row>
    <row r="288" spans="1:33" ht="11.25" customHeight="1" x14ac:dyDescent="0.25">
      <c r="A288" s="3" t="s">
        <v>21</v>
      </c>
      <c r="B288" s="3" t="s">
        <v>35</v>
      </c>
      <c r="C288" s="3" t="s">
        <v>36</v>
      </c>
      <c r="D288" s="3" t="s">
        <v>42</v>
      </c>
      <c r="E288" s="3" t="s">
        <v>25</v>
      </c>
      <c r="F288" s="3" t="s">
        <v>25</v>
      </c>
      <c r="G288" s="3" t="s">
        <v>25</v>
      </c>
      <c r="H288" s="3" t="s">
        <v>38</v>
      </c>
      <c r="I288" s="6">
        <v>44593</v>
      </c>
      <c r="J288" s="4">
        <v>0</v>
      </c>
      <c r="K288" s="4">
        <v>0</v>
      </c>
      <c r="L288" s="4">
        <v>16.231000000000002</v>
      </c>
      <c r="M288" s="4">
        <v>16.231000000000002</v>
      </c>
      <c r="N288" s="4">
        <v>16.231000000000002</v>
      </c>
      <c r="O288" s="4">
        <v>16.231000000000002</v>
      </c>
      <c r="P288" s="4">
        <v>0</v>
      </c>
      <c r="Q288" s="3" t="s">
        <v>26</v>
      </c>
      <c r="R288" s="3">
        <v>0</v>
      </c>
      <c r="S288" s="4">
        <v>0</v>
      </c>
      <c r="T288" s="4">
        <v>13</v>
      </c>
      <c r="U288" s="4">
        <v>69</v>
      </c>
      <c r="V288" s="4">
        <f>IF(ISERROR(VLOOKUP($S$288,'TAR FIN'!$A$1:$O$91,15,0)),0,VLOOKUP($S$288,'TAR FIN'!$A$1:$O$91,15,0))</f>
        <v>0</v>
      </c>
      <c r="W288" s="4">
        <f>IF(ISERROR(VLOOKUP($T$288,'TAR FIN'!$A$1:$O$91,15,0)),0,VLOOKUP($T$288,'TAR FIN'!$A$1:$O$91,15,0))</f>
        <v>71.14</v>
      </c>
      <c r="X288" s="4">
        <f>IF(ISERROR(VLOOKUP($U$288,'TAR FIN'!$A$1:$O$91,15,0)),0,VLOOKUP($U$288,'TAR FIN'!$A$1:$O$91,15,0))</f>
        <v>249.25</v>
      </c>
      <c r="Y288" s="4"/>
      <c r="Z288" s="4">
        <f ca="1">('TUSD BE'!$AM$15+'TUSD BF'!$AM$15+'TUSD CVA'!$AM$15)*1</f>
        <v>102.88633971139855</v>
      </c>
      <c r="AA288" s="4">
        <f>('TE BE'!$AB$6+'TE BF'!$AB$6+'TE CVA'!$AB$6)*1</f>
        <v>203.38274236935246</v>
      </c>
      <c r="AB288" s="4">
        <f>$K$288*$V$288</f>
        <v>0</v>
      </c>
      <c r="AC288" s="4">
        <f>$M$288*$W$288</f>
        <v>1154.6733400000001</v>
      </c>
      <c r="AD288" s="4">
        <f>$O$288*$X$288</f>
        <v>4045.5767500000006</v>
      </c>
      <c r="AE288" s="4">
        <f>$K$288*$Y$288</f>
        <v>0</v>
      </c>
      <c r="AF288" s="4">
        <f ca="1">$M$288*$Z$288</f>
        <v>1669.9481798557101</v>
      </c>
      <c r="AG288" s="4">
        <f>$O$288*$AA$288</f>
        <v>3301.1052913969602</v>
      </c>
    </row>
    <row r="289" spans="1:33" ht="11.25" customHeight="1" x14ac:dyDescent="0.25">
      <c r="A289" s="3" t="s">
        <v>21</v>
      </c>
      <c r="B289" s="3" t="s">
        <v>35</v>
      </c>
      <c r="C289" s="3" t="s">
        <v>36</v>
      </c>
      <c r="D289" s="3" t="s">
        <v>42</v>
      </c>
      <c r="E289" s="3" t="s">
        <v>25</v>
      </c>
      <c r="F289" s="3" t="s">
        <v>25</v>
      </c>
      <c r="G289" s="3" t="s">
        <v>25</v>
      </c>
      <c r="H289" s="3" t="s">
        <v>38</v>
      </c>
      <c r="I289" s="6">
        <v>44621</v>
      </c>
      <c r="J289" s="4">
        <v>0</v>
      </c>
      <c r="K289" s="4">
        <v>0</v>
      </c>
      <c r="L289" s="4">
        <v>19.030999999999999</v>
      </c>
      <c r="M289" s="4">
        <v>19.030999999999999</v>
      </c>
      <c r="N289" s="4">
        <v>19.030999999999999</v>
      </c>
      <c r="O289" s="4">
        <v>19.030999999999999</v>
      </c>
      <c r="P289" s="4">
        <v>0</v>
      </c>
      <c r="Q289" s="3" t="s">
        <v>26</v>
      </c>
      <c r="R289" s="3">
        <v>0</v>
      </c>
      <c r="S289" s="4">
        <v>0</v>
      </c>
      <c r="T289" s="4">
        <v>13</v>
      </c>
      <c r="U289" s="4">
        <v>69</v>
      </c>
      <c r="V289" s="4">
        <f>IF(ISERROR(VLOOKUP($S$289,'TAR FIN'!$A$1:$O$91,15,0)),0,VLOOKUP($S$289,'TAR FIN'!$A$1:$O$91,15,0))</f>
        <v>0</v>
      </c>
      <c r="W289" s="4">
        <f>IF(ISERROR(VLOOKUP($T$289,'TAR FIN'!$A$1:$O$91,15,0)),0,VLOOKUP($T$289,'TAR FIN'!$A$1:$O$91,15,0))</f>
        <v>71.14</v>
      </c>
      <c r="X289" s="4">
        <f>IF(ISERROR(VLOOKUP($U$289,'TAR FIN'!$A$1:$O$91,15,0)),0,VLOOKUP($U$289,'TAR FIN'!$A$1:$O$91,15,0))</f>
        <v>249.25</v>
      </c>
      <c r="Y289" s="4"/>
      <c r="Z289" s="4">
        <f ca="1">('TUSD BE'!$AM$15+'TUSD BF'!$AM$15+'TUSD CVA'!$AM$15)*1</f>
        <v>102.88633971139855</v>
      </c>
      <c r="AA289" s="4">
        <f>('TE BE'!$AB$6+'TE BF'!$AB$6+'TE CVA'!$AB$6)*1</f>
        <v>203.38274236935246</v>
      </c>
      <c r="AB289" s="4">
        <f>$K$289*$V$289</f>
        <v>0</v>
      </c>
      <c r="AC289" s="4">
        <f>$M$289*$W$289</f>
        <v>1353.8653399999998</v>
      </c>
      <c r="AD289" s="4">
        <f>$O$289*$X$289</f>
        <v>4743.4767499999998</v>
      </c>
      <c r="AE289" s="4">
        <f>$K$289*$Y$289</f>
        <v>0</v>
      </c>
      <c r="AF289" s="4">
        <f ca="1">$M$289*$Z$289</f>
        <v>1958.0299310476257</v>
      </c>
      <c r="AG289" s="4">
        <f>$O$289*$AA$289</f>
        <v>3870.5769700311462</v>
      </c>
    </row>
    <row r="290" spans="1:33" ht="11.25" customHeight="1" x14ac:dyDescent="0.25">
      <c r="A290" s="3" t="s">
        <v>21</v>
      </c>
      <c r="B290" s="3" t="s">
        <v>35</v>
      </c>
      <c r="C290" s="3" t="s">
        <v>36</v>
      </c>
      <c r="D290" s="3" t="s">
        <v>42</v>
      </c>
      <c r="E290" s="3" t="s">
        <v>25</v>
      </c>
      <c r="F290" s="3" t="s">
        <v>25</v>
      </c>
      <c r="G290" s="3" t="s">
        <v>25</v>
      </c>
      <c r="H290" s="3" t="s">
        <v>38</v>
      </c>
      <c r="I290" s="6">
        <v>44652</v>
      </c>
      <c r="J290" s="4">
        <v>0</v>
      </c>
      <c r="K290" s="4">
        <v>0</v>
      </c>
      <c r="L290" s="4">
        <v>12.247</v>
      </c>
      <c r="M290" s="4">
        <v>12.247</v>
      </c>
      <c r="N290" s="4">
        <v>12.247</v>
      </c>
      <c r="O290" s="4">
        <v>12.247</v>
      </c>
      <c r="P290" s="4">
        <v>0</v>
      </c>
      <c r="Q290" s="3" t="s">
        <v>26</v>
      </c>
      <c r="R290" s="3">
        <v>0</v>
      </c>
      <c r="S290" s="4">
        <v>0</v>
      </c>
      <c r="T290" s="4">
        <v>13</v>
      </c>
      <c r="U290" s="4">
        <v>69</v>
      </c>
      <c r="V290" s="4">
        <f>IF(ISERROR(VLOOKUP($S$290,'TAR FIN'!$A$1:$O$91,15,0)),0,VLOOKUP($S$290,'TAR FIN'!$A$1:$O$91,15,0))</f>
        <v>0</v>
      </c>
      <c r="W290" s="4">
        <f>IF(ISERROR(VLOOKUP($T$290,'TAR FIN'!$A$1:$O$91,15,0)),0,VLOOKUP($T$290,'TAR FIN'!$A$1:$O$91,15,0))</f>
        <v>71.14</v>
      </c>
      <c r="X290" s="4">
        <f>IF(ISERROR(VLOOKUP($U$290,'TAR FIN'!$A$1:$O$91,15,0)),0,VLOOKUP($U$290,'TAR FIN'!$A$1:$O$91,15,0))</f>
        <v>249.25</v>
      </c>
      <c r="Y290" s="4"/>
      <c r="Z290" s="4">
        <f ca="1">('TUSD BE'!$AM$15+'TUSD BF'!$AM$15+'TUSD CVA'!$AM$15)*1</f>
        <v>102.88633971139855</v>
      </c>
      <c r="AA290" s="4">
        <f>('TE BE'!$AB$6+'TE BF'!$AB$6+'TE CVA'!$AB$6)*1</f>
        <v>203.38274236935246</v>
      </c>
      <c r="AB290" s="4">
        <f>$K$290*$V$290</f>
        <v>0</v>
      </c>
      <c r="AC290" s="4">
        <f>$M$290*$W$290</f>
        <v>871.25157999999999</v>
      </c>
      <c r="AD290" s="4">
        <f>$O$290*$X$290</f>
        <v>3052.56475</v>
      </c>
      <c r="AE290" s="4">
        <f>$K$290*$Y$290</f>
        <v>0</v>
      </c>
      <c r="AF290" s="4">
        <f ca="1">$M$290*$Z$290</f>
        <v>1260.049002445498</v>
      </c>
      <c r="AG290" s="4">
        <f>$O$290*$AA$290</f>
        <v>2490.8284457974596</v>
      </c>
    </row>
    <row r="291" spans="1:33" ht="11.25" customHeight="1" x14ac:dyDescent="0.25">
      <c r="A291" s="3" t="s">
        <v>21</v>
      </c>
      <c r="B291" s="3" t="s">
        <v>35</v>
      </c>
      <c r="C291" s="3" t="s">
        <v>36</v>
      </c>
      <c r="D291" s="3" t="s">
        <v>42</v>
      </c>
      <c r="E291" s="3" t="s">
        <v>25</v>
      </c>
      <c r="F291" s="3" t="s">
        <v>25</v>
      </c>
      <c r="G291" s="3" t="s">
        <v>25</v>
      </c>
      <c r="H291" s="3" t="s">
        <v>38</v>
      </c>
      <c r="I291" s="6">
        <v>44682</v>
      </c>
      <c r="J291" s="4">
        <v>0</v>
      </c>
      <c r="K291" s="4">
        <v>0</v>
      </c>
      <c r="L291" s="4">
        <v>9.77</v>
      </c>
      <c r="M291" s="4">
        <v>9.77</v>
      </c>
      <c r="N291" s="4">
        <v>9.77</v>
      </c>
      <c r="O291" s="4">
        <v>9.77</v>
      </c>
      <c r="P291" s="4">
        <v>0</v>
      </c>
      <c r="Q291" s="3" t="s">
        <v>26</v>
      </c>
      <c r="R291" s="3">
        <v>0</v>
      </c>
      <c r="S291" s="4">
        <v>0</v>
      </c>
      <c r="T291" s="4">
        <v>13</v>
      </c>
      <c r="U291" s="4">
        <v>69</v>
      </c>
      <c r="V291" s="4">
        <f>IF(ISERROR(VLOOKUP($S$291,'TAR FIN'!$A$1:$O$91,15,0)),0,VLOOKUP($S$291,'TAR FIN'!$A$1:$O$91,15,0))</f>
        <v>0</v>
      </c>
      <c r="W291" s="4">
        <f>IF(ISERROR(VLOOKUP($T$291,'TAR FIN'!$A$1:$O$91,15,0)),0,VLOOKUP($T$291,'TAR FIN'!$A$1:$O$91,15,0))</f>
        <v>71.14</v>
      </c>
      <c r="X291" s="4">
        <f>IF(ISERROR(VLOOKUP($U$291,'TAR FIN'!$A$1:$O$91,15,0)),0,VLOOKUP($U$291,'TAR FIN'!$A$1:$O$91,15,0))</f>
        <v>249.25</v>
      </c>
      <c r="Y291" s="4"/>
      <c r="Z291" s="4">
        <f ca="1">('TUSD BE'!$AM$15+'TUSD BF'!$AM$15+'TUSD CVA'!$AM$15)*1</f>
        <v>102.88633971139855</v>
      </c>
      <c r="AA291" s="4">
        <f>('TE BE'!$AB$6+'TE BF'!$AB$6+'TE CVA'!$AB$6)*1</f>
        <v>203.38274236935246</v>
      </c>
      <c r="AB291" s="4">
        <f>$K$291*$V$291</f>
        <v>0</v>
      </c>
      <c r="AC291" s="4">
        <f>$M$291*$W$291</f>
        <v>695.03779999999995</v>
      </c>
      <c r="AD291" s="4">
        <f>$O$291*$X$291</f>
        <v>2435.1724999999997</v>
      </c>
      <c r="AE291" s="4">
        <f>$K$291*$Y$291</f>
        <v>0</v>
      </c>
      <c r="AF291" s="4">
        <f ca="1">$M$291*$Z$291</f>
        <v>1005.1995389803637</v>
      </c>
      <c r="AG291" s="4">
        <f>$O$291*$AA$291</f>
        <v>1987.0493929485733</v>
      </c>
    </row>
    <row r="292" spans="1:33" ht="11.25" customHeight="1" x14ac:dyDescent="0.25">
      <c r="A292" s="3" t="s">
        <v>21</v>
      </c>
      <c r="B292" s="3" t="s">
        <v>35</v>
      </c>
      <c r="C292" s="3" t="s">
        <v>36</v>
      </c>
      <c r="D292" s="3" t="s">
        <v>42</v>
      </c>
      <c r="E292" s="3" t="s">
        <v>25</v>
      </c>
      <c r="F292" s="3" t="s">
        <v>25</v>
      </c>
      <c r="G292" s="3" t="s">
        <v>25</v>
      </c>
      <c r="H292" s="3" t="s">
        <v>38</v>
      </c>
      <c r="I292" s="6">
        <v>44713</v>
      </c>
      <c r="J292" s="4">
        <v>0</v>
      </c>
      <c r="K292" s="4">
        <v>0</v>
      </c>
      <c r="L292" s="4">
        <v>10.968</v>
      </c>
      <c r="M292" s="4">
        <v>10.968</v>
      </c>
      <c r="N292" s="4">
        <v>10.968</v>
      </c>
      <c r="O292" s="4">
        <v>10.968</v>
      </c>
      <c r="P292" s="4">
        <v>0</v>
      </c>
      <c r="Q292" s="3" t="s">
        <v>26</v>
      </c>
      <c r="R292" s="3">
        <v>0</v>
      </c>
      <c r="S292" s="4">
        <v>0</v>
      </c>
      <c r="T292" s="4">
        <v>13</v>
      </c>
      <c r="U292" s="4">
        <v>69</v>
      </c>
      <c r="V292" s="4">
        <f>IF(ISERROR(VLOOKUP($S$292,'TAR FIN'!$A$1:$O$91,15,0)),0,VLOOKUP($S$292,'TAR FIN'!$A$1:$O$91,15,0))</f>
        <v>0</v>
      </c>
      <c r="W292" s="4">
        <f>IF(ISERROR(VLOOKUP($T$292,'TAR FIN'!$A$1:$O$91,15,0)),0,VLOOKUP($T$292,'TAR FIN'!$A$1:$O$91,15,0))</f>
        <v>71.14</v>
      </c>
      <c r="X292" s="4">
        <f>IF(ISERROR(VLOOKUP($U$292,'TAR FIN'!$A$1:$O$91,15,0)),0,VLOOKUP($U$292,'TAR FIN'!$A$1:$O$91,15,0))</f>
        <v>249.25</v>
      </c>
      <c r="Y292" s="4"/>
      <c r="Z292" s="4">
        <f ca="1">('TUSD BE'!$AM$15+'TUSD BF'!$AM$15+'TUSD CVA'!$AM$15)*1</f>
        <v>102.88633971139855</v>
      </c>
      <c r="AA292" s="4">
        <f>('TE BE'!$AB$6+'TE BF'!$AB$6+'TE CVA'!$AB$6)*1</f>
        <v>203.38274236935246</v>
      </c>
      <c r="AB292" s="4">
        <f>$K$292*$V$292</f>
        <v>0</v>
      </c>
      <c r="AC292" s="4">
        <f>$M$292*$W$292</f>
        <v>780.26351999999997</v>
      </c>
      <c r="AD292" s="4">
        <f>$O$292*$X$292</f>
        <v>2733.7739999999999</v>
      </c>
      <c r="AE292" s="4">
        <f>$K$292*$Y$292</f>
        <v>0</v>
      </c>
      <c r="AF292" s="4">
        <f ca="1">$M$292*$Z$292</f>
        <v>1128.4573739546192</v>
      </c>
      <c r="AG292" s="4">
        <f>$O$292*$AA$292</f>
        <v>2230.7019183070579</v>
      </c>
    </row>
    <row r="293" spans="1:33" ht="11.25" customHeight="1" x14ac:dyDescent="0.25">
      <c r="A293" s="3" t="s">
        <v>21</v>
      </c>
      <c r="B293" s="3" t="s">
        <v>35</v>
      </c>
      <c r="C293" s="3" t="s">
        <v>36</v>
      </c>
      <c r="D293" s="3" t="s">
        <v>42</v>
      </c>
      <c r="E293" s="3" t="s">
        <v>25</v>
      </c>
      <c r="F293" s="3" t="s">
        <v>25</v>
      </c>
      <c r="G293" s="3" t="s">
        <v>25</v>
      </c>
      <c r="H293" s="3" t="s">
        <v>38</v>
      </c>
      <c r="I293" s="6">
        <v>44743</v>
      </c>
      <c r="J293" s="4">
        <v>0</v>
      </c>
      <c r="K293" s="4">
        <v>0</v>
      </c>
      <c r="L293" s="4">
        <v>7.8019999999999996</v>
      </c>
      <c r="M293" s="4">
        <v>7.8019999999999996</v>
      </c>
      <c r="N293" s="4">
        <v>7.8019999999999996</v>
      </c>
      <c r="O293" s="4">
        <v>7.8019999999999996</v>
      </c>
      <c r="P293" s="4">
        <v>0</v>
      </c>
      <c r="Q293" s="3" t="s">
        <v>26</v>
      </c>
      <c r="R293" s="3">
        <v>0</v>
      </c>
      <c r="S293" s="4">
        <v>0</v>
      </c>
      <c r="T293" s="4">
        <v>13</v>
      </c>
      <c r="U293" s="4">
        <v>69</v>
      </c>
      <c r="V293" s="4">
        <f>IF(ISERROR(VLOOKUP($S$293,'TAR FIN'!$A$1:$O$91,15,0)),0,VLOOKUP($S$293,'TAR FIN'!$A$1:$O$91,15,0))</f>
        <v>0</v>
      </c>
      <c r="W293" s="4">
        <f>IF(ISERROR(VLOOKUP($T$293,'TAR FIN'!$A$1:$O$91,15,0)),0,VLOOKUP($T$293,'TAR FIN'!$A$1:$O$91,15,0))</f>
        <v>71.14</v>
      </c>
      <c r="X293" s="4">
        <f>IF(ISERROR(VLOOKUP($U$293,'TAR FIN'!$A$1:$O$91,15,0)),0,VLOOKUP($U$293,'TAR FIN'!$A$1:$O$91,15,0))</f>
        <v>249.25</v>
      </c>
      <c r="Y293" s="4"/>
      <c r="Z293" s="4">
        <f ca="1">('TUSD BE'!$AM$15+'TUSD BF'!$AM$15+'TUSD CVA'!$AM$15)*1</f>
        <v>102.88633971139855</v>
      </c>
      <c r="AA293" s="4">
        <f>('TE BE'!$AB$6+'TE BF'!$AB$6+'TE CVA'!$AB$6)*1</f>
        <v>203.38274236935246</v>
      </c>
      <c r="AB293" s="4">
        <f>$K$293*$V$293</f>
        <v>0</v>
      </c>
      <c r="AC293" s="4">
        <f>$M$293*$W$293</f>
        <v>555.03427999999997</v>
      </c>
      <c r="AD293" s="4">
        <f>$O$293*$X$293</f>
        <v>1944.6485</v>
      </c>
      <c r="AE293" s="4">
        <f>$K$293*$Y$293</f>
        <v>0</v>
      </c>
      <c r="AF293" s="4">
        <f ca="1">$M$293*$Z$293</f>
        <v>802.71922242833148</v>
      </c>
      <c r="AG293" s="4">
        <f>$O$293*$AA$293</f>
        <v>1586.7921559656877</v>
      </c>
    </row>
    <row r="294" spans="1:33" ht="11.25" customHeight="1" x14ac:dyDescent="0.25">
      <c r="A294" s="3" t="s">
        <v>21</v>
      </c>
      <c r="B294" s="3" t="s">
        <v>35</v>
      </c>
      <c r="C294" s="3" t="s">
        <v>36</v>
      </c>
      <c r="D294" s="3" t="s">
        <v>42</v>
      </c>
      <c r="E294" s="3" t="s">
        <v>25</v>
      </c>
      <c r="F294" s="3" t="s">
        <v>25</v>
      </c>
      <c r="G294" s="3" t="s">
        <v>25</v>
      </c>
      <c r="H294" s="3" t="s">
        <v>38</v>
      </c>
      <c r="I294" s="6">
        <v>44774</v>
      </c>
      <c r="J294" s="4">
        <v>0</v>
      </c>
      <c r="K294" s="4">
        <v>0</v>
      </c>
      <c r="L294" s="4">
        <v>10.375999999999999</v>
      </c>
      <c r="M294" s="4">
        <v>10.375999999999999</v>
      </c>
      <c r="N294" s="4">
        <v>10.375999999999999</v>
      </c>
      <c r="O294" s="4">
        <v>10.375999999999999</v>
      </c>
      <c r="P294" s="4">
        <v>0</v>
      </c>
      <c r="Q294" s="3" t="s">
        <v>26</v>
      </c>
      <c r="R294" s="3">
        <v>0</v>
      </c>
      <c r="S294" s="4">
        <v>0</v>
      </c>
      <c r="T294" s="4">
        <v>13</v>
      </c>
      <c r="U294" s="4">
        <v>69</v>
      </c>
      <c r="V294" s="4">
        <f>IF(ISERROR(VLOOKUP($S$294,'TAR FIN'!$A$1:$O$91,15,0)),0,VLOOKUP($S$294,'TAR FIN'!$A$1:$O$91,15,0))</f>
        <v>0</v>
      </c>
      <c r="W294" s="4">
        <f>IF(ISERROR(VLOOKUP($T$294,'TAR FIN'!$A$1:$O$91,15,0)),0,VLOOKUP($T$294,'TAR FIN'!$A$1:$O$91,15,0))</f>
        <v>71.14</v>
      </c>
      <c r="X294" s="4">
        <f>IF(ISERROR(VLOOKUP($U$294,'TAR FIN'!$A$1:$O$91,15,0)),0,VLOOKUP($U$294,'TAR FIN'!$A$1:$O$91,15,0))</f>
        <v>249.25</v>
      </c>
      <c r="Y294" s="4"/>
      <c r="Z294" s="4">
        <f ca="1">('TUSD BE'!$AM$15+'TUSD BF'!$AM$15+'TUSD CVA'!$AM$15)*1</f>
        <v>102.88633971139855</v>
      </c>
      <c r="AA294" s="4">
        <f>('TE BE'!$AB$6+'TE BF'!$AB$6+'TE CVA'!$AB$6)*1</f>
        <v>203.38274236935246</v>
      </c>
      <c r="AB294" s="4">
        <f>$K$294*$V$294</f>
        <v>0</v>
      </c>
      <c r="AC294" s="4">
        <f>$M$294*$W$294</f>
        <v>738.14864</v>
      </c>
      <c r="AD294" s="4">
        <f>$O$294*$X$294</f>
        <v>2586.2179999999998</v>
      </c>
      <c r="AE294" s="4">
        <f>$K$294*$Y$294</f>
        <v>0</v>
      </c>
      <c r="AF294" s="4">
        <f ca="1">$M$294*$Z$294</f>
        <v>1067.5486608454712</v>
      </c>
      <c r="AG294" s="4">
        <f>$O$294*$AA$294</f>
        <v>2110.2993348244008</v>
      </c>
    </row>
    <row r="295" spans="1:33" ht="11.25" customHeight="1" x14ac:dyDescent="0.25">
      <c r="A295" s="3" t="s">
        <v>21</v>
      </c>
      <c r="B295" s="3" t="s">
        <v>35</v>
      </c>
      <c r="C295" s="3" t="s">
        <v>36</v>
      </c>
      <c r="D295" s="3" t="s">
        <v>42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44440</v>
      </c>
      <c r="J295" s="4">
        <v>160</v>
      </c>
      <c r="K295" s="4">
        <v>160</v>
      </c>
      <c r="L295" s="4">
        <v>0</v>
      </c>
      <c r="M295" s="4">
        <v>0</v>
      </c>
      <c r="N295" s="4">
        <v>0</v>
      </c>
      <c r="O295" s="4">
        <v>0</v>
      </c>
      <c r="P295" s="4">
        <v>2</v>
      </c>
      <c r="Q295" s="3" t="s">
        <v>26</v>
      </c>
      <c r="R295" s="3">
        <v>0</v>
      </c>
      <c r="S295" s="4">
        <v>9</v>
      </c>
      <c r="T295" s="4">
        <v>0</v>
      </c>
      <c r="U295" s="4">
        <v>0</v>
      </c>
      <c r="V295" s="4">
        <f>IF(ISERROR(VLOOKUP($S$295,'TAR FIN'!$A$1:$O$91,15,0)),0,VLOOKUP($S$295,'TAR FIN'!$A$1:$O$91,15,0))</f>
        <v>18.149999999999999</v>
      </c>
      <c r="W295" s="4">
        <f>IF(ISERROR(VLOOKUP($T$295,'TAR FIN'!$A$1:$O$91,15,0)),0,VLOOKUP($T$295,'TAR FIN'!$A$1:$O$91,15,0))</f>
        <v>0</v>
      </c>
      <c r="X295" s="4">
        <f>IF(ISERROR(VLOOKUP($U$295,'TAR FIN'!$A$1:$O$91,15,0)),0,VLOOKUP($U$295,'TAR FIN'!$A$1:$O$91,15,0))</f>
        <v>0</v>
      </c>
      <c r="Y295" s="4">
        <f ca="1">('TUSD BE'!$AM$13+'TUSD BF'!$AM$13+'TUSD CVA'!$AM$13)*1</f>
        <v>21.278333841554378</v>
      </c>
      <c r="Z295" s="4"/>
      <c r="AA295" s="4"/>
      <c r="AB295" s="4">
        <f>$K$295*$V$295</f>
        <v>2904</v>
      </c>
      <c r="AC295" s="4">
        <f>$M$295*$W$295</f>
        <v>0</v>
      </c>
      <c r="AD295" s="4">
        <f>$O$295*$X$295</f>
        <v>0</v>
      </c>
      <c r="AE295" s="4">
        <f ca="1">$K$295*$Y$295</f>
        <v>3404.5334146487003</v>
      </c>
      <c r="AF295" s="4">
        <f>$M$295*$Z$295</f>
        <v>0</v>
      </c>
      <c r="AG295" s="4">
        <f>$O$295*$AA$295</f>
        <v>0</v>
      </c>
    </row>
    <row r="296" spans="1:33" ht="11.25" customHeight="1" x14ac:dyDescent="0.25">
      <c r="A296" s="3" t="s">
        <v>21</v>
      </c>
      <c r="B296" s="3" t="s">
        <v>35</v>
      </c>
      <c r="C296" s="3" t="s">
        <v>36</v>
      </c>
      <c r="D296" s="3" t="s">
        <v>42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160</v>
      </c>
      <c r="K296" s="4">
        <v>160</v>
      </c>
      <c r="L296" s="4">
        <v>0</v>
      </c>
      <c r="M296" s="4">
        <v>0</v>
      </c>
      <c r="N296" s="4">
        <v>0</v>
      </c>
      <c r="O296" s="4">
        <v>0</v>
      </c>
      <c r="P296" s="4">
        <v>2</v>
      </c>
      <c r="Q296" s="3" t="s">
        <v>26</v>
      </c>
      <c r="R296" s="3">
        <v>0</v>
      </c>
      <c r="S296" s="4">
        <v>9</v>
      </c>
      <c r="T296" s="4">
        <v>0</v>
      </c>
      <c r="U296" s="4">
        <v>0</v>
      </c>
      <c r="V296" s="4">
        <f>IF(ISERROR(VLOOKUP($S$296,'TAR FIN'!$A$1:$O$91,15,0)),0,VLOOKUP($S$296,'TAR FIN'!$A$1:$O$91,15,0))</f>
        <v>18.149999999999999</v>
      </c>
      <c r="W296" s="4">
        <f>IF(ISERROR(VLOOKUP($T$296,'TAR FIN'!$A$1:$O$91,15,0)),0,VLOOKUP($T$296,'TAR FIN'!$A$1:$O$91,15,0))</f>
        <v>0</v>
      </c>
      <c r="X296" s="4">
        <f>IF(ISERROR(VLOOKUP($U$296,'TAR FIN'!$A$1:$O$91,15,0)),0,VLOOKUP($U$296,'TAR FIN'!$A$1:$O$91,15,0))</f>
        <v>0</v>
      </c>
      <c r="Y296" s="4">
        <f ca="1">('TUSD BE'!$AM$13+'TUSD BF'!$AM$13+'TUSD CVA'!$AM$13)*1</f>
        <v>21.278333841554378</v>
      </c>
      <c r="Z296" s="4"/>
      <c r="AA296" s="4"/>
      <c r="AB296" s="4">
        <f>$K$296*$V$296</f>
        <v>2904</v>
      </c>
      <c r="AC296" s="4">
        <f>$M$296*$W$296</f>
        <v>0</v>
      </c>
      <c r="AD296" s="4">
        <f>$O$296*$X$296</f>
        <v>0</v>
      </c>
      <c r="AE296" s="4">
        <f ca="1">$K$296*$Y$296</f>
        <v>3404.5334146487003</v>
      </c>
      <c r="AF296" s="4">
        <f>$M$296*$Z$296</f>
        <v>0</v>
      </c>
      <c r="AG296" s="4">
        <f>$O$296*$AA$296</f>
        <v>0</v>
      </c>
    </row>
    <row r="297" spans="1:33" ht="11.25" customHeight="1" x14ac:dyDescent="0.25">
      <c r="A297" s="3" t="s">
        <v>21</v>
      </c>
      <c r="B297" s="3" t="s">
        <v>35</v>
      </c>
      <c r="C297" s="3" t="s">
        <v>36</v>
      </c>
      <c r="D297" s="3" t="s">
        <v>42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44501</v>
      </c>
      <c r="J297" s="4">
        <v>160</v>
      </c>
      <c r="K297" s="4">
        <v>160</v>
      </c>
      <c r="L297" s="4">
        <v>0</v>
      </c>
      <c r="M297" s="4">
        <v>0</v>
      </c>
      <c r="N297" s="4">
        <v>0</v>
      </c>
      <c r="O297" s="4">
        <v>0</v>
      </c>
      <c r="P297" s="4">
        <v>2</v>
      </c>
      <c r="Q297" s="3" t="s">
        <v>26</v>
      </c>
      <c r="R297" s="3">
        <v>0</v>
      </c>
      <c r="S297" s="4">
        <v>9</v>
      </c>
      <c r="T297" s="4">
        <v>0</v>
      </c>
      <c r="U297" s="4">
        <v>0</v>
      </c>
      <c r="V297" s="4">
        <f>IF(ISERROR(VLOOKUP($S$297,'TAR FIN'!$A$1:$O$91,15,0)),0,VLOOKUP($S$297,'TAR FIN'!$A$1:$O$91,15,0))</f>
        <v>18.149999999999999</v>
      </c>
      <c r="W297" s="4">
        <f>IF(ISERROR(VLOOKUP($T$297,'TAR FIN'!$A$1:$O$91,15,0)),0,VLOOKUP($T$297,'TAR FIN'!$A$1:$O$91,15,0))</f>
        <v>0</v>
      </c>
      <c r="X297" s="4">
        <f>IF(ISERROR(VLOOKUP($U$297,'TAR FIN'!$A$1:$O$91,15,0)),0,VLOOKUP($U$297,'TAR FIN'!$A$1:$O$91,15,0))</f>
        <v>0</v>
      </c>
      <c r="Y297" s="4">
        <f ca="1">('TUSD BE'!$AM$13+'TUSD BF'!$AM$13+'TUSD CVA'!$AM$13)*1</f>
        <v>21.278333841554378</v>
      </c>
      <c r="Z297" s="4"/>
      <c r="AA297" s="4"/>
      <c r="AB297" s="4">
        <f>$K$297*$V$297</f>
        <v>2904</v>
      </c>
      <c r="AC297" s="4">
        <f>$M$297*$W$297</f>
        <v>0</v>
      </c>
      <c r="AD297" s="4">
        <f>$O$297*$X$297</f>
        <v>0</v>
      </c>
      <c r="AE297" s="4">
        <f ca="1">$K$297*$Y$297</f>
        <v>3404.5334146487003</v>
      </c>
      <c r="AF297" s="4">
        <f>$M$297*$Z$297</f>
        <v>0</v>
      </c>
      <c r="AG297" s="4">
        <f>$O$297*$AA$297</f>
        <v>0</v>
      </c>
    </row>
    <row r="298" spans="1:33" ht="11.25" customHeight="1" x14ac:dyDescent="0.25">
      <c r="A298" s="3" t="s">
        <v>21</v>
      </c>
      <c r="B298" s="3" t="s">
        <v>35</v>
      </c>
      <c r="C298" s="3" t="s">
        <v>36</v>
      </c>
      <c r="D298" s="3" t="s">
        <v>42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44531</v>
      </c>
      <c r="J298" s="4">
        <v>160</v>
      </c>
      <c r="K298" s="4">
        <v>160</v>
      </c>
      <c r="L298" s="4">
        <v>0</v>
      </c>
      <c r="M298" s="4">
        <v>0</v>
      </c>
      <c r="N298" s="4">
        <v>0</v>
      </c>
      <c r="O298" s="4">
        <v>0</v>
      </c>
      <c r="P298" s="4">
        <v>2</v>
      </c>
      <c r="Q298" s="3" t="s">
        <v>26</v>
      </c>
      <c r="R298" s="3">
        <v>0</v>
      </c>
      <c r="S298" s="4">
        <v>9</v>
      </c>
      <c r="T298" s="4">
        <v>0</v>
      </c>
      <c r="U298" s="4">
        <v>0</v>
      </c>
      <c r="V298" s="4">
        <f>IF(ISERROR(VLOOKUP($S$298,'TAR FIN'!$A$1:$O$91,15,0)),0,VLOOKUP($S$298,'TAR FIN'!$A$1:$O$91,15,0))</f>
        <v>18.149999999999999</v>
      </c>
      <c r="W298" s="4">
        <f>IF(ISERROR(VLOOKUP($T$298,'TAR FIN'!$A$1:$O$91,15,0)),0,VLOOKUP($T$298,'TAR FIN'!$A$1:$O$91,15,0))</f>
        <v>0</v>
      </c>
      <c r="X298" s="4">
        <f>IF(ISERROR(VLOOKUP($U$298,'TAR FIN'!$A$1:$O$91,15,0)),0,VLOOKUP($U$298,'TAR FIN'!$A$1:$O$91,15,0))</f>
        <v>0</v>
      </c>
      <c r="Y298" s="4">
        <f ca="1">('TUSD BE'!$AM$13+'TUSD BF'!$AM$13+'TUSD CVA'!$AM$13)*1</f>
        <v>21.278333841554378</v>
      </c>
      <c r="Z298" s="4"/>
      <c r="AA298" s="4"/>
      <c r="AB298" s="4">
        <f>$K$298*$V$298</f>
        <v>2904</v>
      </c>
      <c r="AC298" s="4">
        <f>$M$298*$W$298</f>
        <v>0</v>
      </c>
      <c r="AD298" s="4">
        <f>$O$298*$X$298</f>
        <v>0</v>
      </c>
      <c r="AE298" s="4">
        <f ca="1">$K$298*$Y$298</f>
        <v>3404.5334146487003</v>
      </c>
      <c r="AF298" s="4">
        <f>$M$298*$Z$298</f>
        <v>0</v>
      </c>
      <c r="AG298" s="4">
        <f>$O$298*$AA$298</f>
        <v>0</v>
      </c>
    </row>
    <row r="299" spans="1:33" ht="11.25" customHeight="1" x14ac:dyDescent="0.25">
      <c r="A299" s="3" t="s">
        <v>21</v>
      </c>
      <c r="B299" s="3" t="s">
        <v>35</v>
      </c>
      <c r="C299" s="3" t="s">
        <v>36</v>
      </c>
      <c r="D299" s="3" t="s">
        <v>42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44562</v>
      </c>
      <c r="J299" s="4">
        <v>160</v>
      </c>
      <c r="K299" s="4">
        <v>160</v>
      </c>
      <c r="L299" s="4">
        <v>0</v>
      </c>
      <c r="M299" s="4">
        <v>0</v>
      </c>
      <c r="N299" s="4">
        <v>0</v>
      </c>
      <c r="O299" s="4">
        <v>0</v>
      </c>
      <c r="P299" s="4">
        <v>2</v>
      </c>
      <c r="Q299" s="3" t="s">
        <v>26</v>
      </c>
      <c r="R299" s="3">
        <v>0</v>
      </c>
      <c r="S299" s="4">
        <v>9</v>
      </c>
      <c r="T299" s="4">
        <v>0</v>
      </c>
      <c r="U299" s="4">
        <v>0</v>
      </c>
      <c r="V299" s="4">
        <f>IF(ISERROR(VLOOKUP($S$299,'TAR FIN'!$A$1:$O$91,15,0)),0,VLOOKUP($S$299,'TAR FIN'!$A$1:$O$91,15,0))</f>
        <v>18.149999999999999</v>
      </c>
      <c r="W299" s="4">
        <f>IF(ISERROR(VLOOKUP($T$299,'TAR FIN'!$A$1:$O$91,15,0)),0,VLOOKUP($T$299,'TAR FIN'!$A$1:$O$91,15,0))</f>
        <v>0</v>
      </c>
      <c r="X299" s="4">
        <f>IF(ISERROR(VLOOKUP($U$299,'TAR FIN'!$A$1:$O$91,15,0)),0,VLOOKUP($U$299,'TAR FIN'!$A$1:$O$91,15,0))</f>
        <v>0</v>
      </c>
      <c r="Y299" s="4">
        <f ca="1">('TUSD BE'!$AM$13+'TUSD BF'!$AM$13+'TUSD CVA'!$AM$13)*1</f>
        <v>21.278333841554378</v>
      </c>
      <c r="Z299" s="4"/>
      <c r="AA299" s="4"/>
      <c r="AB299" s="4">
        <f>$K$299*$V$299</f>
        <v>2904</v>
      </c>
      <c r="AC299" s="4">
        <f>$M$299*$W$299</f>
        <v>0</v>
      </c>
      <c r="AD299" s="4">
        <f>$O$299*$X$299</f>
        <v>0</v>
      </c>
      <c r="AE299" s="4">
        <f ca="1">$K$299*$Y$299</f>
        <v>3404.5334146487003</v>
      </c>
      <c r="AF299" s="4">
        <f>$M$299*$Z$299</f>
        <v>0</v>
      </c>
      <c r="AG299" s="4">
        <f>$O$299*$AA$299</f>
        <v>0</v>
      </c>
    </row>
    <row r="300" spans="1:33" ht="11.25" customHeight="1" x14ac:dyDescent="0.25">
      <c r="A300" s="3" t="s">
        <v>21</v>
      </c>
      <c r="B300" s="3" t="s">
        <v>35</v>
      </c>
      <c r="C300" s="3" t="s">
        <v>36</v>
      </c>
      <c r="D300" s="3" t="s">
        <v>42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44593</v>
      </c>
      <c r="J300" s="4">
        <v>160</v>
      </c>
      <c r="K300" s="4">
        <v>160</v>
      </c>
      <c r="L300" s="4">
        <v>0</v>
      </c>
      <c r="M300" s="4">
        <v>0</v>
      </c>
      <c r="N300" s="4">
        <v>0</v>
      </c>
      <c r="O300" s="4">
        <v>0</v>
      </c>
      <c r="P300" s="4">
        <v>2</v>
      </c>
      <c r="Q300" s="3" t="s">
        <v>26</v>
      </c>
      <c r="R300" s="3">
        <v>0</v>
      </c>
      <c r="S300" s="4">
        <v>9</v>
      </c>
      <c r="T300" s="4">
        <v>0</v>
      </c>
      <c r="U300" s="4">
        <v>0</v>
      </c>
      <c r="V300" s="4">
        <f>IF(ISERROR(VLOOKUP($S$300,'TAR FIN'!$A$1:$O$91,15,0)),0,VLOOKUP($S$300,'TAR FIN'!$A$1:$O$91,15,0))</f>
        <v>18.149999999999999</v>
      </c>
      <c r="W300" s="4">
        <f>IF(ISERROR(VLOOKUP($T$300,'TAR FIN'!$A$1:$O$91,15,0)),0,VLOOKUP($T$300,'TAR FIN'!$A$1:$O$91,15,0))</f>
        <v>0</v>
      </c>
      <c r="X300" s="4">
        <f>IF(ISERROR(VLOOKUP($U$300,'TAR FIN'!$A$1:$O$91,15,0)),0,VLOOKUP($U$300,'TAR FIN'!$A$1:$O$91,15,0))</f>
        <v>0</v>
      </c>
      <c r="Y300" s="4">
        <f ca="1">('TUSD BE'!$AM$13+'TUSD BF'!$AM$13+'TUSD CVA'!$AM$13)*1</f>
        <v>21.278333841554378</v>
      </c>
      <c r="Z300" s="4"/>
      <c r="AA300" s="4"/>
      <c r="AB300" s="4">
        <f>$K$300*$V$300</f>
        <v>2904</v>
      </c>
      <c r="AC300" s="4">
        <f>$M$300*$W$300</f>
        <v>0</v>
      </c>
      <c r="AD300" s="4">
        <f>$O$300*$X$300</f>
        <v>0</v>
      </c>
      <c r="AE300" s="4">
        <f ca="1">$K$300*$Y$300</f>
        <v>3404.5334146487003</v>
      </c>
      <c r="AF300" s="4">
        <f>$M$300*$Z$300</f>
        <v>0</v>
      </c>
      <c r="AG300" s="4">
        <f>$O$300*$AA$300</f>
        <v>0</v>
      </c>
    </row>
    <row r="301" spans="1:33" ht="11.25" customHeight="1" x14ac:dyDescent="0.25">
      <c r="A301" s="3" t="s">
        <v>21</v>
      </c>
      <c r="B301" s="3" t="s">
        <v>35</v>
      </c>
      <c r="C301" s="3" t="s">
        <v>36</v>
      </c>
      <c r="D301" s="3" t="s">
        <v>42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44621</v>
      </c>
      <c r="J301" s="4">
        <v>160</v>
      </c>
      <c r="K301" s="4">
        <v>160</v>
      </c>
      <c r="L301" s="4">
        <v>0</v>
      </c>
      <c r="M301" s="4">
        <v>0</v>
      </c>
      <c r="N301" s="4">
        <v>0</v>
      </c>
      <c r="O301" s="4">
        <v>0</v>
      </c>
      <c r="P301" s="4">
        <v>2</v>
      </c>
      <c r="Q301" s="3" t="s">
        <v>26</v>
      </c>
      <c r="R301" s="3">
        <v>0</v>
      </c>
      <c r="S301" s="4">
        <v>9</v>
      </c>
      <c r="T301" s="4">
        <v>0</v>
      </c>
      <c r="U301" s="4">
        <v>0</v>
      </c>
      <c r="V301" s="4">
        <f>IF(ISERROR(VLOOKUP($S$301,'TAR FIN'!$A$1:$O$91,15,0)),0,VLOOKUP($S$301,'TAR FIN'!$A$1:$O$91,15,0))</f>
        <v>18.149999999999999</v>
      </c>
      <c r="W301" s="4">
        <f>IF(ISERROR(VLOOKUP($T$301,'TAR FIN'!$A$1:$O$91,15,0)),0,VLOOKUP($T$301,'TAR FIN'!$A$1:$O$91,15,0))</f>
        <v>0</v>
      </c>
      <c r="X301" s="4">
        <f>IF(ISERROR(VLOOKUP($U$301,'TAR FIN'!$A$1:$O$91,15,0)),0,VLOOKUP($U$301,'TAR FIN'!$A$1:$O$91,15,0))</f>
        <v>0</v>
      </c>
      <c r="Y301" s="4">
        <f ca="1">('TUSD BE'!$AM$13+'TUSD BF'!$AM$13+'TUSD CVA'!$AM$13)*1</f>
        <v>21.278333841554378</v>
      </c>
      <c r="Z301" s="4"/>
      <c r="AA301" s="4"/>
      <c r="AB301" s="4">
        <f>$K$301*$V$301</f>
        <v>2904</v>
      </c>
      <c r="AC301" s="4">
        <f>$M$301*$W$301</f>
        <v>0</v>
      </c>
      <c r="AD301" s="4">
        <f>$O$301*$X$301</f>
        <v>0</v>
      </c>
      <c r="AE301" s="4">
        <f ca="1">$K$301*$Y$301</f>
        <v>3404.5334146487003</v>
      </c>
      <c r="AF301" s="4">
        <f>$M$301*$Z$301</f>
        <v>0</v>
      </c>
      <c r="AG301" s="4">
        <f>$O$301*$AA$301</f>
        <v>0</v>
      </c>
    </row>
    <row r="302" spans="1:33" ht="11.25" customHeight="1" x14ac:dyDescent="0.25">
      <c r="A302" s="3" t="s">
        <v>21</v>
      </c>
      <c r="B302" s="3" t="s">
        <v>35</v>
      </c>
      <c r="C302" s="3" t="s">
        <v>36</v>
      </c>
      <c r="D302" s="3" t="s">
        <v>42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44652</v>
      </c>
      <c r="J302" s="4">
        <v>238</v>
      </c>
      <c r="K302" s="4">
        <v>238</v>
      </c>
      <c r="L302" s="4">
        <v>0</v>
      </c>
      <c r="M302" s="4">
        <v>0</v>
      </c>
      <c r="N302" s="4">
        <v>0</v>
      </c>
      <c r="O302" s="4">
        <v>0</v>
      </c>
      <c r="P302" s="4">
        <v>3</v>
      </c>
      <c r="Q302" s="3" t="s">
        <v>26</v>
      </c>
      <c r="R302" s="3">
        <v>0</v>
      </c>
      <c r="S302" s="4">
        <v>9</v>
      </c>
      <c r="T302" s="4">
        <v>0</v>
      </c>
      <c r="U302" s="4">
        <v>0</v>
      </c>
      <c r="V302" s="4">
        <f>IF(ISERROR(VLOOKUP($S$302,'TAR FIN'!$A$1:$O$91,15,0)),0,VLOOKUP($S$302,'TAR FIN'!$A$1:$O$91,15,0))</f>
        <v>18.149999999999999</v>
      </c>
      <c r="W302" s="4">
        <f>IF(ISERROR(VLOOKUP($T$302,'TAR FIN'!$A$1:$O$91,15,0)),0,VLOOKUP($T$302,'TAR FIN'!$A$1:$O$91,15,0))</f>
        <v>0</v>
      </c>
      <c r="X302" s="4">
        <f>IF(ISERROR(VLOOKUP($U$302,'TAR FIN'!$A$1:$O$91,15,0)),0,VLOOKUP($U$302,'TAR FIN'!$A$1:$O$91,15,0))</f>
        <v>0</v>
      </c>
      <c r="Y302" s="4">
        <f ca="1">('TUSD BE'!$AM$13+'TUSD BF'!$AM$13+'TUSD CVA'!$AM$13)*1</f>
        <v>21.278333841554378</v>
      </c>
      <c r="Z302" s="4"/>
      <c r="AA302" s="4"/>
      <c r="AB302" s="4">
        <f>$K$302*$V$302</f>
        <v>4319.7</v>
      </c>
      <c r="AC302" s="4">
        <f>$M$302*$W$302</f>
        <v>0</v>
      </c>
      <c r="AD302" s="4">
        <f>$O$302*$X$302</f>
        <v>0</v>
      </c>
      <c r="AE302" s="4">
        <f ca="1">$K$302*$Y$302</f>
        <v>5064.2434542899418</v>
      </c>
      <c r="AF302" s="4">
        <f>$M$302*$Z$302</f>
        <v>0</v>
      </c>
      <c r="AG302" s="4">
        <f>$O$302*$AA$302</f>
        <v>0</v>
      </c>
    </row>
    <row r="303" spans="1:33" ht="11.25" customHeight="1" x14ac:dyDescent="0.25">
      <c r="A303" s="3" t="s">
        <v>21</v>
      </c>
      <c r="B303" s="3" t="s">
        <v>35</v>
      </c>
      <c r="C303" s="3" t="s">
        <v>36</v>
      </c>
      <c r="D303" s="3" t="s">
        <v>42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260</v>
      </c>
      <c r="K303" s="4">
        <v>260</v>
      </c>
      <c r="L303" s="4">
        <v>0</v>
      </c>
      <c r="M303" s="4">
        <v>0</v>
      </c>
      <c r="N303" s="4">
        <v>0</v>
      </c>
      <c r="O303" s="4">
        <v>0</v>
      </c>
      <c r="P303" s="4">
        <v>3</v>
      </c>
      <c r="Q303" s="3" t="s">
        <v>26</v>
      </c>
      <c r="R303" s="3">
        <v>0</v>
      </c>
      <c r="S303" s="4">
        <v>9</v>
      </c>
      <c r="T303" s="4">
        <v>0</v>
      </c>
      <c r="U303" s="4">
        <v>0</v>
      </c>
      <c r="V303" s="4">
        <f>IF(ISERROR(VLOOKUP($S$303,'TAR FIN'!$A$1:$O$91,15,0)),0,VLOOKUP($S$303,'TAR FIN'!$A$1:$O$91,15,0))</f>
        <v>18.149999999999999</v>
      </c>
      <c r="W303" s="4">
        <f>IF(ISERROR(VLOOKUP($T$303,'TAR FIN'!$A$1:$O$91,15,0)),0,VLOOKUP($T$303,'TAR FIN'!$A$1:$O$91,15,0))</f>
        <v>0</v>
      </c>
      <c r="X303" s="4">
        <f>IF(ISERROR(VLOOKUP($U$303,'TAR FIN'!$A$1:$O$91,15,0)),0,VLOOKUP($U$303,'TAR FIN'!$A$1:$O$91,15,0))</f>
        <v>0</v>
      </c>
      <c r="Y303" s="4">
        <f ca="1">('TUSD BE'!$AM$13+'TUSD BF'!$AM$13+'TUSD CVA'!$AM$13)*1</f>
        <v>21.278333841554378</v>
      </c>
      <c r="Z303" s="4"/>
      <c r="AA303" s="4"/>
      <c r="AB303" s="4">
        <f>$K$303*$V$303</f>
        <v>4719</v>
      </c>
      <c r="AC303" s="4">
        <f>$M$303*$W$303</f>
        <v>0</v>
      </c>
      <c r="AD303" s="4">
        <f>$O$303*$X$303</f>
        <v>0</v>
      </c>
      <c r="AE303" s="4">
        <f ca="1">$K$303*$Y$303</f>
        <v>5532.3667988041379</v>
      </c>
      <c r="AF303" s="4">
        <f>$M$303*$Z$303</f>
        <v>0</v>
      </c>
      <c r="AG303" s="4">
        <f>$O$303*$AA$303</f>
        <v>0</v>
      </c>
    </row>
    <row r="304" spans="1:33" ht="11.25" customHeight="1" x14ac:dyDescent="0.25">
      <c r="A304" s="3" t="s">
        <v>21</v>
      </c>
      <c r="B304" s="3" t="s">
        <v>35</v>
      </c>
      <c r="C304" s="3" t="s">
        <v>36</v>
      </c>
      <c r="D304" s="3" t="s">
        <v>42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260</v>
      </c>
      <c r="K304" s="4">
        <v>260</v>
      </c>
      <c r="L304" s="4">
        <v>0</v>
      </c>
      <c r="M304" s="4">
        <v>0</v>
      </c>
      <c r="N304" s="4">
        <v>0</v>
      </c>
      <c r="O304" s="4">
        <v>0</v>
      </c>
      <c r="P304" s="4">
        <v>3</v>
      </c>
      <c r="Q304" s="3" t="s">
        <v>26</v>
      </c>
      <c r="R304" s="3">
        <v>0</v>
      </c>
      <c r="S304" s="4">
        <v>9</v>
      </c>
      <c r="T304" s="4">
        <v>0</v>
      </c>
      <c r="U304" s="4">
        <v>0</v>
      </c>
      <c r="V304" s="4">
        <f>IF(ISERROR(VLOOKUP($S$304,'TAR FIN'!$A$1:$O$91,15,0)),0,VLOOKUP($S$304,'TAR FIN'!$A$1:$O$91,15,0))</f>
        <v>18.149999999999999</v>
      </c>
      <c r="W304" s="4">
        <f>IF(ISERROR(VLOOKUP($T$304,'TAR FIN'!$A$1:$O$91,15,0)),0,VLOOKUP($T$304,'TAR FIN'!$A$1:$O$91,15,0))</f>
        <v>0</v>
      </c>
      <c r="X304" s="4">
        <f>IF(ISERROR(VLOOKUP($U$304,'TAR FIN'!$A$1:$O$91,15,0)),0,VLOOKUP($U$304,'TAR FIN'!$A$1:$O$91,15,0))</f>
        <v>0</v>
      </c>
      <c r="Y304" s="4">
        <f ca="1">('TUSD BE'!$AM$13+'TUSD BF'!$AM$13+'TUSD CVA'!$AM$13)*1</f>
        <v>21.278333841554378</v>
      </c>
      <c r="Z304" s="4"/>
      <c r="AA304" s="4"/>
      <c r="AB304" s="4">
        <f>$K$304*$V$304</f>
        <v>4719</v>
      </c>
      <c r="AC304" s="4">
        <f>$M$304*$W$304</f>
        <v>0</v>
      </c>
      <c r="AD304" s="4">
        <f>$O$304*$X$304</f>
        <v>0</v>
      </c>
      <c r="AE304" s="4">
        <f ca="1">$K$304*$Y$304</f>
        <v>5532.3667988041379</v>
      </c>
      <c r="AF304" s="4">
        <f>$M$304*$Z$304</f>
        <v>0</v>
      </c>
      <c r="AG304" s="4">
        <f>$O$304*$AA$304</f>
        <v>0</v>
      </c>
    </row>
    <row r="305" spans="1:33" ht="11.25" customHeight="1" x14ac:dyDescent="0.25">
      <c r="A305" s="3" t="s">
        <v>21</v>
      </c>
      <c r="B305" s="3" t="s">
        <v>35</v>
      </c>
      <c r="C305" s="3" t="s">
        <v>36</v>
      </c>
      <c r="D305" s="3" t="s">
        <v>42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260</v>
      </c>
      <c r="K305" s="4">
        <v>260</v>
      </c>
      <c r="L305" s="4">
        <v>0</v>
      </c>
      <c r="M305" s="4">
        <v>0</v>
      </c>
      <c r="N305" s="4">
        <v>0</v>
      </c>
      <c r="O305" s="4">
        <v>0</v>
      </c>
      <c r="P305" s="4">
        <v>3</v>
      </c>
      <c r="Q305" s="3" t="s">
        <v>26</v>
      </c>
      <c r="R305" s="3">
        <v>0</v>
      </c>
      <c r="S305" s="4">
        <v>9</v>
      </c>
      <c r="T305" s="4">
        <v>0</v>
      </c>
      <c r="U305" s="4">
        <v>0</v>
      </c>
      <c r="V305" s="4">
        <f>IF(ISERROR(VLOOKUP($S$305,'TAR FIN'!$A$1:$O$91,15,0)),0,VLOOKUP($S$305,'TAR FIN'!$A$1:$O$91,15,0))</f>
        <v>18.149999999999999</v>
      </c>
      <c r="W305" s="4">
        <f>IF(ISERROR(VLOOKUP($T$305,'TAR FIN'!$A$1:$O$91,15,0)),0,VLOOKUP($T$305,'TAR FIN'!$A$1:$O$91,15,0))</f>
        <v>0</v>
      </c>
      <c r="X305" s="4">
        <f>IF(ISERROR(VLOOKUP($U$305,'TAR FIN'!$A$1:$O$91,15,0)),0,VLOOKUP($U$305,'TAR FIN'!$A$1:$O$91,15,0))</f>
        <v>0</v>
      </c>
      <c r="Y305" s="4">
        <f ca="1">('TUSD BE'!$AM$13+'TUSD BF'!$AM$13+'TUSD CVA'!$AM$13)*1</f>
        <v>21.278333841554378</v>
      </c>
      <c r="Z305" s="4"/>
      <c r="AA305" s="4"/>
      <c r="AB305" s="4">
        <f>$K$305*$V$305</f>
        <v>4719</v>
      </c>
      <c r="AC305" s="4">
        <f>$M$305*$W$305</f>
        <v>0</v>
      </c>
      <c r="AD305" s="4">
        <f>$O$305*$X$305</f>
        <v>0</v>
      </c>
      <c r="AE305" s="4">
        <f ca="1">$K$305*$Y$305</f>
        <v>5532.3667988041379</v>
      </c>
      <c r="AF305" s="4">
        <f>$M$305*$Z$305</f>
        <v>0</v>
      </c>
      <c r="AG305" s="4">
        <f>$O$305*$AA$305</f>
        <v>0</v>
      </c>
    </row>
    <row r="306" spans="1:33" ht="11.25" customHeight="1" x14ac:dyDescent="0.25">
      <c r="A306" s="3" t="s">
        <v>21</v>
      </c>
      <c r="B306" s="3" t="s">
        <v>35</v>
      </c>
      <c r="C306" s="3" t="s">
        <v>36</v>
      </c>
      <c r="D306" s="3" t="s">
        <v>42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44774</v>
      </c>
      <c r="J306" s="4">
        <v>260</v>
      </c>
      <c r="K306" s="4">
        <v>260</v>
      </c>
      <c r="L306" s="4">
        <v>0</v>
      </c>
      <c r="M306" s="4">
        <v>0</v>
      </c>
      <c r="N306" s="4">
        <v>0</v>
      </c>
      <c r="O306" s="4">
        <v>0</v>
      </c>
      <c r="P306" s="4">
        <v>3</v>
      </c>
      <c r="Q306" s="3" t="s">
        <v>26</v>
      </c>
      <c r="R306" s="3">
        <v>0</v>
      </c>
      <c r="S306" s="4">
        <v>9</v>
      </c>
      <c r="T306" s="4">
        <v>0</v>
      </c>
      <c r="U306" s="4">
        <v>0</v>
      </c>
      <c r="V306" s="4">
        <f>IF(ISERROR(VLOOKUP($S$306,'TAR FIN'!$A$1:$O$91,15,0)),0,VLOOKUP($S$306,'TAR FIN'!$A$1:$O$91,15,0))</f>
        <v>18.149999999999999</v>
      </c>
      <c r="W306" s="4">
        <f>IF(ISERROR(VLOOKUP($T$306,'TAR FIN'!$A$1:$O$91,15,0)),0,VLOOKUP($T$306,'TAR FIN'!$A$1:$O$91,15,0))</f>
        <v>0</v>
      </c>
      <c r="X306" s="4">
        <f>IF(ISERROR(VLOOKUP($U$306,'TAR FIN'!$A$1:$O$91,15,0)),0,VLOOKUP($U$306,'TAR FIN'!$A$1:$O$91,15,0))</f>
        <v>0</v>
      </c>
      <c r="Y306" s="4">
        <f ca="1">('TUSD BE'!$AM$13+'TUSD BF'!$AM$13+'TUSD CVA'!$AM$13)*1</f>
        <v>21.278333841554378</v>
      </c>
      <c r="Z306" s="4"/>
      <c r="AA306" s="4"/>
      <c r="AB306" s="4">
        <f>$K$306*$V$306</f>
        <v>4719</v>
      </c>
      <c r="AC306" s="4">
        <f>$M$306*$W$306</f>
        <v>0</v>
      </c>
      <c r="AD306" s="4">
        <f>$O$306*$X$306</f>
        <v>0</v>
      </c>
      <c r="AE306" s="4">
        <f ca="1">$K$306*$Y$306</f>
        <v>5532.3667988041379</v>
      </c>
      <c r="AF306" s="4">
        <f>$M$306*$Z$306</f>
        <v>0</v>
      </c>
      <c r="AG306" s="4">
        <f>$O$306*$AA$306</f>
        <v>0</v>
      </c>
    </row>
    <row r="307" spans="1:33" ht="11.25" customHeight="1" x14ac:dyDescent="0.25">
      <c r="A307" s="3" t="s">
        <v>21</v>
      </c>
      <c r="B307" s="3" t="s">
        <v>35</v>
      </c>
      <c r="C307" s="3" t="s">
        <v>36</v>
      </c>
      <c r="D307" s="3" t="s">
        <v>42</v>
      </c>
      <c r="E307" s="3" t="s">
        <v>25</v>
      </c>
      <c r="F307" s="3" t="s">
        <v>25</v>
      </c>
      <c r="G307" s="3" t="s">
        <v>25</v>
      </c>
      <c r="H307" s="3" t="s">
        <v>37</v>
      </c>
      <c r="I307" s="6">
        <v>44440</v>
      </c>
      <c r="J307" s="4">
        <v>0</v>
      </c>
      <c r="K307" s="4">
        <v>0</v>
      </c>
      <c r="L307" s="4">
        <v>1.0549999999999999</v>
      </c>
      <c r="M307" s="4">
        <v>1.0549999999999999</v>
      </c>
      <c r="N307" s="4">
        <v>1.0549999999999999</v>
      </c>
      <c r="O307" s="4">
        <v>1.0549999999999999</v>
      </c>
      <c r="P307" s="4">
        <v>0</v>
      </c>
      <c r="Q307" s="3" t="s">
        <v>26</v>
      </c>
      <c r="R307" s="3">
        <v>0</v>
      </c>
      <c r="S307" s="4">
        <v>0</v>
      </c>
      <c r="T307" s="4">
        <v>10</v>
      </c>
      <c r="U307" s="4">
        <v>77</v>
      </c>
      <c r="V307" s="4">
        <f>IF(ISERROR(VLOOKUP($S$307,'TAR FIN'!$A$1:$O$91,15,0)),0,VLOOKUP($S$307,'TAR FIN'!$A$1:$O$91,15,0))</f>
        <v>0</v>
      </c>
      <c r="W307" s="4">
        <f>IF(ISERROR(VLOOKUP($T$307,'TAR FIN'!$A$1:$O$91,15,0)),0,VLOOKUP($T$307,'TAR FIN'!$A$1:$O$91,15,0))</f>
        <v>1426.09</v>
      </c>
      <c r="X307" s="4">
        <f>IF(ISERROR(VLOOKUP($U$307,'TAR FIN'!$A$1:$O$91,15,0)),0,VLOOKUP($U$307,'TAR FIN'!$A$1:$O$91,15,0))</f>
        <v>249.25</v>
      </c>
      <c r="Y307" s="4"/>
      <c r="Z307" s="4">
        <f ca="1">('TUSD BE'!$AM$14+'TUSD BF'!$AM$14+'TUSD CVA'!$AM$14)*1</f>
        <v>1695.6228771157423</v>
      </c>
      <c r="AA307" s="4">
        <f>('TE BE'!$AB$5+'TE BF'!$AB$5+'TE CVA'!$AB$5)*1</f>
        <v>203.38274236935246</v>
      </c>
      <c r="AB307" s="4">
        <f>$K$307*$V$307</f>
        <v>0</v>
      </c>
      <c r="AC307" s="4">
        <f>$M$307*$W$307</f>
        <v>1504.5249499999998</v>
      </c>
      <c r="AD307" s="4">
        <f>$O$307*$X$307</f>
        <v>262.95875000000001</v>
      </c>
      <c r="AE307" s="4">
        <f>$K$307*$Y$307</f>
        <v>0</v>
      </c>
      <c r="AF307" s="4">
        <f ca="1">$M$307*$Z$307</f>
        <v>1788.8821353571079</v>
      </c>
      <c r="AG307" s="4">
        <f>$O$307*$AA$307</f>
        <v>214.56879319966683</v>
      </c>
    </row>
    <row r="308" spans="1:33" ht="11.25" customHeight="1" x14ac:dyDescent="0.25">
      <c r="A308" s="3" t="s">
        <v>21</v>
      </c>
      <c r="B308" s="3" t="s">
        <v>35</v>
      </c>
      <c r="C308" s="3" t="s">
        <v>36</v>
      </c>
      <c r="D308" s="3" t="s">
        <v>42</v>
      </c>
      <c r="E308" s="3" t="s">
        <v>25</v>
      </c>
      <c r="F308" s="3" t="s">
        <v>25</v>
      </c>
      <c r="G308" s="3" t="s">
        <v>25</v>
      </c>
      <c r="H308" s="3" t="s">
        <v>37</v>
      </c>
      <c r="I308" s="6">
        <v>44470</v>
      </c>
      <c r="J308" s="4">
        <v>0</v>
      </c>
      <c r="K308" s="4">
        <v>0</v>
      </c>
      <c r="L308" s="4">
        <v>0.92</v>
      </c>
      <c r="M308" s="4">
        <v>0.92</v>
      </c>
      <c r="N308" s="4">
        <v>0.92</v>
      </c>
      <c r="O308" s="4">
        <v>0.92</v>
      </c>
      <c r="P308" s="4">
        <v>0</v>
      </c>
      <c r="Q308" s="3" t="s">
        <v>26</v>
      </c>
      <c r="R308" s="3">
        <v>0</v>
      </c>
      <c r="S308" s="4">
        <v>0</v>
      </c>
      <c r="T308" s="4">
        <v>10</v>
      </c>
      <c r="U308" s="4">
        <v>77</v>
      </c>
      <c r="V308" s="4">
        <f>IF(ISERROR(VLOOKUP($S$308,'TAR FIN'!$A$1:$O$91,15,0)),0,VLOOKUP($S$308,'TAR FIN'!$A$1:$O$91,15,0))</f>
        <v>0</v>
      </c>
      <c r="W308" s="4">
        <f>IF(ISERROR(VLOOKUP($T$308,'TAR FIN'!$A$1:$O$91,15,0)),0,VLOOKUP($T$308,'TAR FIN'!$A$1:$O$91,15,0))</f>
        <v>1426.09</v>
      </c>
      <c r="X308" s="4">
        <f>IF(ISERROR(VLOOKUP($U$308,'TAR FIN'!$A$1:$O$91,15,0)),0,VLOOKUP($U$308,'TAR FIN'!$A$1:$O$91,15,0))</f>
        <v>249.25</v>
      </c>
      <c r="Y308" s="4"/>
      <c r="Z308" s="4">
        <f ca="1">('TUSD BE'!$AM$14+'TUSD BF'!$AM$14+'TUSD CVA'!$AM$14)*1</f>
        <v>1695.6228771157423</v>
      </c>
      <c r="AA308" s="4">
        <f>('TE BE'!$AB$5+'TE BF'!$AB$5+'TE CVA'!$AB$5)*1</f>
        <v>203.38274236935246</v>
      </c>
      <c r="AB308" s="4">
        <f>$K$308*$V$308</f>
        <v>0</v>
      </c>
      <c r="AC308" s="4">
        <f>$M$308*$W$308</f>
        <v>1312.0028</v>
      </c>
      <c r="AD308" s="4">
        <f>$O$308*$X$308</f>
        <v>229.31</v>
      </c>
      <c r="AE308" s="4">
        <f>$K$308*$Y$308</f>
        <v>0</v>
      </c>
      <c r="AF308" s="4">
        <f ca="1">$M$308*$Z$308</f>
        <v>1559.973046946483</v>
      </c>
      <c r="AG308" s="4">
        <f>$O$308*$AA$308</f>
        <v>187.11212297980427</v>
      </c>
    </row>
    <row r="309" spans="1:33" ht="11.25" customHeight="1" x14ac:dyDescent="0.25">
      <c r="A309" s="3" t="s">
        <v>21</v>
      </c>
      <c r="B309" s="3" t="s">
        <v>35</v>
      </c>
      <c r="C309" s="3" t="s">
        <v>36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37</v>
      </c>
      <c r="I309" s="6">
        <v>44501</v>
      </c>
      <c r="J309" s="4">
        <v>0</v>
      </c>
      <c r="K309" s="4">
        <v>0</v>
      </c>
      <c r="L309" s="4">
        <v>1.5009999999999999</v>
      </c>
      <c r="M309" s="4">
        <v>1.5009999999999999</v>
      </c>
      <c r="N309" s="4">
        <v>1.5009999999999999</v>
      </c>
      <c r="O309" s="4">
        <v>1.5009999999999999</v>
      </c>
      <c r="P309" s="4">
        <v>0</v>
      </c>
      <c r="Q309" s="3" t="s">
        <v>26</v>
      </c>
      <c r="R309" s="3">
        <v>0</v>
      </c>
      <c r="S309" s="4">
        <v>0</v>
      </c>
      <c r="T309" s="4">
        <v>10</v>
      </c>
      <c r="U309" s="4">
        <v>77</v>
      </c>
      <c r="V309" s="4">
        <f>IF(ISERROR(VLOOKUP($S$309,'TAR FIN'!$A$1:$O$91,15,0)),0,VLOOKUP($S$309,'TAR FIN'!$A$1:$O$91,15,0))</f>
        <v>0</v>
      </c>
      <c r="W309" s="4">
        <f>IF(ISERROR(VLOOKUP($T$309,'TAR FIN'!$A$1:$O$91,15,0)),0,VLOOKUP($T$309,'TAR FIN'!$A$1:$O$91,15,0))</f>
        <v>1426.09</v>
      </c>
      <c r="X309" s="4">
        <f>IF(ISERROR(VLOOKUP($U$309,'TAR FIN'!$A$1:$O$91,15,0)),0,VLOOKUP($U$309,'TAR FIN'!$A$1:$O$91,15,0))</f>
        <v>249.25</v>
      </c>
      <c r="Y309" s="4"/>
      <c r="Z309" s="4">
        <f ca="1">('TUSD BE'!$AM$14+'TUSD BF'!$AM$14+'TUSD CVA'!$AM$14)*1</f>
        <v>1695.6228771157423</v>
      </c>
      <c r="AA309" s="4">
        <f>('TE BE'!$AB$5+'TE BF'!$AB$5+'TE CVA'!$AB$5)*1</f>
        <v>203.38274236935246</v>
      </c>
      <c r="AB309" s="4">
        <f>$K$309*$V$309</f>
        <v>0</v>
      </c>
      <c r="AC309" s="4">
        <f>$M$309*$W$309</f>
        <v>2140.5610899999997</v>
      </c>
      <c r="AD309" s="4">
        <f>$O$309*$X$309</f>
        <v>374.12424999999996</v>
      </c>
      <c r="AE309" s="4">
        <f>$K$309*$Y$309</f>
        <v>0</v>
      </c>
      <c r="AF309" s="4">
        <f ca="1">$M$309*$Z$309</f>
        <v>2545.1299385507291</v>
      </c>
      <c r="AG309" s="4">
        <f>$O$309*$AA$309</f>
        <v>305.277496296398</v>
      </c>
    </row>
    <row r="310" spans="1:33" ht="11.25" customHeight="1" x14ac:dyDescent="0.25">
      <c r="A310" s="3" t="s">
        <v>21</v>
      </c>
      <c r="B310" s="3" t="s">
        <v>35</v>
      </c>
      <c r="C310" s="3" t="s">
        <v>36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37</v>
      </c>
      <c r="I310" s="6">
        <v>44531</v>
      </c>
      <c r="J310" s="4">
        <v>0</v>
      </c>
      <c r="K310" s="4">
        <v>0</v>
      </c>
      <c r="L310" s="4">
        <v>0.71</v>
      </c>
      <c r="M310" s="4">
        <v>0.71</v>
      </c>
      <c r="N310" s="4">
        <v>0.71</v>
      </c>
      <c r="O310" s="4">
        <v>0.71</v>
      </c>
      <c r="P310" s="4">
        <v>0</v>
      </c>
      <c r="Q310" s="3" t="s">
        <v>26</v>
      </c>
      <c r="R310" s="3">
        <v>0</v>
      </c>
      <c r="S310" s="4">
        <v>0</v>
      </c>
      <c r="T310" s="4">
        <v>10</v>
      </c>
      <c r="U310" s="4">
        <v>77</v>
      </c>
      <c r="V310" s="4">
        <f>IF(ISERROR(VLOOKUP($S$310,'TAR FIN'!$A$1:$O$91,15,0)),0,VLOOKUP($S$310,'TAR FIN'!$A$1:$O$91,15,0))</f>
        <v>0</v>
      </c>
      <c r="W310" s="4">
        <f>IF(ISERROR(VLOOKUP($T$310,'TAR FIN'!$A$1:$O$91,15,0)),0,VLOOKUP($T$310,'TAR FIN'!$A$1:$O$91,15,0))</f>
        <v>1426.09</v>
      </c>
      <c r="X310" s="4">
        <f>IF(ISERROR(VLOOKUP($U$310,'TAR FIN'!$A$1:$O$91,15,0)),0,VLOOKUP($U$310,'TAR FIN'!$A$1:$O$91,15,0))</f>
        <v>249.25</v>
      </c>
      <c r="Y310" s="4"/>
      <c r="Z310" s="4">
        <f ca="1">('TUSD BE'!$AM$14+'TUSD BF'!$AM$14+'TUSD CVA'!$AM$14)*1</f>
        <v>1695.6228771157423</v>
      </c>
      <c r="AA310" s="4">
        <f>('TE BE'!$AB$5+'TE BF'!$AB$5+'TE CVA'!$AB$5)*1</f>
        <v>203.38274236935246</v>
      </c>
      <c r="AB310" s="4">
        <f>$K$310*$V$310</f>
        <v>0</v>
      </c>
      <c r="AC310" s="4">
        <f>$M$310*$W$310</f>
        <v>1012.5238999999999</v>
      </c>
      <c r="AD310" s="4">
        <f>$O$310*$X$310</f>
        <v>176.9675</v>
      </c>
      <c r="AE310" s="4">
        <f>$K$310*$Y$310</f>
        <v>0</v>
      </c>
      <c r="AF310" s="4">
        <f ca="1">$M$310*$Z$310</f>
        <v>1203.892242752177</v>
      </c>
      <c r="AG310" s="4">
        <f>$O$310*$AA$310</f>
        <v>144.40174708224023</v>
      </c>
    </row>
    <row r="311" spans="1:33" ht="11.25" customHeight="1" x14ac:dyDescent="0.25">
      <c r="A311" s="3" t="s">
        <v>21</v>
      </c>
      <c r="B311" s="3" t="s">
        <v>35</v>
      </c>
      <c r="C311" s="3" t="s">
        <v>36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37</v>
      </c>
      <c r="I311" s="6">
        <v>44562</v>
      </c>
      <c r="J311" s="4">
        <v>0</v>
      </c>
      <c r="K311" s="4">
        <v>0</v>
      </c>
      <c r="L311" s="4">
        <v>0.21</v>
      </c>
      <c r="M311" s="4">
        <v>0.21</v>
      </c>
      <c r="N311" s="4">
        <v>0.21</v>
      </c>
      <c r="O311" s="4">
        <v>0.21</v>
      </c>
      <c r="P311" s="4">
        <v>0</v>
      </c>
      <c r="Q311" s="3" t="s">
        <v>26</v>
      </c>
      <c r="R311" s="3">
        <v>0</v>
      </c>
      <c r="S311" s="4">
        <v>0</v>
      </c>
      <c r="T311" s="4">
        <v>10</v>
      </c>
      <c r="U311" s="4">
        <v>77</v>
      </c>
      <c r="V311" s="4">
        <f>IF(ISERROR(VLOOKUP($S$311,'TAR FIN'!$A$1:$O$91,15,0)),0,VLOOKUP($S$311,'TAR FIN'!$A$1:$O$91,15,0))</f>
        <v>0</v>
      </c>
      <c r="W311" s="4">
        <f>IF(ISERROR(VLOOKUP($T$311,'TAR FIN'!$A$1:$O$91,15,0)),0,VLOOKUP($T$311,'TAR FIN'!$A$1:$O$91,15,0))</f>
        <v>1426.09</v>
      </c>
      <c r="X311" s="4">
        <f>IF(ISERROR(VLOOKUP($U$311,'TAR FIN'!$A$1:$O$91,15,0)),0,VLOOKUP($U$311,'TAR FIN'!$A$1:$O$91,15,0))</f>
        <v>249.25</v>
      </c>
      <c r="Y311" s="4"/>
      <c r="Z311" s="4">
        <f ca="1">('TUSD BE'!$AM$14+'TUSD BF'!$AM$14+'TUSD CVA'!$AM$14)*1</f>
        <v>1695.6228771157423</v>
      </c>
      <c r="AA311" s="4">
        <f>('TE BE'!$AB$5+'TE BF'!$AB$5+'TE CVA'!$AB$5)*1</f>
        <v>203.38274236935246</v>
      </c>
      <c r="AB311" s="4">
        <f>$K$311*$V$311</f>
        <v>0</v>
      </c>
      <c r="AC311" s="4">
        <f>$M$311*$W$311</f>
        <v>299.47889999999995</v>
      </c>
      <c r="AD311" s="4">
        <f>$O$311*$X$311</f>
        <v>52.342500000000001</v>
      </c>
      <c r="AE311" s="4">
        <f>$K$311*$Y$311</f>
        <v>0</v>
      </c>
      <c r="AF311" s="4">
        <f ca="1">$M$311*$Z$311</f>
        <v>356.08080419430587</v>
      </c>
      <c r="AG311" s="4">
        <f>$O$311*$AA$311</f>
        <v>42.710375897564013</v>
      </c>
    </row>
    <row r="312" spans="1:33" ht="11.25" customHeight="1" x14ac:dyDescent="0.25">
      <c r="A312" s="3" t="s">
        <v>21</v>
      </c>
      <c r="B312" s="3" t="s">
        <v>35</v>
      </c>
      <c r="C312" s="3" t="s">
        <v>36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37</v>
      </c>
      <c r="I312" s="6">
        <v>44593</v>
      </c>
      <c r="J312" s="4">
        <v>0</v>
      </c>
      <c r="K312" s="4">
        <v>0</v>
      </c>
      <c r="L312" s="4">
        <v>2.012</v>
      </c>
      <c r="M312" s="4">
        <v>2.012</v>
      </c>
      <c r="N312" s="4">
        <v>2.012</v>
      </c>
      <c r="O312" s="4">
        <v>2.012</v>
      </c>
      <c r="P312" s="4">
        <v>0</v>
      </c>
      <c r="Q312" s="3" t="s">
        <v>26</v>
      </c>
      <c r="R312" s="3">
        <v>0</v>
      </c>
      <c r="S312" s="4">
        <v>0</v>
      </c>
      <c r="T312" s="4">
        <v>10</v>
      </c>
      <c r="U312" s="4">
        <v>77</v>
      </c>
      <c r="V312" s="4">
        <f>IF(ISERROR(VLOOKUP($S$312,'TAR FIN'!$A$1:$O$91,15,0)),0,VLOOKUP($S$312,'TAR FIN'!$A$1:$O$91,15,0))</f>
        <v>0</v>
      </c>
      <c r="W312" s="4">
        <f>IF(ISERROR(VLOOKUP($T$312,'TAR FIN'!$A$1:$O$91,15,0)),0,VLOOKUP($T$312,'TAR FIN'!$A$1:$O$91,15,0))</f>
        <v>1426.09</v>
      </c>
      <c r="X312" s="4">
        <f>IF(ISERROR(VLOOKUP($U$312,'TAR FIN'!$A$1:$O$91,15,0)),0,VLOOKUP($U$312,'TAR FIN'!$A$1:$O$91,15,0))</f>
        <v>249.25</v>
      </c>
      <c r="Y312" s="4"/>
      <c r="Z312" s="4">
        <f ca="1">('TUSD BE'!$AM$14+'TUSD BF'!$AM$14+'TUSD CVA'!$AM$14)*1</f>
        <v>1695.6228771157423</v>
      </c>
      <c r="AA312" s="4">
        <f>('TE BE'!$AB$5+'TE BF'!$AB$5+'TE CVA'!$AB$5)*1</f>
        <v>203.38274236935246</v>
      </c>
      <c r="AB312" s="4">
        <f>$K$312*$V$312</f>
        <v>0</v>
      </c>
      <c r="AC312" s="4">
        <f>$M$312*$W$312</f>
        <v>2869.2930799999999</v>
      </c>
      <c r="AD312" s="4">
        <f>$O$312*$X$312</f>
        <v>501.49099999999999</v>
      </c>
      <c r="AE312" s="4">
        <f>$K$312*$Y$312</f>
        <v>0</v>
      </c>
      <c r="AF312" s="4">
        <f ca="1">$M$312*$Z$312</f>
        <v>3411.5932287568735</v>
      </c>
      <c r="AG312" s="4">
        <f>$O$312*$AA$312</f>
        <v>409.20607764713714</v>
      </c>
    </row>
    <row r="313" spans="1:33" ht="11.25" customHeight="1" x14ac:dyDescent="0.25">
      <c r="A313" s="3" t="s">
        <v>21</v>
      </c>
      <c r="B313" s="3" t="s">
        <v>35</v>
      </c>
      <c r="C313" s="3" t="s">
        <v>36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37</v>
      </c>
      <c r="I313" s="6">
        <v>44621</v>
      </c>
      <c r="J313" s="4">
        <v>0</v>
      </c>
      <c r="K313" s="4">
        <v>0</v>
      </c>
      <c r="L313" s="4">
        <v>2.6760000000000002</v>
      </c>
      <c r="M313" s="4">
        <v>2.6760000000000002</v>
      </c>
      <c r="N313" s="4">
        <v>2.6760000000000002</v>
      </c>
      <c r="O313" s="4">
        <v>2.6760000000000002</v>
      </c>
      <c r="P313" s="4">
        <v>0</v>
      </c>
      <c r="Q313" s="3" t="s">
        <v>26</v>
      </c>
      <c r="R313" s="3">
        <v>0</v>
      </c>
      <c r="S313" s="4">
        <v>0</v>
      </c>
      <c r="T313" s="4">
        <v>10</v>
      </c>
      <c r="U313" s="4">
        <v>77</v>
      </c>
      <c r="V313" s="4">
        <f>IF(ISERROR(VLOOKUP($S$313,'TAR FIN'!$A$1:$O$91,15,0)),0,VLOOKUP($S$313,'TAR FIN'!$A$1:$O$91,15,0))</f>
        <v>0</v>
      </c>
      <c r="W313" s="4">
        <f>IF(ISERROR(VLOOKUP($T$313,'TAR FIN'!$A$1:$O$91,15,0)),0,VLOOKUP($T$313,'TAR FIN'!$A$1:$O$91,15,0))</f>
        <v>1426.09</v>
      </c>
      <c r="X313" s="4">
        <f>IF(ISERROR(VLOOKUP($U$313,'TAR FIN'!$A$1:$O$91,15,0)),0,VLOOKUP($U$313,'TAR FIN'!$A$1:$O$91,15,0))</f>
        <v>249.25</v>
      </c>
      <c r="Y313" s="4"/>
      <c r="Z313" s="4">
        <f ca="1">('TUSD BE'!$AM$14+'TUSD BF'!$AM$14+'TUSD CVA'!$AM$14)*1</f>
        <v>1695.6228771157423</v>
      </c>
      <c r="AA313" s="4">
        <f>('TE BE'!$AB$5+'TE BF'!$AB$5+'TE CVA'!$AB$5)*1</f>
        <v>203.38274236935246</v>
      </c>
      <c r="AB313" s="4">
        <f>$K$313*$V$313</f>
        <v>0</v>
      </c>
      <c r="AC313" s="4">
        <f>$M$313*$W$313</f>
        <v>3816.21684</v>
      </c>
      <c r="AD313" s="4">
        <f>$O$313*$X$313</f>
        <v>666.99300000000005</v>
      </c>
      <c r="AE313" s="4">
        <f>$K$313*$Y$313</f>
        <v>0</v>
      </c>
      <c r="AF313" s="4">
        <f ca="1">$M$313*$Z$313</f>
        <v>4537.486819161727</v>
      </c>
      <c r="AG313" s="4">
        <f>$O$313*$AA$313</f>
        <v>544.25221858038719</v>
      </c>
    </row>
    <row r="314" spans="1:33" ht="11.25" customHeight="1" x14ac:dyDescent="0.25">
      <c r="A314" s="3" t="s">
        <v>21</v>
      </c>
      <c r="B314" s="3" t="s">
        <v>35</v>
      </c>
      <c r="C314" s="3" t="s">
        <v>36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37</v>
      </c>
      <c r="I314" s="6">
        <v>44652</v>
      </c>
      <c r="J314" s="4">
        <v>0</v>
      </c>
      <c r="K314" s="4">
        <v>0</v>
      </c>
      <c r="L314" s="4">
        <v>1.0740000000000001</v>
      </c>
      <c r="M314" s="4">
        <v>1.0740000000000001</v>
      </c>
      <c r="N314" s="4">
        <v>1.0740000000000001</v>
      </c>
      <c r="O314" s="4">
        <v>1.0740000000000001</v>
      </c>
      <c r="P314" s="4">
        <v>0</v>
      </c>
      <c r="Q314" s="3" t="s">
        <v>26</v>
      </c>
      <c r="R314" s="3">
        <v>0</v>
      </c>
      <c r="S314" s="4">
        <v>0</v>
      </c>
      <c r="T314" s="4">
        <v>10</v>
      </c>
      <c r="U314" s="4">
        <v>77</v>
      </c>
      <c r="V314" s="4">
        <f>IF(ISERROR(VLOOKUP($S$314,'TAR FIN'!$A$1:$O$91,15,0)),0,VLOOKUP($S$314,'TAR FIN'!$A$1:$O$91,15,0))</f>
        <v>0</v>
      </c>
      <c r="W314" s="4">
        <f>IF(ISERROR(VLOOKUP($T$314,'TAR FIN'!$A$1:$O$91,15,0)),0,VLOOKUP($T$314,'TAR FIN'!$A$1:$O$91,15,0))</f>
        <v>1426.09</v>
      </c>
      <c r="X314" s="4">
        <f>IF(ISERROR(VLOOKUP($U$314,'TAR FIN'!$A$1:$O$91,15,0)),0,VLOOKUP($U$314,'TAR FIN'!$A$1:$O$91,15,0))</f>
        <v>249.25</v>
      </c>
      <c r="Y314" s="4"/>
      <c r="Z314" s="4">
        <f ca="1">('TUSD BE'!$AM$14+'TUSD BF'!$AM$14+'TUSD CVA'!$AM$14)*1</f>
        <v>1695.6228771157423</v>
      </c>
      <c r="AA314" s="4">
        <f>('TE BE'!$AB$5+'TE BF'!$AB$5+'TE CVA'!$AB$5)*1</f>
        <v>203.38274236935246</v>
      </c>
      <c r="AB314" s="4">
        <f>$K$314*$V$314</f>
        <v>0</v>
      </c>
      <c r="AC314" s="4">
        <f>$M$314*$W$314</f>
        <v>1531.62066</v>
      </c>
      <c r="AD314" s="4">
        <f>$O$314*$X$314</f>
        <v>267.69450000000001</v>
      </c>
      <c r="AE314" s="4">
        <f>$K$314*$Y$314</f>
        <v>0</v>
      </c>
      <c r="AF314" s="4">
        <f ca="1">$M$314*$Z$314</f>
        <v>1821.0989700223074</v>
      </c>
      <c r="AG314" s="4">
        <f>$O$314*$AA$314</f>
        <v>218.43306530468456</v>
      </c>
    </row>
    <row r="315" spans="1:33" ht="11.25" customHeight="1" x14ac:dyDescent="0.25">
      <c r="A315" s="3" t="s">
        <v>21</v>
      </c>
      <c r="B315" s="3" t="s">
        <v>35</v>
      </c>
      <c r="C315" s="3" t="s">
        <v>36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37</v>
      </c>
      <c r="I315" s="6">
        <v>44682</v>
      </c>
      <c r="J315" s="4">
        <v>0</v>
      </c>
      <c r="K315" s="4">
        <v>0</v>
      </c>
      <c r="L315" s="4">
        <v>0.71</v>
      </c>
      <c r="M315" s="4">
        <v>0.71</v>
      </c>
      <c r="N315" s="4">
        <v>0.71</v>
      </c>
      <c r="O315" s="4">
        <v>0.71</v>
      </c>
      <c r="P315" s="4">
        <v>0</v>
      </c>
      <c r="Q315" s="3" t="s">
        <v>26</v>
      </c>
      <c r="R315" s="3">
        <v>0</v>
      </c>
      <c r="S315" s="4">
        <v>0</v>
      </c>
      <c r="T315" s="4">
        <v>10</v>
      </c>
      <c r="U315" s="4">
        <v>77</v>
      </c>
      <c r="V315" s="4">
        <f>IF(ISERROR(VLOOKUP($S$315,'TAR FIN'!$A$1:$O$91,15,0)),0,VLOOKUP($S$315,'TAR FIN'!$A$1:$O$91,15,0))</f>
        <v>0</v>
      </c>
      <c r="W315" s="4">
        <f>IF(ISERROR(VLOOKUP($T$315,'TAR FIN'!$A$1:$O$91,15,0)),0,VLOOKUP($T$315,'TAR FIN'!$A$1:$O$91,15,0))</f>
        <v>1426.09</v>
      </c>
      <c r="X315" s="4">
        <f>IF(ISERROR(VLOOKUP($U$315,'TAR FIN'!$A$1:$O$91,15,0)),0,VLOOKUP($U$315,'TAR FIN'!$A$1:$O$91,15,0))</f>
        <v>249.25</v>
      </c>
      <c r="Y315" s="4"/>
      <c r="Z315" s="4">
        <f ca="1">('TUSD BE'!$AM$14+'TUSD BF'!$AM$14+'TUSD CVA'!$AM$14)*1</f>
        <v>1695.6228771157423</v>
      </c>
      <c r="AA315" s="4">
        <f>('TE BE'!$AB$5+'TE BF'!$AB$5+'TE CVA'!$AB$5)*1</f>
        <v>203.38274236935246</v>
      </c>
      <c r="AB315" s="4">
        <f>$K$315*$V$315</f>
        <v>0</v>
      </c>
      <c r="AC315" s="4">
        <f>$M$315*$W$315</f>
        <v>1012.5238999999999</v>
      </c>
      <c r="AD315" s="4">
        <f>$O$315*$X$315</f>
        <v>176.9675</v>
      </c>
      <c r="AE315" s="4">
        <f>$K$315*$Y$315</f>
        <v>0</v>
      </c>
      <c r="AF315" s="4">
        <f ca="1">$M$315*$Z$315</f>
        <v>1203.892242752177</v>
      </c>
      <c r="AG315" s="4">
        <f>$O$315*$AA$315</f>
        <v>144.40174708224023</v>
      </c>
    </row>
    <row r="316" spans="1:33" ht="11.25" customHeight="1" x14ac:dyDescent="0.25">
      <c r="A316" s="3" t="s">
        <v>21</v>
      </c>
      <c r="B316" s="3" t="s">
        <v>35</v>
      </c>
      <c r="C316" s="3" t="s">
        <v>36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37</v>
      </c>
      <c r="I316" s="6">
        <v>44713</v>
      </c>
      <c r="J316" s="4">
        <v>0</v>
      </c>
      <c r="K316" s="4">
        <v>0</v>
      </c>
      <c r="L316" s="4">
        <v>2.637</v>
      </c>
      <c r="M316" s="4">
        <v>2.637</v>
      </c>
      <c r="N316" s="4">
        <v>2.637</v>
      </c>
      <c r="O316" s="4">
        <v>2.637</v>
      </c>
      <c r="P316" s="4">
        <v>0</v>
      </c>
      <c r="Q316" s="3" t="s">
        <v>26</v>
      </c>
      <c r="R316" s="3">
        <v>0</v>
      </c>
      <c r="S316" s="4">
        <v>0</v>
      </c>
      <c r="T316" s="4">
        <v>10</v>
      </c>
      <c r="U316" s="4">
        <v>77</v>
      </c>
      <c r="V316" s="4">
        <f>IF(ISERROR(VLOOKUP($S$316,'TAR FIN'!$A$1:$O$91,15,0)),0,VLOOKUP($S$316,'TAR FIN'!$A$1:$O$91,15,0))</f>
        <v>0</v>
      </c>
      <c r="W316" s="4">
        <f>IF(ISERROR(VLOOKUP($T$316,'TAR FIN'!$A$1:$O$91,15,0)),0,VLOOKUP($T$316,'TAR FIN'!$A$1:$O$91,15,0))</f>
        <v>1426.09</v>
      </c>
      <c r="X316" s="4">
        <f>IF(ISERROR(VLOOKUP($U$316,'TAR FIN'!$A$1:$O$91,15,0)),0,VLOOKUP($U$316,'TAR FIN'!$A$1:$O$91,15,0))</f>
        <v>249.25</v>
      </c>
      <c r="Y316" s="4"/>
      <c r="Z316" s="4">
        <f ca="1">('TUSD BE'!$AM$14+'TUSD BF'!$AM$14+'TUSD CVA'!$AM$14)*1</f>
        <v>1695.6228771157423</v>
      </c>
      <c r="AA316" s="4">
        <f>('TE BE'!$AB$5+'TE BF'!$AB$5+'TE CVA'!$AB$5)*1</f>
        <v>203.38274236935246</v>
      </c>
      <c r="AB316" s="4">
        <f>$K$316*$V$316</f>
        <v>0</v>
      </c>
      <c r="AC316" s="4">
        <f>$M$316*$W$316</f>
        <v>3760.59933</v>
      </c>
      <c r="AD316" s="4">
        <f>$O$316*$X$316</f>
        <v>657.27224999999999</v>
      </c>
      <c r="AE316" s="4">
        <f>$K$316*$Y$316</f>
        <v>0</v>
      </c>
      <c r="AF316" s="4">
        <f ca="1">$M$316*$Z$316</f>
        <v>4471.3575269542125</v>
      </c>
      <c r="AG316" s="4">
        <f>$O$316*$AA$316</f>
        <v>536.32029162798244</v>
      </c>
    </row>
    <row r="317" spans="1:33" ht="11.25" customHeight="1" x14ac:dyDescent="0.25">
      <c r="A317" s="3" t="s">
        <v>21</v>
      </c>
      <c r="B317" s="3" t="s">
        <v>35</v>
      </c>
      <c r="C317" s="3" t="s">
        <v>36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37</v>
      </c>
      <c r="I317" s="6">
        <v>44743</v>
      </c>
      <c r="J317" s="4">
        <v>0</v>
      </c>
      <c r="K317" s="4">
        <v>0</v>
      </c>
      <c r="L317" s="4">
        <v>1.486</v>
      </c>
      <c r="M317" s="4">
        <v>1.486</v>
      </c>
      <c r="N317" s="4">
        <v>1.486</v>
      </c>
      <c r="O317" s="4">
        <v>1.486</v>
      </c>
      <c r="P317" s="4">
        <v>0</v>
      </c>
      <c r="Q317" s="3" t="s">
        <v>26</v>
      </c>
      <c r="R317" s="3">
        <v>0</v>
      </c>
      <c r="S317" s="4">
        <v>0</v>
      </c>
      <c r="T317" s="4">
        <v>10</v>
      </c>
      <c r="U317" s="4">
        <v>77</v>
      </c>
      <c r="V317" s="4">
        <f>IF(ISERROR(VLOOKUP($S$317,'TAR FIN'!$A$1:$O$91,15,0)),0,VLOOKUP($S$317,'TAR FIN'!$A$1:$O$91,15,0))</f>
        <v>0</v>
      </c>
      <c r="W317" s="4">
        <f>IF(ISERROR(VLOOKUP($T$317,'TAR FIN'!$A$1:$O$91,15,0)),0,VLOOKUP($T$317,'TAR FIN'!$A$1:$O$91,15,0))</f>
        <v>1426.09</v>
      </c>
      <c r="X317" s="4">
        <f>IF(ISERROR(VLOOKUP($U$317,'TAR FIN'!$A$1:$O$91,15,0)),0,VLOOKUP($U$317,'TAR FIN'!$A$1:$O$91,15,0))</f>
        <v>249.25</v>
      </c>
      <c r="Y317" s="4"/>
      <c r="Z317" s="4">
        <f ca="1">('TUSD BE'!$AM$14+'TUSD BF'!$AM$14+'TUSD CVA'!$AM$14)*1</f>
        <v>1695.6228771157423</v>
      </c>
      <c r="AA317" s="4">
        <f>('TE BE'!$AB$5+'TE BF'!$AB$5+'TE CVA'!$AB$5)*1</f>
        <v>203.38274236935246</v>
      </c>
      <c r="AB317" s="4">
        <f>$K$317*$V$317</f>
        <v>0</v>
      </c>
      <c r="AC317" s="4">
        <f>$M$317*$W$317</f>
        <v>2119.1697399999998</v>
      </c>
      <c r="AD317" s="4">
        <f>$O$317*$X$317</f>
        <v>370.38549999999998</v>
      </c>
      <c r="AE317" s="4">
        <f>$K$317*$Y$317</f>
        <v>0</v>
      </c>
      <c r="AF317" s="4">
        <f ca="1">$M$317*$Z$317</f>
        <v>2519.6955953939932</v>
      </c>
      <c r="AG317" s="4">
        <f>$O$317*$AA$317</f>
        <v>302.22675516085775</v>
      </c>
    </row>
    <row r="318" spans="1:33" ht="11.25" customHeight="1" x14ac:dyDescent="0.25">
      <c r="A318" s="3" t="s">
        <v>21</v>
      </c>
      <c r="B318" s="3" t="s">
        <v>35</v>
      </c>
      <c r="C318" s="3" t="s">
        <v>36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37</v>
      </c>
      <c r="I318" s="6">
        <v>44774</v>
      </c>
      <c r="J318" s="4">
        <v>0</v>
      </c>
      <c r="K318" s="4">
        <v>0</v>
      </c>
      <c r="L318" s="4">
        <v>2.1850000000000001</v>
      </c>
      <c r="M318" s="4">
        <v>2.1850000000000001</v>
      </c>
      <c r="N318" s="4">
        <v>2.1850000000000001</v>
      </c>
      <c r="O318" s="4">
        <v>2.1850000000000001</v>
      </c>
      <c r="P318" s="4">
        <v>0</v>
      </c>
      <c r="Q318" s="3" t="s">
        <v>26</v>
      </c>
      <c r="R318" s="3">
        <v>0</v>
      </c>
      <c r="S318" s="4">
        <v>0</v>
      </c>
      <c r="T318" s="4">
        <v>10</v>
      </c>
      <c r="U318" s="4">
        <v>77</v>
      </c>
      <c r="V318" s="4">
        <f>IF(ISERROR(VLOOKUP($S$318,'TAR FIN'!$A$1:$O$91,15,0)),0,VLOOKUP($S$318,'TAR FIN'!$A$1:$O$91,15,0))</f>
        <v>0</v>
      </c>
      <c r="W318" s="4">
        <f>IF(ISERROR(VLOOKUP($T$318,'TAR FIN'!$A$1:$O$91,15,0)),0,VLOOKUP($T$318,'TAR FIN'!$A$1:$O$91,15,0))</f>
        <v>1426.09</v>
      </c>
      <c r="X318" s="4">
        <f>IF(ISERROR(VLOOKUP($U$318,'TAR FIN'!$A$1:$O$91,15,0)),0,VLOOKUP($U$318,'TAR FIN'!$A$1:$O$91,15,0))</f>
        <v>249.25</v>
      </c>
      <c r="Y318" s="4"/>
      <c r="Z318" s="4">
        <f ca="1">('TUSD BE'!$AM$14+'TUSD BF'!$AM$14+'TUSD CVA'!$AM$14)*1</f>
        <v>1695.6228771157423</v>
      </c>
      <c r="AA318" s="4">
        <f>('TE BE'!$AB$5+'TE BF'!$AB$5+'TE CVA'!$AB$5)*1</f>
        <v>203.38274236935246</v>
      </c>
      <c r="AB318" s="4">
        <f>$K$318*$V$318</f>
        <v>0</v>
      </c>
      <c r="AC318" s="4">
        <f>$M$318*$W$318</f>
        <v>3116.0066499999998</v>
      </c>
      <c r="AD318" s="4">
        <f>$O$318*$X$318</f>
        <v>544.61125000000004</v>
      </c>
      <c r="AE318" s="4">
        <f>$K$318*$Y$318</f>
        <v>0</v>
      </c>
      <c r="AF318" s="4">
        <f ca="1">$M$318*$Z$318</f>
        <v>3704.9359864978969</v>
      </c>
      <c r="AG318" s="4">
        <f>$O$318*$AA$318</f>
        <v>444.39129207703513</v>
      </c>
    </row>
    <row r="319" spans="1:33" ht="11.25" customHeight="1" x14ac:dyDescent="0.25">
      <c r="A319" s="3" t="s">
        <v>21</v>
      </c>
      <c r="B319" s="3" t="s">
        <v>35</v>
      </c>
      <c r="C319" s="3" t="s">
        <v>36</v>
      </c>
      <c r="D319" s="3" t="s">
        <v>46</v>
      </c>
      <c r="E319" s="3" t="s">
        <v>47</v>
      </c>
      <c r="F319" s="3" t="s">
        <v>25</v>
      </c>
      <c r="G319" s="3" t="s">
        <v>25</v>
      </c>
      <c r="H319" s="3" t="s">
        <v>38</v>
      </c>
      <c r="I319" s="6">
        <v>44440</v>
      </c>
      <c r="J319" s="4">
        <v>0</v>
      </c>
      <c r="K319" s="54">
        <v>0</v>
      </c>
      <c r="L319" s="4">
        <v>34.494</v>
      </c>
      <c r="M319" s="54">
        <v>34.494</v>
      </c>
      <c r="N319" s="4">
        <v>34.494</v>
      </c>
      <c r="O319" s="54">
        <v>34.494</v>
      </c>
      <c r="P319" s="4">
        <v>0</v>
      </c>
      <c r="Q319" s="3" t="s">
        <v>26</v>
      </c>
      <c r="R319" s="3">
        <v>0</v>
      </c>
      <c r="S319" s="4">
        <v>0</v>
      </c>
      <c r="T319" s="4">
        <v>13</v>
      </c>
      <c r="U319" s="4">
        <v>69</v>
      </c>
      <c r="V319" s="54">
        <f>IF(ISERROR(VLOOKUP($S$319,'TAR FIN'!$A$1:$O$91,15,0)),0,VLOOKUP($S$319,'TAR FIN'!$A$1:$O$91,15,0))</f>
        <v>0</v>
      </c>
      <c r="W319" s="54">
        <f>IF(ISERROR(VLOOKUP($T$319,'TAR FIN'!$A$1:$O$91,15,0)),0,VLOOKUP($T$319,'TAR FIN'!$A$1:$O$91,15,0))*(1-0.06)</f>
        <v>66.871600000000001</v>
      </c>
      <c r="X319" s="54">
        <f>IF(ISERROR(VLOOKUP($U$319,'TAR FIN'!$A$1:$O$91,15,0)),0,VLOOKUP($U$319,'TAR FIN'!$A$1:$O$91,15,0))*(1-0.06)</f>
        <v>234.29499999999999</v>
      </c>
      <c r="Y319" s="54"/>
      <c r="Z319" s="54">
        <f ca="1">('TUSD BE'!$AM$15+'TUSD BF'!$AM$15+'TUSD CVA'!$AM$15)*1*(1-0.03)</f>
        <v>99.799749520056594</v>
      </c>
      <c r="AA319" s="54">
        <f>('TE BE'!$AB$6+'TE BF'!$AB$6+'TE CVA'!$AB$6)*1*(1-0.03)</f>
        <v>197.28126009827187</v>
      </c>
      <c r="AB319" s="4">
        <f>$K$319*$V$319</f>
        <v>0</v>
      </c>
      <c r="AC319" s="4">
        <f>$M$319*$W$319</f>
        <v>2306.6689704</v>
      </c>
      <c r="AD319" s="4">
        <f>$O$319*$X$319</f>
        <v>8081.7717299999995</v>
      </c>
      <c r="AE319" s="4">
        <f>$K$319*$Y$319</f>
        <v>0</v>
      </c>
      <c r="AF319" s="4">
        <f ca="1">$M$319*$Z$319</f>
        <v>3442.492559944832</v>
      </c>
      <c r="AG319" s="4">
        <f>$O$319*$AA$319</f>
        <v>6805.0197858297897</v>
      </c>
    </row>
    <row r="320" spans="1:33" ht="11.25" customHeight="1" x14ac:dyDescent="0.25">
      <c r="A320" s="3" t="s">
        <v>21</v>
      </c>
      <c r="B320" s="3" t="s">
        <v>35</v>
      </c>
      <c r="C320" s="3" t="s">
        <v>36</v>
      </c>
      <c r="D320" s="3" t="s">
        <v>46</v>
      </c>
      <c r="E320" s="3" t="s">
        <v>47</v>
      </c>
      <c r="F320" s="3" t="s">
        <v>25</v>
      </c>
      <c r="G320" s="3" t="s">
        <v>25</v>
      </c>
      <c r="H320" s="3" t="s">
        <v>38</v>
      </c>
      <c r="I320" s="6">
        <v>44470</v>
      </c>
      <c r="J320" s="4">
        <v>0</v>
      </c>
      <c r="K320" s="54">
        <v>0</v>
      </c>
      <c r="L320" s="4">
        <v>21.533000000000001</v>
      </c>
      <c r="M320" s="54">
        <v>21.533000000000001</v>
      </c>
      <c r="N320" s="4">
        <v>21.533000000000001</v>
      </c>
      <c r="O320" s="54">
        <v>21.533000000000001</v>
      </c>
      <c r="P320" s="4">
        <v>0</v>
      </c>
      <c r="Q320" s="3" t="s">
        <v>26</v>
      </c>
      <c r="R320" s="3">
        <v>0</v>
      </c>
      <c r="S320" s="4">
        <v>0</v>
      </c>
      <c r="T320" s="4">
        <v>13</v>
      </c>
      <c r="U320" s="4">
        <v>69</v>
      </c>
      <c r="V320" s="54">
        <f>IF(ISERROR(VLOOKUP($S$320,'TAR FIN'!$A$1:$O$91,15,0)),0,VLOOKUP($S$320,'TAR FIN'!$A$1:$O$91,15,0))</f>
        <v>0</v>
      </c>
      <c r="W320" s="54">
        <f>IF(ISERROR(VLOOKUP($T$320,'TAR FIN'!$A$1:$O$91,15,0)),0,VLOOKUP($T$320,'TAR FIN'!$A$1:$O$91,15,0))*(1-0.06)</f>
        <v>66.871600000000001</v>
      </c>
      <c r="X320" s="54">
        <f>IF(ISERROR(VLOOKUP($U$320,'TAR FIN'!$A$1:$O$91,15,0)),0,VLOOKUP($U$320,'TAR FIN'!$A$1:$O$91,15,0))*(1-0.06)</f>
        <v>234.29499999999999</v>
      </c>
      <c r="Y320" s="54"/>
      <c r="Z320" s="54">
        <f ca="1">('TUSD BE'!$AM$15+'TUSD BF'!$AM$15+'TUSD CVA'!$AM$15)*1*(1-0.03)</f>
        <v>99.799749520056594</v>
      </c>
      <c r="AA320" s="54">
        <f>('TE BE'!$AB$6+'TE BF'!$AB$6+'TE CVA'!$AB$6)*1*(1-0.03)</f>
        <v>197.28126009827187</v>
      </c>
      <c r="AB320" s="4">
        <f>$K$320*$V$320</f>
        <v>0</v>
      </c>
      <c r="AC320" s="4">
        <f>$M$320*$W$320</f>
        <v>1439.9461628000001</v>
      </c>
      <c r="AD320" s="4">
        <f>$O$320*$X$320</f>
        <v>5045.074235</v>
      </c>
      <c r="AE320" s="4">
        <f>$K$320*$Y$320</f>
        <v>0</v>
      </c>
      <c r="AF320" s="4">
        <f ca="1">$M$320*$Z$320</f>
        <v>2148.9880064153785</v>
      </c>
      <c r="AG320" s="4">
        <f>$O$320*$AA$320</f>
        <v>4248.0573736960887</v>
      </c>
    </row>
    <row r="321" spans="1:33" ht="11.25" customHeight="1" x14ac:dyDescent="0.25">
      <c r="A321" s="3" t="s">
        <v>21</v>
      </c>
      <c r="B321" s="3" t="s">
        <v>35</v>
      </c>
      <c r="C321" s="3" t="s">
        <v>36</v>
      </c>
      <c r="D321" s="3" t="s">
        <v>46</v>
      </c>
      <c r="E321" s="3" t="s">
        <v>47</v>
      </c>
      <c r="F321" s="3" t="s">
        <v>25</v>
      </c>
      <c r="G321" s="3" t="s">
        <v>25</v>
      </c>
      <c r="H321" s="3" t="s">
        <v>38</v>
      </c>
      <c r="I321" s="6">
        <v>44501</v>
      </c>
      <c r="J321" s="4">
        <v>0</v>
      </c>
      <c r="K321" s="54">
        <v>0</v>
      </c>
      <c r="L321" s="4">
        <v>23.96</v>
      </c>
      <c r="M321" s="54">
        <v>23.96</v>
      </c>
      <c r="N321" s="4">
        <v>23.96</v>
      </c>
      <c r="O321" s="54">
        <v>23.96</v>
      </c>
      <c r="P321" s="4">
        <v>0</v>
      </c>
      <c r="Q321" s="3" t="s">
        <v>26</v>
      </c>
      <c r="R321" s="3">
        <v>0</v>
      </c>
      <c r="S321" s="4">
        <v>0</v>
      </c>
      <c r="T321" s="4">
        <v>13</v>
      </c>
      <c r="U321" s="4">
        <v>69</v>
      </c>
      <c r="V321" s="54">
        <f>IF(ISERROR(VLOOKUP($S$321,'TAR FIN'!$A$1:$O$91,15,0)),0,VLOOKUP($S$321,'TAR FIN'!$A$1:$O$91,15,0))</f>
        <v>0</v>
      </c>
      <c r="W321" s="54">
        <f>IF(ISERROR(VLOOKUP($T$321,'TAR FIN'!$A$1:$O$91,15,0)),0,VLOOKUP($T$321,'TAR FIN'!$A$1:$O$91,15,0))*(1-0.06)</f>
        <v>66.871600000000001</v>
      </c>
      <c r="X321" s="54">
        <f>IF(ISERROR(VLOOKUP($U$321,'TAR FIN'!$A$1:$O$91,15,0)),0,VLOOKUP($U$321,'TAR FIN'!$A$1:$O$91,15,0))*(1-0.06)</f>
        <v>234.29499999999999</v>
      </c>
      <c r="Y321" s="54"/>
      <c r="Z321" s="54">
        <f ca="1">('TUSD BE'!$AM$15+'TUSD BF'!$AM$15+'TUSD CVA'!$AM$15)*1*(1-0.03)</f>
        <v>99.799749520056594</v>
      </c>
      <c r="AA321" s="54">
        <f>('TE BE'!$AB$6+'TE BF'!$AB$6+'TE CVA'!$AB$6)*1*(1-0.03)</f>
        <v>197.28126009827187</v>
      </c>
      <c r="AB321" s="4">
        <f>$K$321*$V$321</f>
        <v>0</v>
      </c>
      <c r="AC321" s="4">
        <f>$M$321*$W$321</f>
        <v>1602.2435360000002</v>
      </c>
      <c r="AD321" s="4">
        <f>$O$321*$X$321</f>
        <v>5613.7082</v>
      </c>
      <c r="AE321" s="4">
        <f>$K$321*$Y$321</f>
        <v>0</v>
      </c>
      <c r="AF321" s="4">
        <f ca="1">$M$321*$Z$321</f>
        <v>2391.2019985005559</v>
      </c>
      <c r="AG321" s="4">
        <f>$O$321*$AA$321</f>
        <v>4726.8589919545939</v>
      </c>
    </row>
    <row r="322" spans="1:33" ht="11.25" customHeight="1" x14ac:dyDescent="0.25">
      <c r="A322" s="3" t="s">
        <v>21</v>
      </c>
      <c r="B322" s="3" t="s">
        <v>35</v>
      </c>
      <c r="C322" s="3" t="s">
        <v>36</v>
      </c>
      <c r="D322" s="3" t="s">
        <v>46</v>
      </c>
      <c r="E322" s="3" t="s">
        <v>47</v>
      </c>
      <c r="F322" s="3" t="s">
        <v>25</v>
      </c>
      <c r="G322" s="3" t="s">
        <v>25</v>
      </c>
      <c r="H322" s="3" t="s">
        <v>38</v>
      </c>
      <c r="I322" s="6">
        <v>44531</v>
      </c>
      <c r="J322" s="4">
        <v>0</v>
      </c>
      <c r="K322" s="54">
        <v>0</v>
      </c>
      <c r="L322" s="4">
        <v>24.733000000000001</v>
      </c>
      <c r="M322" s="54">
        <v>24.733000000000001</v>
      </c>
      <c r="N322" s="4">
        <v>24.733000000000001</v>
      </c>
      <c r="O322" s="54">
        <v>24.733000000000001</v>
      </c>
      <c r="P322" s="4">
        <v>0</v>
      </c>
      <c r="Q322" s="3" t="s">
        <v>26</v>
      </c>
      <c r="R322" s="3">
        <v>0</v>
      </c>
      <c r="S322" s="4">
        <v>0</v>
      </c>
      <c r="T322" s="4">
        <v>13</v>
      </c>
      <c r="U322" s="4">
        <v>69</v>
      </c>
      <c r="V322" s="54">
        <f>IF(ISERROR(VLOOKUP($S$322,'TAR FIN'!$A$1:$O$91,15,0)),0,VLOOKUP($S$322,'TAR FIN'!$A$1:$O$91,15,0))</f>
        <v>0</v>
      </c>
      <c r="W322" s="54">
        <f>IF(ISERROR(VLOOKUP($T$322,'TAR FIN'!$A$1:$O$91,15,0)),0,VLOOKUP($T$322,'TAR FIN'!$A$1:$O$91,15,0))*(1-0.06)</f>
        <v>66.871600000000001</v>
      </c>
      <c r="X322" s="54">
        <f>IF(ISERROR(VLOOKUP($U$322,'TAR FIN'!$A$1:$O$91,15,0)),0,VLOOKUP($U$322,'TAR FIN'!$A$1:$O$91,15,0))*(1-0.06)</f>
        <v>234.29499999999999</v>
      </c>
      <c r="Y322" s="54"/>
      <c r="Z322" s="54">
        <f ca="1">('TUSD BE'!$AM$15+'TUSD BF'!$AM$15+'TUSD CVA'!$AM$15)*1*(1-0.03)</f>
        <v>99.799749520056594</v>
      </c>
      <c r="AA322" s="54">
        <f>('TE BE'!$AB$6+'TE BF'!$AB$6+'TE CVA'!$AB$6)*1*(1-0.03)</f>
        <v>197.28126009827187</v>
      </c>
      <c r="AB322" s="4">
        <f>$K$322*$V$322</f>
        <v>0</v>
      </c>
      <c r="AC322" s="4">
        <f>$M$322*$W$322</f>
        <v>1653.9352828000001</v>
      </c>
      <c r="AD322" s="4">
        <f>$O$322*$X$322</f>
        <v>5794.8182349999997</v>
      </c>
      <c r="AE322" s="4">
        <f>$K$322*$Y$322</f>
        <v>0</v>
      </c>
      <c r="AF322" s="4">
        <f ca="1">$M$322*$Z$322</f>
        <v>2468.3472048795597</v>
      </c>
      <c r="AG322" s="4">
        <f>$O$322*$AA$322</f>
        <v>4879.3574060105584</v>
      </c>
    </row>
    <row r="323" spans="1:33" ht="11.25" customHeight="1" x14ac:dyDescent="0.25">
      <c r="A323" s="3" t="s">
        <v>21</v>
      </c>
      <c r="B323" s="3" t="s">
        <v>35</v>
      </c>
      <c r="C323" s="3" t="s">
        <v>36</v>
      </c>
      <c r="D323" s="3" t="s">
        <v>46</v>
      </c>
      <c r="E323" s="3" t="s">
        <v>47</v>
      </c>
      <c r="F323" s="3" t="s">
        <v>25</v>
      </c>
      <c r="G323" s="3" t="s">
        <v>25</v>
      </c>
      <c r="H323" s="3" t="s">
        <v>38</v>
      </c>
      <c r="I323" s="6">
        <v>44562</v>
      </c>
      <c r="J323" s="4">
        <v>0</v>
      </c>
      <c r="K323" s="54">
        <v>0</v>
      </c>
      <c r="L323" s="4">
        <v>23.538</v>
      </c>
      <c r="M323" s="54">
        <v>23.538</v>
      </c>
      <c r="N323" s="4">
        <v>23.538</v>
      </c>
      <c r="O323" s="54">
        <v>23.538</v>
      </c>
      <c r="P323" s="4">
        <v>0</v>
      </c>
      <c r="Q323" s="3" t="s">
        <v>26</v>
      </c>
      <c r="R323" s="3">
        <v>0</v>
      </c>
      <c r="S323" s="4">
        <v>0</v>
      </c>
      <c r="T323" s="4">
        <v>13</v>
      </c>
      <c r="U323" s="4">
        <v>69</v>
      </c>
      <c r="V323" s="54">
        <f>IF(ISERROR(VLOOKUP($S$323,'TAR FIN'!$A$1:$O$91,15,0)),0,VLOOKUP($S$323,'TAR FIN'!$A$1:$O$91,15,0))</f>
        <v>0</v>
      </c>
      <c r="W323" s="54">
        <f>IF(ISERROR(VLOOKUP($T$323,'TAR FIN'!$A$1:$O$91,15,0)),0,VLOOKUP($T$323,'TAR FIN'!$A$1:$O$91,15,0))*(1-0.06)</f>
        <v>66.871600000000001</v>
      </c>
      <c r="X323" s="54">
        <f>IF(ISERROR(VLOOKUP($U$323,'TAR FIN'!$A$1:$O$91,15,0)),0,VLOOKUP($U$323,'TAR FIN'!$A$1:$O$91,15,0))*(1-0.06)</f>
        <v>234.29499999999999</v>
      </c>
      <c r="Y323" s="54"/>
      <c r="Z323" s="54">
        <f ca="1">('TUSD BE'!$AM$15+'TUSD BF'!$AM$15+'TUSD CVA'!$AM$15)*1*(1-0.03)</f>
        <v>99.799749520056594</v>
      </c>
      <c r="AA323" s="54">
        <f>('TE BE'!$AB$6+'TE BF'!$AB$6+'TE CVA'!$AB$6)*1*(1-0.03)</f>
        <v>197.28126009827187</v>
      </c>
      <c r="AB323" s="4">
        <f>$K$323*$V$323</f>
        <v>0</v>
      </c>
      <c r="AC323" s="4">
        <f>$M$323*$W$323</f>
        <v>1574.0237208000001</v>
      </c>
      <c r="AD323" s="4">
        <f>$O$323*$X$323</f>
        <v>5514.8357099999994</v>
      </c>
      <c r="AE323" s="4">
        <f>$K$323*$Y$323</f>
        <v>0</v>
      </c>
      <c r="AF323" s="4">
        <f ca="1">$M$323*$Z$323</f>
        <v>2349.0865042030923</v>
      </c>
      <c r="AG323" s="4">
        <f>$O$323*$AA$323</f>
        <v>4643.6063001931234</v>
      </c>
    </row>
    <row r="324" spans="1:33" ht="11.25" customHeight="1" x14ac:dyDescent="0.25">
      <c r="A324" s="3" t="s">
        <v>21</v>
      </c>
      <c r="B324" s="3" t="s">
        <v>35</v>
      </c>
      <c r="C324" s="3" t="s">
        <v>36</v>
      </c>
      <c r="D324" s="3" t="s">
        <v>46</v>
      </c>
      <c r="E324" s="3" t="s">
        <v>47</v>
      </c>
      <c r="F324" s="3" t="s">
        <v>25</v>
      </c>
      <c r="G324" s="3" t="s">
        <v>25</v>
      </c>
      <c r="H324" s="3" t="s">
        <v>38</v>
      </c>
      <c r="I324" s="6">
        <v>44593</v>
      </c>
      <c r="J324" s="4">
        <v>0</v>
      </c>
      <c r="K324" s="54">
        <v>0</v>
      </c>
      <c r="L324" s="4">
        <v>22.288</v>
      </c>
      <c r="M324" s="54">
        <v>22.288</v>
      </c>
      <c r="N324" s="4">
        <v>22.288</v>
      </c>
      <c r="O324" s="54">
        <v>22.288</v>
      </c>
      <c r="P324" s="4">
        <v>0</v>
      </c>
      <c r="Q324" s="3" t="s">
        <v>26</v>
      </c>
      <c r="R324" s="3">
        <v>0</v>
      </c>
      <c r="S324" s="4">
        <v>0</v>
      </c>
      <c r="T324" s="4">
        <v>13</v>
      </c>
      <c r="U324" s="4">
        <v>69</v>
      </c>
      <c r="V324" s="54">
        <f>IF(ISERROR(VLOOKUP($S$324,'TAR FIN'!$A$1:$O$91,15,0)),0,VLOOKUP($S$324,'TAR FIN'!$A$1:$O$91,15,0))</f>
        <v>0</v>
      </c>
      <c r="W324" s="54">
        <f>IF(ISERROR(VLOOKUP($T$324,'TAR FIN'!$A$1:$O$91,15,0)),0,VLOOKUP($T$324,'TAR FIN'!$A$1:$O$91,15,0))*(1-0.06)</f>
        <v>66.871600000000001</v>
      </c>
      <c r="X324" s="54">
        <f>IF(ISERROR(VLOOKUP($U$324,'TAR FIN'!$A$1:$O$91,15,0)),0,VLOOKUP($U$324,'TAR FIN'!$A$1:$O$91,15,0))*(1-0.06)</f>
        <v>234.29499999999999</v>
      </c>
      <c r="Y324" s="54"/>
      <c r="Z324" s="54">
        <f ca="1">('TUSD BE'!$AM$15+'TUSD BF'!$AM$15+'TUSD CVA'!$AM$15)*1*(1-0.03)</f>
        <v>99.799749520056594</v>
      </c>
      <c r="AA324" s="54">
        <f>('TE BE'!$AB$6+'TE BF'!$AB$6+'TE CVA'!$AB$6)*1*(1-0.03)</f>
        <v>197.28126009827187</v>
      </c>
      <c r="AB324" s="4">
        <f>$K$324*$V$324</f>
        <v>0</v>
      </c>
      <c r="AC324" s="4">
        <f>$M$324*$W$324</f>
        <v>1490.4342208</v>
      </c>
      <c r="AD324" s="4">
        <f>$O$324*$X$324</f>
        <v>5221.9669599999997</v>
      </c>
      <c r="AE324" s="4">
        <f>$K$324*$Y$324</f>
        <v>0</v>
      </c>
      <c r="AF324" s="4">
        <f ca="1">$M$324*$Z$324</f>
        <v>2224.3368173030212</v>
      </c>
      <c r="AG324" s="4">
        <f>$O$324*$AA$324</f>
        <v>4397.0047250702837</v>
      </c>
    </row>
    <row r="325" spans="1:33" ht="11.25" customHeight="1" x14ac:dyDescent="0.25">
      <c r="A325" s="3" t="s">
        <v>21</v>
      </c>
      <c r="B325" s="3" t="s">
        <v>35</v>
      </c>
      <c r="C325" s="3" t="s">
        <v>36</v>
      </c>
      <c r="D325" s="3" t="s">
        <v>46</v>
      </c>
      <c r="E325" s="3" t="s">
        <v>47</v>
      </c>
      <c r="F325" s="3" t="s">
        <v>25</v>
      </c>
      <c r="G325" s="3" t="s">
        <v>25</v>
      </c>
      <c r="H325" s="3" t="s">
        <v>38</v>
      </c>
      <c r="I325" s="6">
        <v>44621</v>
      </c>
      <c r="J325" s="4">
        <v>0</v>
      </c>
      <c r="K325" s="54">
        <v>0</v>
      </c>
      <c r="L325" s="4">
        <v>24.135999999999999</v>
      </c>
      <c r="M325" s="54">
        <v>24.135999999999999</v>
      </c>
      <c r="N325" s="4">
        <v>24.135999999999999</v>
      </c>
      <c r="O325" s="54">
        <v>24.135999999999999</v>
      </c>
      <c r="P325" s="4">
        <v>0</v>
      </c>
      <c r="Q325" s="3" t="s">
        <v>26</v>
      </c>
      <c r="R325" s="3">
        <v>0</v>
      </c>
      <c r="S325" s="4">
        <v>0</v>
      </c>
      <c r="T325" s="4">
        <v>13</v>
      </c>
      <c r="U325" s="4">
        <v>69</v>
      </c>
      <c r="V325" s="54">
        <f>IF(ISERROR(VLOOKUP($S$325,'TAR FIN'!$A$1:$O$91,15,0)),0,VLOOKUP($S$325,'TAR FIN'!$A$1:$O$91,15,0))</f>
        <v>0</v>
      </c>
      <c r="W325" s="54">
        <f>IF(ISERROR(VLOOKUP($T$325,'TAR FIN'!$A$1:$O$91,15,0)),0,VLOOKUP($T$325,'TAR FIN'!$A$1:$O$91,15,0))*(1-0.06)</f>
        <v>66.871600000000001</v>
      </c>
      <c r="X325" s="54">
        <f>IF(ISERROR(VLOOKUP($U$325,'TAR FIN'!$A$1:$O$91,15,0)),0,VLOOKUP($U$325,'TAR FIN'!$A$1:$O$91,15,0))*(1-0.06)</f>
        <v>234.29499999999999</v>
      </c>
      <c r="Y325" s="54"/>
      <c r="Z325" s="54">
        <f ca="1">('TUSD BE'!$AM$15+'TUSD BF'!$AM$15+'TUSD CVA'!$AM$15)*1*(1-0.03)</f>
        <v>99.799749520056594</v>
      </c>
      <c r="AA325" s="54">
        <f>('TE BE'!$AB$6+'TE BF'!$AB$6+'TE CVA'!$AB$6)*1*(1-0.03)</f>
        <v>197.28126009827187</v>
      </c>
      <c r="AB325" s="4">
        <f>$K$325*$V$325</f>
        <v>0</v>
      </c>
      <c r="AC325" s="4">
        <f>$M$325*$W$325</f>
        <v>1614.0129376</v>
      </c>
      <c r="AD325" s="4">
        <f>$O$325*$X$325</f>
        <v>5654.9441199999992</v>
      </c>
      <c r="AE325" s="4">
        <f>$K$325*$Y$325</f>
        <v>0</v>
      </c>
      <c r="AF325" s="4">
        <f ca="1">$M$325*$Z$325</f>
        <v>2408.7667544160859</v>
      </c>
      <c r="AG325" s="4">
        <f>$O$325*$AA$325</f>
        <v>4761.5804937318899</v>
      </c>
    </row>
    <row r="326" spans="1:33" ht="11.25" customHeight="1" x14ac:dyDescent="0.25">
      <c r="A326" s="3" t="s">
        <v>21</v>
      </c>
      <c r="B326" s="3" t="s">
        <v>35</v>
      </c>
      <c r="C326" s="3" t="s">
        <v>36</v>
      </c>
      <c r="D326" s="3" t="s">
        <v>46</v>
      </c>
      <c r="E326" s="3" t="s">
        <v>47</v>
      </c>
      <c r="F326" s="3" t="s">
        <v>25</v>
      </c>
      <c r="G326" s="3" t="s">
        <v>25</v>
      </c>
      <c r="H326" s="3" t="s">
        <v>38</v>
      </c>
      <c r="I326" s="6">
        <v>44652</v>
      </c>
      <c r="J326" s="4">
        <v>0</v>
      </c>
      <c r="K326" s="54">
        <v>0</v>
      </c>
      <c r="L326" s="4">
        <v>23.466999999999999</v>
      </c>
      <c r="M326" s="54">
        <v>23.466999999999999</v>
      </c>
      <c r="N326" s="4">
        <v>23.466999999999999</v>
      </c>
      <c r="O326" s="54">
        <v>23.466999999999999</v>
      </c>
      <c r="P326" s="4">
        <v>0</v>
      </c>
      <c r="Q326" s="3" t="s">
        <v>26</v>
      </c>
      <c r="R326" s="3">
        <v>0</v>
      </c>
      <c r="S326" s="4">
        <v>0</v>
      </c>
      <c r="T326" s="4">
        <v>13</v>
      </c>
      <c r="U326" s="4">
        <v>69</v>
      </c>
      <c r="V326" s="54">
        <f>IF(ISERROR(VLOOKUP($S$326,'TAR FIN'!$A$1:$O$91,15,0)),0,VLOOKUP($S$326,'TAR FIN'!$A$1:$O$91,15,0))</f>
        <v>0</v>
      </c>
      <c r="W326" s="54">
        <f>IF(ISERROR(VLOOKUP($T$326,'TAR FIN'!$A$1:$O$91,15,0)),0,VLOOKUP($T$326,'TAR FIN'!$A$1:$O$91,15,0))*(1-0.06)</f>
        <v>66.871600000000001</v>
      </c>
      <c r="X326" s="54">
        <f>IF(ISERROR(VLOOKUP($U$326,'TAR FIN'!$A$1:$O$91,15,0)),0,VLOOKUP($U$326,'TAR FIN'!$A$1:$O$91,15,0))*(1-0.06)</f>
        <v>234.29499999999999</v>
      </c>
      <c r="Y326" s="54"/>
      <c r="Z326" s="54">
        <f ca="1">('TUSD BE'!$AM$15+'TUSD BF'!$AM$15+'TUSD CVA'!$AM$15)*1*(1-0.03)</f>
        <v>99.799749520056594</v>
      </c>
      <c r="AA326" s="54">
        <f>('TE BE'!$AB$6+'TE BF'!$AB$6+'TE CVA'!$AB$6)*1*(1-0.03)</f>
        <v>197.28126009827187</v>
      </c>
      <c r="AB326" s="4">
        <f>$K$326*$V$326</f>
        <v>0</v>
      </c>
      <c r="AC326" s="4">
        <f>$M$326*$W$326</f>
        <v>1569.2758371999998</v>
      </c>
      <c r="AD326" s="4">
        <f>$O$326*$X$326</f>
        <v>5498.2007649999996</v>
      </c>
      <c r="AE326" s="4">
        <f>$K$326*$Y$326</f>
        <v>0</v>
      </c>
      <c r="AF326" s="4">
        <f ca="1">$M$326*$Z$326</f>
        <v>2342.0007219871682</v>
      </c>
      <c r="AG326" s="4">
        <f>$O$326*$AA$326</f>
        <v>4629.599330726146</v>
      </c>
    </row>
    <row r="327" spans="1:33" ht="11.25" customHeight="1" x14ac:dyDescent="0.25">
      <c r="A327" s="3" t="s">
        <v>21</v>
      </c>
      <c r="B327" s="3" t="s">
        <v>35</v>
      </c>
      <c r="C327" s="3" t="s">
        <v>36</v>
      </c>
      <c r="D327" s="3" t="s">
        <v>46</v>
      </c>
      <c r="E327" s="3" t="s">
        <v>47</v>
      </c>
      <c r="F327" s="3" t="s">
        <v>25</v>
      </c>
      <c r="G327" s="3" t="s">
        <v>25</v>
      </c>
      <c r="H327" s="3" t="s">
        <v>38</v>
      </c>
      <c r="I327" s="6">
        <v>44682</v>
      </c>
      <c r="J327" s="4">
        <v>0</v>
      </c>
      <c r="K327" s="54">
        <v>0</v>
      </c>
      <c r="L327" s="4">
        <v>27.04</v>
      </c>
      <c r="M327" s="54">
        <v>27.04</v>
      </c>
      <c r="N327" s="4">
        <v>27.04</v>
      </c>
      <c r="O327" s="54">
        <v>27.04</v>
      </c>
      <c r="P327" s="4">
        <v>0</v>
      </c>
      <c r="Q327" s="3" t="s">
        <v>26</v>
      </c>
      <c r="R327" s="3">
        <v>0</v>
      </c>
      <c r="S327" s="4">
        <v>0</v>
      </c>
      <c r="T327" s="4">
        <v>13</v>
      </c>
      <c r="U327" s="4">
        <v>69</v>
      </c>
      <c r="V327" s="54">
        <f>IF(ISERROR(VLOOKUP($S$327,'TAR FIN'!$A$1:$O$91,15,0)),0,VLOOKUP($S$327,'TAR FIN'!$A$1:$O$91,15,0))</f>
        <v>0</v>
      </c>
      <c r="W327" s="54">
        <f>IF(ISERROR(VLOOKUP($T$327,'TAR FIN'!$A$1:$O$91,15,0)),0,VLOOKUP($T$327,'TAR FIN'!$A$1:$O$91,15,0))*(1-0.06)</f>
        <v>66.871600000000001</v>
      </c>
      <c r="X327" s="54">
        <f>IF(ISERROR(VLOOKUP($U$327,'TAR FIN'!$A$1:$O$91,15,0)),0,VLOOKUP($U$327,'TAR FIN'!$A$1:$O$91,15,0))*(1-0.06)</f>
        <v>234.29499999999999</v>
      </c>
      <c r="Y327" s="54"/>
      <c r="Z327" s="54">
        <f ca="1">('TUSD BE'!$AM$15+'TUSD BF'!$AM$15+'TUSD CVA'!$AM$15)*1*(1-0.03)</f>
        <v>99.799749520056594</v>
      </c>
      <c r="AA327" s="54">
        <f>('TE BE'!$AB$6+'TE BF'!$AB$6+'TE CVA'!$AB$6)*1*(1-0.03)</f>
        <v>197.28126009827187</v>
      </c>
      <c r="AB327" s="4">
        <f>$K$327*$V$327</f>
        <v>0</v>
      </c>
      <c r="AC327" s="4">
        <f>$M$327*$W$327</f>
        <v>1808.2080639999999</v>
      </c>
      <c r="AD327" s="4">
        <f>$O$327*$X$327</f>
        <v>6335.3367999999991</v>
      </c>
      <c r="AE327" s="4">
        <f>$K$327*$Y$327</f>
        <v>0</v>
      </c>
      <c r="AF327" s="4">
        <f ca="1">$M$327*$Z$327</f>
        <v>2698.5852270223304</v>
      </c>
      <c r="AG327" s="4">
        <f>$O$327*$AA$327</f>
        <v>5334.4852730572711</v>
      </c>
    </row>
    <row r="328" spans="1:33" ht="11.25" customHeight="1" x14ac:dyDescent="0.25">
      <c r="A328" s="3" t="s">
        <v>21</v>
      </c>
      <c r="B328" s="3" t="s">
        <v>35</v>
      </c>
      <c r="C328" s="3" t="s">
        <v>36</v>
      </c>
      <c r="D328" s="3" t="s">
        <v>46</v>
      </c>
      <c r="E328" s="3" t="s">
        <v>47</v>
      </c>
      <c r="F328" s="3" t="s">
        <v>25</v>
      </c>
      <c r="G328" s="3" t="s">
        <v>25</v>
      </c>
      <c r="H328" s="3" t="s">
        <v>38</v>
      </c>
      <c r="I328" s="6">
        <v>44713</v>
      </c>
      <c r="J328" s="4">
        <v>0</v>
      </c>
      <c r="K328" s="54">
        <v>0</v>
      </c>
      <c r="L328" s="4">
        <v>25.248000000000001</v>
      </c>
      <c r="M328" s="54">
        <v>25.248000000000001</v>
      </c>
      <c r="N328" s="4">
        <v>25.248000000000001</v>
      </c>
      <c r="O328" s="54">
        <v>25.248000000000001</v>
      </c>
      <c r="P328" s="4">
        <v>0</v>
      </c>
      <c r="Q328" s="3" t="s">
        <v>26</v>
      </c>
      <c r="R328" s="3">
        <v>0</v>
      </c>
      <c r="S328" s="4">
        <v>0</v>
      </c>
      <c r="T328" s="4">
        <v>13</v>
      </c>
      <c r="U328" s="4">
        <v>69</v>
      </c>
      <c r="V328" s="54">
        <f>IF(ISERROR(VLOOKUP($S$328,'TAR FIN'!$A$1:$O$91,15,0)),0,VLOOKUP($S$328,'TAR FIN'!$A$1:$O$91,15,0))</f>
        <v>0</v>
      </c>
      <c r="W328" s="54">
        <f>IF(ISERROR(VLOOKUP($T$328,'TAR FIN'!$A$1:$O$91,15,0)),0,VLOOKUP($T$328,'TAR FIN'!$A$1:$O$91,15,0))*(1-0.06)</f>
        <v>66.871600000000001</v>
      </c>
      <c r="X328" s="54">
        <f>IF(ISERROR(VLOOKUP($U$328,'TAR FIN'!$A$1:$O$91,15,0)),0,VLOOKUP($U$328,'TAR FIN'!$A$1:$O$91,15,0))*(1-0.06)</f>
        <v>234.29499999999999</v>
      </c>
      <c r="Y328" s="54"/>
      <c r="Z328" s="54">
        <f ca="1">('TUSD BE'!$AM$15+'TUSD BF'!$AM$15+'TUSD CVA'!$AM$15)*1*(1-0.03)</f>
        <v>99.799749520056594</v>
      </c>
      <c r="AA328" s="54">
        <f>('TE BE'!$AB$6+'TE BF'!$AB$6+'TE CVA'!$AB$6)*1*(1-0.03)</f>
        <v>197.28126009827187</v>
      </c>
      <c r="AB328" s="4">
        <f>$K$328*$V$328</f>
        <v>0</v>
      </c>
      <c r="AC328" s="4">
        <f>$M$328*$W$328</f>
        <v>1688.3741568</v>
      </c>
      <c r="AD328" s="4">
        <f>$O$328*$X$328</f>
        <v>5915.4801600000001</v>
      </c>
      <c r="AE328" s="4">
        <f>$K$328*$Y$328</f>
        <v>0</v>
      </c>
      <c r="AF328" s="4">
        <f ca="1">$M$328*$Z$328</f>
        <v>2519.7440758823891</v>
      </c>
      <c r="AG328" s="4">
        <f>$O$328*$AA$328</f>
        <v>4980.9572549611685</v>
      </c>
    </row>
    <row r="329" spans="1:33" ht="11.25" customHeight="1" x14ac:dyDescent="0.25">
      <c r="A329" s="3" t="s">
        <v>21</v>
      </c>
      <c r="B329" s="3" t="s">
        <v>35</v>
      </c>
      <c r="C329" s="3" t="s">
        <v>36</v>
      </c>
      <c r="D329" s="3" t="s">
        <v>46</v>
      </c>
      <c r="E329" s="3" t="s">
        <v>47</v>
      </c>
      <c r="F329" s="3" t="s">
        <v>25</v>
      </c>
      <c r="G329" s="3" t="s">
        <v>25</v>
      </c>
      <c r="H329" s="3" t="s">
        <v>38</v>
      </c>
      <c r="I329" s="6">
        <v>44743</v>
      </c>
      <c r="J329" s="4">
        <v>0</v>
      </c>
      <c r="K329" s="54">
        <v>0</v>
      </c>
      <c r="L329" s="4">
        <v>26.207999999999998</v>
      </c>
      <c r="M329" s="54">
        <v>26.207999999999998</v>
      </c>
      <c r="N329" s="4">
        <v>26.207999999999998</v>
      </c>
      <c r="O329" s="54">
        <v>26.207999999999998</v>
      </c>
      <c r="P329" s="4">
        <v>0</v>
      </c>
      <c r="Q329" s="3" t="s">
        <v>26</v>
      </c>
      <c r="R329" s="3">
        <v>0</v>
      </c>
      <c r="S329" s="4">
        <v>0</v>
      </c>
      <c r="T329" s="4">
        <v>13</v>
      </c>
      <c r="U329" s="4">
        <v>69</v>
      </c>
      <c r="V329" s="54">
        <f>IF(ISERROR(VLOOKUP($S$329,'TAR FIN'!$A$1:$O$91,15,0)),0,VLOOKUP($S$329,'TAR FIN'!$A$1:$O$91,15,0))</f>
        <v>0</v>
      </c>
      <c r="W329" s="54">
        <f>IF(ISERROR(VLOOKUP($T$329,'TAR FIN'!$A$1:$O$91,15,0)),0,VLOOKUP($T$329,'TAR FIN'!$A$1:$O$91,15,0))*(1-0.06)</f>
        <v>66.871600000000001</v>
      </c>
      <c r="X329" s="54">
        <f>IF(ISERROR(VLOOKUP($U$329,'TAR FIN'!$A$1:$O$91,15,0)),0,VLOOKUP($U$329,'TAR FIN'!$A$1:$O$91,15,0))*(1-0.06)</f>
        <v>234.29499999999999</v>
      </c>
      <c r="Y329" s="54"/>
      <c r="Z329" s="54">
        <f ca="1">('TUSD BE'!$AM$15+'TUSD BF'!$AM$15+'TUSD CVA'!$AM$15)*1*(1-0.03)</f>
        <v>99.799749520056594</v>
      </c>
      <c r="AA329" s="54">
        <f>('TE BE'!$AB$6+'TE BF'!$AB$6+'TE CVA'!$AB$6)*1*(1-0.03)</f>
        <v>197.28126009827187</v>
      </c>
      <c r="AB329" s="4">
        <f>$K$329*$V$329</f>
        <v>0</v>
      </c>
      <c r="AC329" s="4">
        <f>$M$329*$W$329</f>
        <v>1752.5708927999999</v>
      </c>
      <c r="AD329" s="4">
        <f>$O$329*$X$329</f>
        <v>6140.4033599999993</v>
      </c>
      <c r="AE329" s="4">
        <f>$K$329*$Y$329</f>
        <v>0</v>
      </c>
      <c r="AF329" s="4">
        <f ca="1">$M$329*$Z$329</f>
        <v>2615.5518354216429</v>
      </c>
      <c r="AG329" s="4">
        <f>$O$329*$AA$329</f>
        <v>5170.3472646555092</v>
      </c>
    </row>
    <row r="330" spans="1:33" ht="11.25" customHeight="1" x14ac:dyDescent="0.25">
      <c r="A330" s="3" t="s">
        <v>21</v>
      </c>
      <c r="B330" s="3" t="s">
        <v>35</v>
      </c>
      <c r="C330" s="3" t="s">
        <v>36</v>
      </c>
      <c r="D330" s="3" t="s">
        <v>46</v>
      </c>
      <c r="E330" s="3" t="s">
        <v>47</v>
      </c>
      <c r="F330" s="3" t="s">
        <v>25</v>
      </c>
      <c r="G330" s="3" t="s">
        <v>25</v>
      </c>
      <c r="H330" s="3" t="s">
        <v>38</v>
      </c>
      <c r="I330" s="6">
        <v>44774</v>
      </c>
      <c r="J330" s="4">
        <v>0</v>
      </c>
      <c r="K330" s="54">
        <v>0</v>
      </c>
      <c r="L330" s="4">
        <v>25.567</v>
      </c>
      <c r="M330" s="54">
        <v>25.567</v>
      </c>
      <c r="N330" s="4">
        <v>25.567</v>
      </c>
      <c r="O330" s="54">
        <v>25.567</v>
      </c>
      <c r="P330" s="4">
        <v>0</v>
      </c>
      <c r="Q330" s="3" t="s">
        <v>26</v>
      </c>
      <c r="R330" s="3">
        <v>0</v>
      </c>
      <c r="S330" s="4">
        <v>0</v>
      </c>
      <c r="T330" s="4">
        <v>13</v>
      </c>
      <c r="U330" s="4">
        <v>69</v>
      </c>
      <c r="V330" s="54">
        <f>IF(ISERROR(VLOOKUP($S$330,'TAR FIN'!$A$1:$O$91,15,0)),0,VLOOKUP($S$330,'TAR FIN'!$A$1:$O$91,15,0))</f>
        <v>0</v>
      </c>
      <c r="W330" s="54">
        <f>IF(ISERROR(VLOOKUP($T$330,'TAR FIN'!$A$1:$O$91,15,0)),0,VLOOKUP($T$330,'TAR FIN'!$A$1:$O$91,15,0))*(1-0.06)</f>
        <v>66.871600000000001</v>
      </c>
      <c r="X330" s="54">
        <f>IF(ISERROR(VLOOKUP($U$330,'TAR FIN'!$A$1:$O$91,15,0)),0,VLOOKUP($U$330,'TAR FIN'!$A$1:$O$91,15,0))*(1-0.06)</f>
        <v>234.29499999999999</v>
      </c>
      <c r="Y330" s="54"/>
      <c r="Z330" s="54">
        <f ca="1">('TUSD BE'!$AM$15+'TUSD BF'!$AM$15+'TUSD CVA'!$AM$15)*1*(1-0.03)</f>
        <v>99.799749520056594</v>
      </c>
      <c r="AA330" s="54">
        <f>('TE BE'!$AB$6+'TE BF'!$AB$6+'TE CVA'!$AB$6)*1*(1-0.03)</f>
        <v>197.28126009827187</v>
      </c>
      <c r="AB330" s="4">
        <f>$K$330*$V$330</f>
        <v>0</v>
      </c>
      <c r="AC330" s="4">
        <f>$M$330*$W$330</f>
        <v>1709.7061972000001</v>
      </c>
      <c r="AD330" s="4">
        <f>$O$330*$X$330</f>
        <v>5990.2202649999999</v>
      </c>
      <c r="AE330" s="4">
        <f>$K$330*$Y$330</f>
        <v>0</v>
      </c>
      <c r="AF330" s="4">
        <f ca="1">$M$330*$Z$330</f>
        <v>2551.5801959792871</v>
      </c>
      <c r="AG330" s="4">
        <f>$O$330*$AA$330</f>
        <v>5043.8899769325171</v>
      </c>
    </row>
    <row r="331" spans="1:33" ht="11.25" customHeight="1" x14ac:dyDescent="0.25">
      <c r="A331" s="3" t="s">
        <v>21</v>
      </c>
      <c r="B331" s="3" t="s">
        <v>35</v>
      </c>
      <c r="C331" s="3" t="s">
        <v>36</v>
      </c>
      <c r="D331" s="3" t="s">
        <v>46</v>
      </c>
      <c r="E331" s="3" t="s">
        <v>47</v>
      </c>
      <c r="F331" s="3" t="s">
        <v>25</v>
      </c>
      <c r="G331" s="3" t="s">
        <v>25</v>
      </c>
      <c r="H331" s="3" t="s">
        <v>25</v>
      </c>
      <c r="I331" s="6">
        <v>44440</v>
      </c>
      <c r="J331" s="4">
        <v>60</v>
      </c>
      <c r="K331" s="53">
        <v>60</v>
      </c>
      <c r="L331" s="4">
        <v>0</v>
      </c>
      <c r="M331" s="54">
        <v>0</v>
      </c>
      <c r="N331" s="4">
        <v>0</v>
      </c>
      <c r="O331" s="54">
        <v>0</v>
      </c>
      <c r="P331" s="4">
        <v>1</v>
      </c>
      <c r="Q331" s="3" t="s">
        <v>26</v>
      </c>
      <c r="R331" s="3">
        <v>0</v>
      </c>
      <c r="S331" s="4">
        <v>9</v>
      </c>
      <c r="T331" s="4">
        <v>0</v>
      </c>
      <c r="U331" s="4">
        <v>0</v>
      </c>
      <c r="V331" s="54">
        <f>IF(ISERROR(VLOOKUP($S$331,'TAR FIN'!$A$1:$O$91,15,0)),0,VLOOKUP($S$331,'TAR FIN'!$A$1:$O$91,15,0))*(1-0.06)</f>
        <v>17.060999999999996</v>
      </c>
      <c r="W331" s="54">
        <f>IF(ISERROR(VLOOKUP($T$331,'TAR FIN'!$A$1:$O$91,15,0)),0,VLOOKUP($T$331,'TAR FIN'!$A$1:$O$91,15,0))</f>
        <v>0</v>
      </c>
      <c r="X331" s="54">
        <f>IF(ISERROR(VLOOKUP($U$331,'TAR FIN'!$A$1:$O$91,15,0)),0,VLOOKUP($U$331,'TAR FIN'!$A$1:$O$91,15,0))</f>
        <v>0</v>
      </c>
      <c r="Y331" s="54">
        <f ca="1">('TUSD BE'!$AM$13+'TUSD BF'!$AM$13+'TUSD CVA'!$AM$13)*1*(1-0.03)</f>
        <v>20.639983826307745</v>
      </c>
      <c r="Z331" s="54"/>
      <c r="AA331" s="54"/>
      <c r="AB331" s="4">
        <f>$K$331*$V$331</f>
        <v>1023.6599999999997</v>
      </c>
      <c r="AC331" s="4">
        <f>$M$331*$W$331</f>
        <v>0</v>
      </c>
      <c r="AD331" s="4">
        <f>$O$331*$X$331</f>
        <v>0</v>
      </c>
      <c r="AE331" s="4">
        <f ca="1">$K$331*$Y$331</f>
        <v>1238.3990295784647</v>
      </c>
      <c r="AF331" s="4">
        <f>$M$331*$Z$331</f>
        <v>0</v>
      </c>
      <c r="AG331" s="4">
        <f>$O$331*$AA$331</f>
        <v>0</v>
      </c>
    </row>
    <row r="332" spans="1:33" ht="11.25" customHeight="1" x14ac:dyDescent="0.25">
      <c r="A332" s="3" t="s">
        <v>21</v>
      </c>
      <c r="B332" s="3" t="s">
        <v>35</v>
      </c>
      <c r="C332" s="3" t="s">
        <v>36</v>
      </c>
      <c r="D332" s="3" t="s">
        <v>46</v>
      </c>
      <c r="E332" s="3" t="s">
        <v>47</v>
      </c>
      <c r="F332" s="3" t="s">
        <v>25</v>
      </c>
      <c r="G332" s="3" t="s">
        <v>25</v>
      </c>
      <c r="H332" s="3" t="s">
        <v>25</v>
      </c>
      <c r="I332" s="6">
        <v>44470</v>
      </c>
      <c r="J332" s="4">
        <v>60</v>
      </c>
      <c r="K332" s="53">
        <v>60</v>
      </c>
      <c r="L332" s="4">
        <v>0</v>
      </c>
      <c r="M332" s="54">
        <v>0</v>
      </c>
      <c r="N332" s="4">
        <v>0</v>
      </c>
      <c r="O332" s="54">
        <v>0</v>
      </c>
      <c r="P332" s="4">
        <v>1</v>
      </c>
      <c r="Q332" s="3" t="s">
        <v>26</v>
      </c>
      <c r="R332" s="3">
        <v>0</v>
      </c>
      <c r="S332" s="4">
        <v>9</v>
      </c>
      <c r="T332" s="4">
        <v>0</v>
      </c>
      <c r="U332" s="4">
        <v>0</v>
      </c>
      <c r="V332" s="54">
        <f>IF(ISERROR(VLOOKUP($S$332,'TAR FIN'!$A$1:$O$91,15,0)),0,VLOOKUP($S$332,'TAR FIN'!$A$1:$O$91,15,0))*(1-0.06)</f>
        <v>17.060999999999996</v>
      </c>
      <c r="W332" s="54">
        <f>IF(ISERROR(VLOOKUP($T$332,'TAR FIN'!$A$1:$O$91,15,0)),0,VLOOKUP($T$332,'TAR FIN'!$A$1:$O$91,15,0))</f>
        <v>0</v>
      </c>
      <c r="X332" s="54">
        <f>IF(ISERROR(VLOOKUP($U$332,'TAR FIN'!$A$1:$O$91,15,0)),0,VLOOKUP($U$332,'TAR FIN'!$A$1:$O$91,15,0))</f>
        <v>0</v>
      </c>
      <c r="Y332" s="54">
        <f ca="1">('TUSD BE'!$AM$13+'TUSD BF'!$AM$13+'TUSD CVA'!$AM$13)*1*(1-0.03)</f>
        <v>20.639983826307745</v>
      </c>
      <c r="Z332" s="54"/>
      <c r="AA332" s="54"/>
      <c r="AB332" s="4">
        <f>$K$332*$V$332</f>
        <v>1023.6599999999997</v>
      </c>
      <c r="AC332" s="4">
        <f>$M$332*$W$332</f>
        <v>0</v>
      </c>
      <c r="AD332" s="4">
        <f>$O$332*$X$332</f>
        <v>0</v>
      </c>
      <c r="AE332" s="4">
        <f ca="1">$K$332*$Y$332</f>
        <v>1238.3990295784647</v>
      </c>
      <c r="AF332" s="4">
        <f>$M$332*$Z$332</f>
        <v>0</v>
      </c>
      <c r="AG332" s="4">
        <f>$O$332*$AA$332</f>
        <v>0</v>
      </c>
    </row>
    <row r="333" spans="1:33" ht="11.25" customHeight="1" x14ac:dyDescent="0.25">
      <c r="A333" s="3" t="s">
        <v>21</v>
      </c>
      <c r="B333" s="3" t="s">
        <v>35</v>
      </c>
      <c r="C333" s="3" t="s">
        <v>36</v>
      </c>
      <c r="D333" s="3" t="s">
        <v>46</v>
      </c>
      <c r="E333" s="3" t="s">
        <v>47</v>
      </c>
      <c r="F333" s="3" t="s">
        <v>25</v>
      </c>
      <c r="G333" s="3" t="s">
        <v>25</v>
      </c>
      <c r="H333" s="3" t="s">
        <v>25</v>
      </c>
      <c r="I333" s="6">
        <v>44501</v>
      </c>
      <c r="J333" s="4">
        <v>60</v>
      </c>
      <c r="K333" s="53">
        <v>60</v>
      </c>
      <c r="L333" s="4">
        <v>0</v>
      </c>
      <c r="M333" s="54">
        <v>0</v>
      </c>
      <c r="N333" s="4">
        <v>0</v>
      </c>
      <c r="O333" s="54">
        <v>0</v>
      </c>
      <c r="P333" s="4">
        <v>1</v>
      </c>
      <c r="Q333" s="3" t="s">
        <v>26</v>
      </c>
      <c r="R333" s="3">
        <v>0</v>
      </c>
      <c r="S333" s="4">
        <v>9</v>
      </c>
      <c r="T333" s="4">
        <v>0</v>
      </c>
      <c r="U333" s="4">
        <v>0</v>
      </c>
      <c r="V333" s="54">
        <f>IF(ISERROR(VLOOKUP($S$333,'TAR FIN'!$A$1:$O$91,15,0)),0,VLOOKUP($S$333,'TAR FIN'!$A$1:$O$91,15,0))*(1-0.06)</f>
        <v>17.060999999999996</v>
      </c>
      <c r="W333" s="54">
        <f>IF(ISERROR(VLOOKUP($T$333,'TAR FIN'!$A$1:$O$91,15,0)),0,VLOOKUP($T$333,'TAR FIN'!$A$1:$O$91,15,0))</f>
        <v>0</v>
      </c>
      <c r="X333" s="54">
        <f>IF(ISERROR(VLOOKUP($U$333,'TAR FIN'!$A$1:$O$91,15,0)),0,VLOOKUP($U$333,'TAR FIN'!$A$1:$O$91,15,0))</f>
        <v>0</v>
      </c>
      <c r="Y333" s="54">
        <f ca="1">('TUSD BE'!$AM$13+'TUSD BF'!$AM$13+'TUSD CVA'!$AM$13)*1*(1-0.03)</f>
        <v>20.639983826307745</v>
      </c>
      <c r="Z333" s="54"/>
      <c r="AA333" s="54"/>
      <c r="AB333" s="4">
        <f>$K$333*$V$333</f>
        <v>1023.6599999999997</v>
      </c>
      <c r="AC333" s="4">
        <f>$M$333*$W$333</f>
        <v>0</v>
      </c>
      <c r="AD333" s="4">
        <f>$O$333*$X$333</f>
        <v>0</v>
      </c>
      <c r="AE333" s="4">
        <f ca="1">$K$333*$Y$333</f>
        <v>1238.3990295784647</v>
      </c>
      <c r="AF333" s="4">
        <f>$M$333*$Z$333</f>
        <v>0</v>
      </c>
      <c r="AG333" s="4">
        <f>$O$333*$AA$333</f>
        <v>0</v>
      </c>
    </row>
    <row r="334" spans="1:33" ht="11.25" customHeight="1" x14ac:dyDescent="0.25">
      <c r="A334" s="3" t="s">
        <v>21</v>
      </c>
      <c r="B334" s="3" t="s">
        <v>35</v>
      </c>
      <c r="C334" s="3" t="s">
        <v>36</v>
      </c>
      <c r="D334" s="3" t="s">
        <v>46</v>
      </c>
      <c r="E334" s="3" t="s">
        <v>47</v>
      </c>
      <c r="F334" s="3" t="s">
        <v>25</v>
      </c>
      <c r="G334" s="3" t="s">
        <v>25</v>
      </c>
      <c r="H334" s="3" t="s">
        <v>25</v>
      </c>
      <c r="I334" s="6">
        <v>44531</v>
      </c>
      <c r="J334" s="4">
        <v>60</v>
      </c>
      <c r="K334" s="53">
        <v>60</v>
      </c>
      <c r="L334" s="4">
        <v>0</v>
      </c>
      <c r="M334" s="54">
        <v>0</v>
      </c>
      <c r="N334" s="4">
        <v>0</v>
      </c>
      <c r="O334" s="54">
        <v>0</v>
      </c>
      <c r="P334" s="4">
        <v>1</v>
      </c>
      <c r="Q334" s="3" t="s">
        <v>26</v>
      </c>
      <c r="R334" s="3">
        <v>0</v>
      </c>
      <c r="S334" s="4">
        <v>9</v>
      </c>
      <c r="T334" s="4">
        <v>0</v>
      </c>
      <c r="U334" s="4">
        <v>0</v>
      </c>
      <c r="V334" s="54">
        <f>IF(ISERROR(VLOOKUP($S$334,'TAR FIN'!$A$1:$O$91,15,0)),0,VLOOKUP($S$334,'TAR FIN'!$A$1:$O$91,15,0))*(1-0.06)</f>
        <v>17.060999999999996</v>
      </c>
      <c r="W334" s="54">
        <f>IF(ISERROR(VLOOKUP($T$334,'TAR FIN'!$A$1:$O$91,15,0)),0,VLOOKUP($T$334,'TAR FIN'!$A$1:$O$91,15,0))</f>
        <v>0</v>
      </c>
      <c r="X334" s="54">
        <f>IF(ISERROR(VLOOKUP($U$334,'TAR FIN'!$A$1:$O$91,15,0)),0,VLOOKUP($U$334,'TAR FIN'!$A$1:$O$91,15,0))</f>
        <v>0</v>
      </c>
      <c r="Y334" s="54">
        <f ca="1">('TUSD BE'!$AM$13+'TUSD BF'!$AM$13+'TUSD CVA'!$AM$13)*1*(1-0.03)</f>
        <v>20.639983826307745</v>
      </c>
      <c r="Z334" s="54"/>
      <c r="AA334" s="54"/>
      <c r="AB334" s="4">
        <f>$K$334*$V$334</f>
        <v>1023.6599999999997</v>
      </c>
      <c r="AC334" s="4">
        <f>$M$334*$W$334</f>
        <v>0</v>
      </c>
      <c r="AD334" s="4">
        <f>$O$334*$X$334</f>
        <v>0</v>
      </c>
      <c r="AE334" s="4">
        <f ca="1">$K$334*$Y$334</f>
        <v>1238.3990295784647</v>
      </c>
      <c r="AF334" s="4">
        <f>$M$334*$Z$334</f>
        <v>0</v>
      </c>
      <c r="AG334" s="4">
        <f>$O$334*$AA$334</f>
        <v>0</v>
      </c>
    </row>
    <row r="335" spans="1:33" ht="11.25" customHeight="1" x14ac:dyDescent="0.25">
      <c r="A335" s="3" t="s">
        <v>21</v>
      </c>
      <c r="B335" s="3" t="s">
        <v>35</v>
      </c>
      <c r="C335" s="3" t="s">
        <v>36</v>
      </c>
      <c r="D335" s="3" t="s">
        <v>46</v>
      </c>
      <c r="E335" s="3" t="s">
        <v>47</v>
      </c>
      <c r="F335" s="3" t="s">
        <v>25</v>
      </c>
      <c r="G335" s="3" t="s">
        <v>25</v>
      </c>
      <c r="H335" s="3" t="s">
        <v>25</v>
      </c>
      <c r="I335" s="6">
        <v>44562</v>
      </c>
      <c r="J335" s="4">
        <v>60</v>
      </c>
      <c r="K335" s="53">
        <v>60</v>
      </c>
      <c r="L335" s="4">
        <v>0</v>
      </c>
      <c r="M335" s="54">
        <v>0</v>
      </c>
      <c r="N335" s="4">
        <v>0</v>
      </c>
      <c r="O335" s="54">
        <v>0</v>
      </c>
      <c r="P335" s="4">
        <v>1</v>
      </c>
      <c r="Q335" s="3" t="s">
        <v>26</v>
      </c>
      <c r="R335" s="3">
        <v>0</v>
      </c>
      <c r="S335" s="4">
        <v>9</v>
      </c>
      <c r="T335" s="4">
        <v>0</v>
      </c>
      <c r="U335" s="4">
        <v>0</v>
      </c>
      <c r="V335" s="54">
        <f>IF(ISERROR(VLOOKUP($S$335,'TAR FIN'!$A$1:$O$91,15,0)),0,VLOOKUP($S$335,'TAR FIN'!$A$1:$O$91,15,0))*(1-0.06)</f>
        <v>17.060999999999996</v>
      </c>
      <c r="W335" s="54">
        <f>IF(ISERROR(VLOOKUP($T$335,'TAR FIN'!$A$1:$O$91,15,0)),0,VLOOKUP($T$335,'TAR FIN'!$A$1:$O$91,15,0))</f>
        <v>0</v>
      </c>
      <c r="X335" s="54">
        <f>IF(ISERROR(VLOOKUP($U$335,'TAR FIN'!$A$1:$O$91,15,0)),0,VLOOKUP($U$335,'TAR FIN'!$A$1:$O$91,15,0))</f>
        <v>0</v>
      </c>
      <c r="Y335" s="54">
        <f ca="1">('TUSD BE'!$AM$13+'TUSD BF'!$AM$13+'TUSD CVA'!$AM$13)*1*(1-0.03)</f>
        <v>20.639983826307745</v>
      </c>
      <c r="Z335" s="54"/>
      <c r="AA335" s="54"/>
      <c r="AB335" s="4">
        <f>$K$335*$V$335</f>
        <v>1023.6599999999997</v>
      </c>
      <c r="AC335" s="4">
        <f>$M$335*$W$335</f>
        <v>0</v>
      </c>
      <c r="AD335" s="4">
        <f>$O$335*$X$335</f>
        <v>0</v>
      </c>
      <c r="AE335" s="4">
        <f ca="1">$K$335*$Y$335</f>
        <v>1238.3990295784647</v>
      </c>
      <c r="AF335" s="4">
        <f>$M$335*$Z$335</f>
        <v>0</v>
      </c>
      <c r="AG335" s="4">
        <f>$O$335*$AA$335</f>
        <v>0</v>
      </c>
    </row>
    <row r="336" spans="1:33" ht="11.25" customHeight="1" x14ac:dyDescent="0.25">
      <c r="A336" s="3" t="s">
        <v>21</v>
      </c>
      <c r="B336" s="3" t="s">
        <v>35</v>
      </c>
      <c r="C336" s="3" t="s">
        <v>36</v>
      </c>
      <c r="D336" s="3" t="s">
        <v>46</v>
      </c>
      <c r="E336" s="3" t="s">
        <v>47</v>
      </c>
      <c r="F336" s="3" t="s">
        <v>25</v>
      </c>
      <c r="G336" s="3" t="s">
        <v>25</v>
      </c>
      <c r="H336" s="3" t="s">
        <v>25</v>
      </c>
      <c r="I336" s="6">
        <v>44593</v>
      </c>
      <c r="J336" s="4">
        <v>60</v>
      </c>
      <c r="K336" s="53">
        <v>60</v>
      </c>
      <c r="L336" s="4">
        <v>0</v>
      </c>
      <c r="M336" s="54">
        <v>0</v>
      </c>
      <c r="N336" s="4">
        <v>0</v>
      </c>
      <c r="O336" s="54">
        <v>0</v>
      </c>
      <c r="P336" s="4">
        <v>1</v>
      </c>
      <c r="Q336" s="3" t="s">
        <v>26</v>
      </c>
      <c r="R336" s="3">
        <v>0</v>
      </c>
      <c r="S336" s="4">
        <v>9</v>
      </c>
      <c r="T336" s="4">
        <v>0</v>
      </c>
      <c r="U336" s="4">
        <v>0</v>
      </c>
      <c r="V336" s="54">
        <f>IF(ISERROR(VLOOKUP($S$336,'TAR FIN'!$A$1:$O$91,15,0)),0,VLOOKUP($S$336,'TAR FIN'!$A$1:$O$91,15,0))*(1-0.06)</f>
        <v>17.060999999999996</v>
      </c>
      <c r="W336" s="54">
        <f>IF(ISERROR(VLOOKUP($T$336,'TAR FIN'!$A$1:$O$91,15,0)),0,VLOOKUP($T$336,'TAR FIN'!$A$1:$O$91,15,0))</f>
        <v>0</v>
      </c>
      <c r="X336" s="54">
        <f>IF(ISERROR(VLOOKUP($U$336,'TAR FIN'!$A$1:$O$91,15,0)),0,VLOOKUP($U$336,'TAR FIN'!$A$1:$O$91,15,0))</f>
        <v>0</v>
      </c>
      <c r="Y336" s="54">
        <f ca="1">('TUSD BE'!$AM$13+'TUSD BF'!$AM$13+'TUSD CVA'!$AM$13)*1*(1-0.03)</f>
        <v>20.639983826307745</v>
      </c>
      <c r="Z336" s="54"/>
      <c r="AA336" s="54"/>
      <c r="AB336" s="4">
        <f>$K$336*$V$336</f>
        <v>1023.6599999999997</v>
      </c>
      <c r="AC336" s="4">
        <f>$M$336*$W$336</f>
        <v>0</v>
      </c>
      <c r="AD336" s="4">
        <f>$O$336*$X$336</f>
        <v>0</v>
      </c>
      <c r="AE336" s="4">
        <f ca="1">$K$336*$Y$336</f>
        <v>1238.3990295784647</v>
      </c>
      <c r="AF336" s="4">
        <f>$M$336*$Z$336</f>
        <v>0</v>
      </c>
      <c r="AG336" s="4">
        <f>$O$336*$AA$336</f>
        <v>0</v>
      </c>
    </row>
    <row r="337" spans="1:33" ht="11.25" customHeight="1" x14ac:dyDescent="0.25">
      <c r="A337" s="3" t="s">
        <v>21</v>
      </c>
      <c r="B337" s="3" t="s">
        <v>35</v>
      </c>
      <c r="C337" s="3" t="s">
        <v>36</v>
      </c>
      <c r="D337" s="3" t="s">
        <v>46</v>
      </c>
      <c r="E337" s="3" t="s">
        <v>47</v>
      </c>
      <c r="F337" s="3" t="s">
        <v>25</v>
      </c>
      <c r="G337" s="3" t="s">
        <v>25</v>
      </c>
      <c r="H337" s="3" t="s">
        <v>25</v>
      </c>
      <c r="I337" s="6">
        <v>44621</v>
      </c>
      <c r="J337" s="4">
        <v>60</v>
      </c>
      <c r="K337" s="53">
        <v>60</v>
      </c>
      <c r="L337" s="4">
        <v>0</v>
      </c>
      <c r="M337" s="54">
        <v>0</v>
      </c>
      <c r="N337" s="4">
        <v>0</v>
      </c>
      <c r="O337" s="54">
        <v>0</v>
      </c>
      <c r="P337" s="4">
        <v>1</v>
      </c>
      <c r="Q337" s="3" t="s">
        <v>26</v>
      </c>
      <c r="R337" s="3">
        <v>0</v>
      </c>
      <c r="S337" s="4">
        <v>9</v>
      </c>
      <c r="T337" s="4">
        <v>0</v>
      </c>
      <c r="U337" s="4">
        <v>0</v>
      </c>
      <c r="V337" s="54">
        <f>IF(ISERROR(VLOOKUP($S$337,'TAR FIN'!$A$1:$O$91,15,0)),0,VLOOKUP($S$337,'TAR FIN'!$A$1:$O$91,15,0))*(1-0.06)</f>
        <v>17.060999999999996</v>
      </c>
      <c r="W337" s="54">
        <f>IF(ISERROR(VLOOKUP($T$337,'TAR FIN'!$A$1:$O$91,15,0)),0,VLOOKUP($T$337,'TAR FIN'!$A$1:$O$91,15,0))</f>
        <v>0</v>
      </c>
      <c r="X337" s="54">
        <f>IF(ISERROR(VLOOKUP($U$337,'TAR FIN'!$A$1:$O$91,15,0)),0,VLOOKUP($U$337,'TAR FIN'!$A$1:$O$91,15,0))</f>
        <v>0</v>
      </c>
      <c r="Y337" s="54">
        <f ca="1">('TUSD BE'!$AM$13+'TUSD BF'!$AM$13+'TUSD CVA'!$AM$13)*1*(1-0.03)</f>
        <v>20.639983826307745</v>
      </c>
      <c r="Z337" s="54"/>
      <c r="AA337" s="54"/>
      <c r="AB337" s="4">
        <f>$K$337*$V$337</f>
        <v>1023.6599999999997</v>
      </c>
      <c r="AC337" s="4">
        <f>$M$337*$W$337</f>
        <v>0</v>
      </c>
      <c r="AD337" s="4">
        <f>$O$337*$X$337</f>
        <v>0</v>
      </c>
      <c r="AE337" s="4">
        <f ca="1">$K$337*$Y$337</f>
        <v>1238.3990295784647</v>
      </c>
      <c r="AF337" s="4">
        <f>$M$337*$Z$337</f>
        <v>0</v>
      </c>
      <c r="AG337" s="4">
        <f>$O$337*$AA$337</f>
        <v>0</v>
      </c>
    </row>
    <row r="338" spans="1:33" ht="11.25" customHeight="1" x14ac:dyDescent="0.25">
      <c r="A338" s="3" t="s">
        <v>21</v>
      </c>
      <c r="B338" s="3" t="s">
        <v>35</v>
      </c>
      <c r="C338" s="3" t="s">
        <v>36</v>
      </c>
      <c r="D338" s="3" t="s">
        <v>46</v>
      </c>
      <c r="E338" s="3" t="s">
        <v>47</v>
      </c>
      <c r="F338" s="3" t="s">
        <v>25</v>
      </c>
      <c r="G338" s="3" t="s">
        <v>25</v>
      </c>
      <c r="H338" s="3" t="s">
        <v>25</v>
      </c>
      <c r="I338" s="6">
        <v>44652</v>
      </c>
      <c r="J338" s="4">
        <v>60</v>
      </c>
      <c r="K338" s="53">
        <v>60</v>
      </c>
      <c r="L338" s="4">
        <v>0</v>
      </c>
      <c r="M338" s="54">
        <v>0</v>
      </c>
      <c r="N338" s="4">
        <v>0</v>
      </c>
      <c r="O338" s="54">
        <v>0</v>
      </c>
      <c r="P338" s="4">
        <v>1</v>
      </c>
      <c r="Q338" s="3" t="s">
        <v>26</v>
      </c>
      <c r="R338" s="3">
        <v>0</v>
      </c>
      <c r="S338" s="4">
        <v>9</v>
      </c>
      <c r="T338" s="4">
        <v>0</v>
      </c>
      <c r="U338" s="4">
        <v>0</v>
      </c>
      <c r="V338" s="54">
        <f>IF(ISERROR(VLOOKUP($S$338,'TAR FIN'!$A$1:$O$91,15,0)),0,VLOOKUP($S$338,'TAR FIN'!$A$1:$O$91,15,0))*(1-0.06)</f>
        <v>17.060999999999996</v>
      </c>
      <c r="W338" s="54">
        <f>IF(ISERROR(VLOOKUP($T$338,'TAR FIN'!$A$1:$O$91,15,0)),0,VLOOKUP($T$338,'TAR FIN'!$A$1:$O$91,15,0))</f>
        <v>0</v>
      </c>
      <c r="X338" s="54">
        <f>IF(ISERROR(VLOOKUP($U$338,'TAR FIN'!$A$1:$O$91,15,0)),0,VLOOKUP($U$338,'TAR FIN'!$A$1:$O$91,15,0))</f>
        <v>0</v>
      </c>
      <c r="Y338" s="54">
        <f ca="1">('TUSD BE'!$AM$13+'TUSD BF'!$AM$13+'TUSD CVA'!$AM$13)*1*(1-0.03)</f>
        <v>20.639983826307745</v>
      </c>
      <c r="Z338" s="54"/>
      <c r="AA338" s="54"/>
      <c r="AB338" s="4">
        <f>$K$338*$V$338</f>
        <v>1023.6599999999997</v>
      </c>
      <c r="AC338" s="4">
        <f>$M$338*$W$338</f>
        <v>0</v>
      </c>
      <c r="AD338" s="4">
        <f>$O$338*$X$338</f>
        <v>0</v>
      </c>
      <c r="AE338" s="4">
        <f ca="1">$K$338*$Y$338</f>
        <v>1238.3990295784647</v>
      </c>
      <c r="AF338" s="4">
        <f>$M$338*$Z$338</f>
        <v>0</v>
      </c>
      <c r="AG338" s="4">
        <f>$O$338*$AA$338</f>
        <v>0</v>
      </c>
    </row>
    <row r="339" spans="1:33" ht="11.25" customHeight="1" x14ac:dyDescent="0.25">
      <c r="A339" s="3" t="s">
        <v>21</v>
      </c>
      <c r="B339" s="3" t="s">
        <v>35</v>
      </c>
      <c r="C339" s="3" t="s">
        <v>36</v>
      </c>
      <c r="D339" s="3" t="s">
        <v>46</v>
      </c>
      <c r="E339" s="3" t="s">
        <v>47</v>
      </c>
      <c r="F339" s="3" t="s">
        <v>25</v>
      </c>
      <c r="G339" s="3" t="s">
        <v>25</v>
      </c>
      <c r="H339" s="3" t="s">
        <v>25</v>
      </c>
      <c r="I339" s="6">
        <v>44682</v>
      </c>
      <c r="J339" s="4">
        <v>60</v>
      </c>
      <c r="K339" s="53">
        <v>60</v>
      </c>
      <c r="L339" s="4">
        <v>0</v>
      </c>
      <c r="M339" s="54">
        <v>0</v>
      </c>
      <c r="N339" s="4">
        <v>0</v>
      </c>
      <c r="O339" s="54">
        <v>0</v>
      </c>
      <c r="P339" s="4">
        <v>1</v>
      </c>
      <c r="Q339" s="3" t="s">
        <v>26</v>
      </c>
      <c r="R339" s="3">
        <v>0</v>
      </c>
      <c r="S339" s="4">
        <v>9</v>
      </c>
      <c r="T339" s="4">
        <v>0</v>
      </c>
      <c r="U339" s="4">
        <v>0</v>
      </c>
      <c r="V339" s="54">
        <f>IF(ISERROR(VLOOKUP($S$339,'TAR FIN'!$A$1:$O$91,15,0)),0,VLOOKUP($S$339,'TAR FIN'!$A$1:$O$91,15,0))*(1-0.06)</f>
        <v>17.060999999999996</v>
      </c>
      <c r="W339" s="54">
        <f>IF(ISERROR(VLOOKUP($T$339,'TAR FIN'!$A$1:$O$91,15,0)),0,VLOOKUP($T$339,'TAR FIN'!$A$1:$O$91,15,0))</f>
        <v>0</v>
      </c>
      <c r="X339" s="54">
        <f>IF(ISERROR(VLOOKUP($U$339,'TAR FIN'!$A$1:$O$91,15,0)),0,VLOOKUP($U$339,'TAR FIN'!$A$1:$O$91,15,0))</f>
        <v>0</v>
      </c>
      <c r="Y339" s="54">
        <f ca="1">('TUSD BE'!$AM$13+'TUSD BF'!$AM$13+'TUSD CVA'!$AM$13)*1*(1-0.03)</f>
        <v>20.639983826307745</v>
      </c>
      <c r="Z339" s="54"/>
      <c r="AA339" s="54"/>
      <c r="AB339" s="4">
        <f>$K$339*$V$339</f>
        <v>1023.6599999999997</v>
      </c>
      <c r="AC339" s="4">
        <f>$M$339*$W$339</f>
        <v>0</v>
      </c>
      <c r="AD339" s="4">
        <f>$O$339*$X$339</f>
        <v>0</v>
      </c>
      <c r="AE339" s="4">
        <f ca="1">$K$339*$Y$339</f>
        <v>1238.3990295784647</v>
      </c>
      <c r="AF339" s="4">
        <f>$M$339*$Z$339</f>
        <v>0</v>
      </c>
      <c r="AG339" s="4">
        <f>$O$339*$AA$339</f>
        <v>0</v>
      </c>
    </row>
    <row r="340" spans="1:33" ht="11.25" customHeight="1" x14ac:dyDescent="0.25">
      <c r="A340" s="3" t="s">
        <v>21</v>
      </c>
      <c r="B340" s="3" t="s">
        <v>35</v>
      </c>
      <c r="C340" s="3" t="s">
        <v>36</v>
      </c>
      <c r="D340" s="3" t="s">
        <v>46</v>
      </c>
      <c r="E340" s="3" t="s">
        <v>47</v>
      </c>
      <c r="F340" s="3" t="s">
        <v>25</v>
      </c>
      <c r="G340" s="3" t="s">
        <v>25</v>
      </c>
      <c r="H340" s="3" t="s">
        <v>25</v>
      </c>
      <c r="I340" s="6">
        <v>44713</v>
      </c>
      <c r="J340" s="4">
        <v>60</v>
      </c>
      <c r="K340" s="53">
        <v>60</v>
      </c>
      <c r="L340" s="4">
        <v>0</v>
      </c>
      <c r="M340" s="54">
        <v>0</v>
      </c>
      <c r="N340" s="4">
        <v>0</v>
      </c>
      <c r="O340" s="54">
        <v>0</v>
      </c>
      <c r="P340" s="4">
        <v>1</v>
      </c>
      <c r="Q340" s="3" t="s">
        <v>26</v>
      </c>
      <c r="R340" s="3">
        <v>0</v>
      </c>
      <c r="S340" s="4">
        <v>9</v>
      </c>
      <c r="T340" s="4">
        <v>0</v>
      </c>
      <c r="U340" s="4">
        <v>0</v>
      </c>
      <c r="V340" s="54">
        <f>IF(ISERROR(VLOOKUP($S$340,'TAR FIN'!$A$1:$O$91,15,0)),0,VLOOKUP($S$340,'TAR FIN'!$A$1:$O$91,15,0))*(1-0.06)</f>
        <v>17.060999999999996</v>
      </c>
      <c r="W340" s="54">
        <f>IF(ISERROR(VLOOKUP($T$340,'TAR FIN'!$A$1:$O$91,15,0)),0,VLOOKUP($T$340,'TAR FIN'!$A$1:$O$91,15,0))</f>
        <v>0</v>
      </c>
      <c r="X340" s="54">
        <f>IF(ISERROR(VLOOKUP($U$340,'TAR FIN'!$A$1:$O$91,15,0)),0,VLOOKUP($U$340,'TAR FIN'!$A$1:$O$91,15,0))</f>
        <v>0</v>
      </c>
      <c r="Y340" s="54">
        <f ca="1">('TUSD BE'!$AM$13+'TUSD BF'!$AM$13+'TUSD CVA'!$AM$13)*1*(1-0.03)</f>
        <v>20.639983826307745</v>
      </c>
      <c r="Z340" s="54"/>
      <c r="AA340" s="54"/>
      <c r="AB340" s="4">
        <f>$K$340*$V$340</f>
        <v>1023.6599999999997</v>
      </c>
      <c r="AC340" s="4">
        <f>$M$340*$W$340</f>
        <v>0</v>
      </c>
      <c r="AD340" s="4">
        <f>$O$340*$X$340</f>
        <v>0</v>
      </c>
      <c r="AE340" s="4">
        <f ca="1">$K$340*$Y$340</f>
        <v>1238.3990295784647</v>
      </c>
      <c r="AF340" s="4">
        <f>$M$340*$Z$340</f>
        <v>0</v>
      </c>
      <c r="AG340" s="4">
        <f>$O$340*$AA$340</f>
        <v>0</v>
      </c>
    </row>
    <row r="341" spans="1:33" ht="11.25" customHeight="1" x14ac:dyDescent="0.25">
      <c r="A341" s="3" t="s">
        <v>21</v>
      </c>
      <c r="B341" s="3" t="s">
        <v>35</v>
      </c>
      <c r="C341" s="3" t="s">
        <v>36</v>
      </c>
      <c r="D341" s="3" t="s">
        <v>46</v>
      </c>
      <c r="E341" s="3" t="s">
        <v>47</v>
      </c>
      <c r="F341" s="3" t="s">
        <v>25</v>
      </c>
      <c r="G341" s="3" t="s">
        <v>25</v>
      </c>
      <c r="H341" s="3" t="s">
        <v>25</v>
      </c>
      <c r="I341" s="6">
        <v>44743</v>
      </c>
      <c r="J341" s="4">
        <v>60</v>
      </c>
      <c r="K341" s="53">
        <v>60</v>
      </c>
      <c r="L341" s="4">
        <v>0</v>
      </c>
      <c r="M341" s="54">
        <v>0</v>
      </c>
      <c r="N341" s="4">
        <v>0</v>
      </c>
      <c r="O341" s="54">
        <v>0</v>
      </c>
      <c r="P341" s="4">
        <v>1</v>
      </c>
      <c r="Q341" s="3" t="s">
        <v>26</v>
      </c>
      <c r="R341" s="3">
        <v>0</v>
      </c>
      <c r="S341" s="4">
        <v>9</v>
      </c>
      <c r="T341" s="4">
        <v>0</v>
      </c>
      <c r="U341" s="4">
        <v>0</v>
      </c>
      <c r="V341" s="54">
        <f>IF(ISERROR(VLOOKUP($S$341,'TAR FIN'!$A$1:$O$91,15,0)),0,VLOOKUP($S$341,'TAR FIN'!$A$1:$O$91,15,0))*(1-0.06)</f>
        <v>17.060999999999996</v>
      </c>
      <c r="W341" s="54">
        <f>IF(ISERROR(VLOOKUP($T$341,'TAR FIN'!$A$1:$O$91,15,0)),0,VLOOKUP($T$341,'TAR FIN'!$A$1:$O$91,15,0))</f>
        <v>0</v>
      </c>
      <c r="X341" s="54">
        <f>IF(ISERROR(VLOOKUP($U$341,'TAR FIN'!$A$1:$O$91,15,0)),0,VLOOKUP($U$341,'TAR FIN'!$A$1:$O$91,15,0))</f>
        <v>0</v>
      </c>
      <c r="Y341" s="54">
        <f ca="1">('TUSD BE'!$AM$13+'TUSD BF'!$AM$13+'TUSD CVA'!$AM$13)*1*(1-0.03)</f>
        <v>20.639983826307745</v>
      </c>
      <c r="Z341" s="54"/>
      <c r="AA341" s="54"/>
      <c r="AB341" s="4">
        <f>$K$341*$V$341</f>
        <v>1023.6599999999997</v>
      </c>
      <c r="AC341" s="4">
        <f>$M$341*$W$341</f>
        <v>0</v>
      </c>
      <c r="AD341" s="4">
        <f>$O$341*$X$341</f>
        <v>0</v>
      </c>
      <c r="AE341" s="4">
        <f ca="1">$K$341*$Y$341</f>
        <v>1238.3990295784647</v>
      </c>
      <c r="AF341" s="4">
        <f>$M$341*$Z$341</f>
        <v>0</v>
      </c>
      <c r="AG341" s="4">
        <f>$O$341*$AA$341</f>
        <v>0</v>
      </c>
    </row>
    <row r="342" spans="1:33" ht="11.25" customHeight="1" x14ac:dyDescent="0.25">
      <c r="A342" s="3" t="s">
        <v>21</v>
      </c>
      <c r="B342" s="3" t="s">
        <v>35</v>
      </c>
      <c r="C342" s="3" t="s">
        <v>36</v>
      </c>
      <c r="D342" s="3" t="s">
        <v>46</v>
      </c>
      <c r="E342" s="3" t="s">
        <v>47</v>
      </c>
      <c r="F342" s="3" t="s">
        <v>25</v>
      </c>
      <c r="G342" s="3" t="s">
        <v>25</v>
      </c>
      <c r="H342" s="3" t="s">
        <v>25</v>
      </c>
      <c r="I342" s="6">
        <v>44774</v>
      </c>
      <c r="J342" s="4">
        <v>60</v>
      </c>
      <c r="K342" s="53">
        <v>60</v>
      </c>
      <c r="L342" s="4">
        <v>0</v>
      </c>
      <c r="M342" s="54">
        <v>0</v>
      </c>
      <c r="N342" s="4">
        <v>0</v>
      </c>
      <c r="O342" s="54">
        <v>0</v>
      </c>
      <c r="P342" s="4">
        <v>1</v>
      </c>
      <c r="Q342" s="3" t="s">
        <v>26</v>
      </c>
      <c r="R342" s="3">
        <v>0</v>
      </c>
      <c r="S342" s="4">
        <v>9</v>
      </c>
      <c r="T342" s="4">
        <v>0</v>
      </c>
      <c r="U342" s="4">
        <v>0</v>
      </c>
      <c r="V342" s="54">
        <f>IF(ISERROR(VLOOKUP($S$342,'TAR FIN'!$A$1:$O$91,15,0)),0,VLOOKUP($S$342,'TAR FIN'!$A$1:$O$91,15,0))*(1-0.06)</f>
        <v>17.060999999999996</v>
      </c>
      <c r="W342" s="54">
        <f>IF(ISERROR(VLOOKUP($T$342,'TAR FIN'!$A$1:$O$91,15,0)),0,VLOOKUP($T$342,'TAR FIN'!$A$1:$O$91,15,0))</f>
        <v>0</v>
      </c>
      <c r="X342" s="54">
        <f>IF(ISERROR(VLOOKUP($U$342,'TAR FIN'!$A$1:$O$91,15,0)),0,VLOOKUP($U$342,'TAR FIN'!$A$1:$O$91,15,0))</f>
        <v>0</v>
      </c>
      <c r="Y342" s="54">
        <f ca="1">('TUSD BE'!$AM$13+'TUSD BF'!$AM$13+'TUSD CVA'!$AM$13)*1*(1-0.03)</f>
        <v>20.639983826307745</v>
      </c>
      <c r="Z342" s="54"/>
      <c r="AA342" s="54"/>
      <c r="AB342" s="4">
        <f>$K$342*$V$342</f>
        <v>1023.6599999999997</v>
      </c>
      <c r="AC342" s="4">
        <f>$M$342*$W$342</f>
        <v>0</v>
      </c>
      <c r="AD342" s="4">
        <f>$O$342*$X$342</f>
        <v>0</v>
      </c>
      <c r="AE342" s="4">
        <f ca="1">$K$342*$Y$342</f>
        <v>1238.3990295784647</v>
      </c>
      <c r="AF342" s="4">
        <f>$M$342*$Z$342</f>
        <v>0</v>
      </c>
      <c r="AG342" s="4">
        <f>$O$342*$AA$342</f>
        <v>0</v>
      </c>
    </row>
    <row r="343" spans="1:33" ht="11.25" customHeight="1" x14ac:dyDescent="0.25">
      <c r="A343" s="3" t="s">
        <v>21</v>
      </c>
      <c r="B343" s="3" t="s">
        <v>35</v>
      </c>
      <c r="C343" s="3" t="s">
        <v>36</v>
      </c>
      <c r="D343" s="3" t="s">
        <v>46</v>
      </c>
      <c r="E343" s="3" t="s">
        <v>47</v>
      </c>
      <c r="F343" s="3" t="s">
        <v>25</v>
      </c>
      <c r="G343" s="3" t="s">
        <v>25</v>
      </c>
      <c r="H343" s="3" t="s">
        <v>37</v>
      </c>
      <c r="I343" s="6">
        <v>44440</v>
      </c>
      <c r="J343" s="4">
        <v>0</v>
      </c>
      <c r="K343" s="54">
        <v>0</v>
      </c>
      <c r="L343" s="4">
        <v>3.8220000000000001</v>
      </c>
      <c r="M343" s="54">
        <v>3.8220000000000001</v>
      </c>
      <c r="N343" s="4">
        <v>3.8220000000000001</v>
      </c>
      <c r="O343" s="54">
        <v>3.8220000000000001</v>
      </c>
      <c r="P343" s="4">
        <v>0</v>
      </c>
      <c r="Q343" s="3" t="s">
        <v>26</v>
      </c>
      <c r="R343" s="3">
        <v>0</v>
      </c>
      <c r="S343" s="4">
        <v>0</v>
      </c>
      <c r="T343" s="4">
        <v>10</v>
      </c>
      <c r="U343" s="4">
        <v>77</v>
      </c>
      <c r="V343" s="54">
        <f>IF(ISERROR(VLOOKUP($S$343,'TAR FIN'!$A$1:$O$91,15,0)),0,VLOOKUP($S$343,'TAR FIN'!$A$1:$O$91,15,0))</f>
        <v>0</v>
      </c>
      <c r="W343" s="54">
        <f>IF(ISERROR(VLOOKUP($T$343,'TAR FIN'!$A$1:$O$91,15,0)),0,VLOOKUP($T$343,'TAR FIN'!$A$1:$O$91,15,0))*(1-0.06)</f>
        <v>1340.5245999999997</v>
      </c>
      <c r="X343" s="54">
        <f>IF(ISERROR(VLOOKUP($U$343,'TAR FIN'!$A$1:$O$91,15,0)),0,VLOOKUP($U$343,'TAR FIN'!$A$1:$O$91,15,0))*(1-0.06)</f>
        <v>234.29499999999999</v>
      </c>
      <c r="Y343" s="54"/>
      <c r="Z343" s="54">
        <f ca="1">('TUSD BE'!$AM$14+'TUSD BF'!$AM$14+'TUSD CVA'!$AM$14)*1*(1-0.03)</f>
        <v>1644.7541908022699</v>
      </c>
      <c r="AA343" s="54">
        <f>('TE BE'!$AB$5+'TE BF'!$AB$5+'TE CVA'!$AB$5)*1*(1-0.03)</f>
        <v>197.28126009827187</v>
      </c>
      <c r="AB343" s="4">
        <f>$K$343*$V$343</f>
        <v>0</v>
      </c>
      <c r="AC343" s="4">
        <f>$M$343*$W$343</f>
        <v>5123.4850211999992</v>
      </c>
      <c r="AD343" s="4">
        <f>$O$343*$X$343</f>
        <v>895.47548999999992</v>
      </c>
      <c r="AE343" s="4">
        <f>$K$343*$Y$343</f>
        <v>0</v>
      </c>
      <c r="AF343" s="4">
        <f ca="1">$M$343*$Z$343</f>
        <v>6286.2505172462761</v>
      </c>
      <c r="AG343" s="4">
        <f>$O$343*$AA$343</f>
        <v>754.00897609559513</v>
      </c>
    </row>
    <row r="344" spans="1:33" ht="11.25" customHeight="1" x14ac:dyDescent="0.25">
      <c r="A344" s="3" t="s">
        <v>21</v>
      </c>
      <c r="B344" s="3" t="s">
        <v>35</v>
      </c>
      <c r="C344" s="3" t="s">
        <v>36</v>
      </c>
      <c r="D344" s="3" t="s">
        <v>46</v>
      </c>
      <c r="E344" s="3" t="s">
        <v>47</v>
      </c>
      <c r="F344" s="3" t="s">
        <v>25</v>
      </c>
      <c r="G344" s="3" t="s">
        <v>25</v>
      </c>
      <c r="H344" s="3" t="s">
        <v>37</v>
      </c>
      <c r="I344" s="6">
        <v>44470</v>
      </c>
      <c r="J344" s="4">
        <v>0</v>
      </c>
      <c r="K344" s="54">
        <v>0</v>
      </c>
      <c r="L344" s="4">
        <v>2.3199999999999998</v>
      </c>
      <c r="M344" s="54">
        <v>2.3199999999999998</v>
      </c>
      <c r="N344" s="4">
        <v>2.3199999999999998</v>
      </c>
      <c r="O344" s="54">
        <v>2.3199999999999998</v>
      </c>
      <c r="P344" s="4">
        <v>0</v>
      </c>
      <c r="Q344" s="3" t="s">
        <v>26</v>
      </c>
      <c r="R344" s="3">
        <v>0</v>
      </c>
      <c r="S344" s="4">
        <v>0</v>
      </c>
      <c r="T344" s="4">
        <v>10</v>
      </c>
      <c r="U344" s="4">
        <v>77</v>
      </c>
      <c r="V344" s="54">
        <f>IF(ISERROR(VLOOKUP($S$344,'TAR FIN'!$A$1:$O$91,15,0)),0,VLOOKUP($S$344,'TAR FIN'!$A$1:$O$91,15,0))</f>
        <v>0</v>
      </c>
      <c r="W344" s="54">
        <f>IF(ISERROR(VLOOKUP($T$344,'TAR FIN'!$A$1:$O$91,15,0)),0,VLOOKUP($T$344,'TAR FIN'!$A$1:$O$91,15,0))*(1-0.06)</f>
        <v>1340.5245999999997</v>
      </c>
      <c r="X344" s="54">
        <f>IF(ISERROR(VLOOKUP($U$344,'TAR FIN'!$A$1:$O$91,15,0)),0,VLOOKUP($U$344,'TAR FIN'!$A$1:$O$91,15,0))*(1-0.06)</f>
        <v>234.29499999999999</v>
      </c>
      <c r="Y344" s="54"/>
      <c r="Z344" s="54">
        <f ca="1">('TUSD BE'!$AM$14+'TUSD BF'!$AM$14+'TUSD CVA'!$AM$14)*1*(1-0.03)</f>
        <v>1644.7541908022699</v>
      </c>
      <c r="AA344" s="54">
        <f>('TE BE'!$AB$5+'TE BF'!$AB$5+'TE CVA'!$AB$5)*1*(1-0.03)</f>
        <v>197.28126009827187</v>
      </c>
      <c r="AB344" s="4">
        <f>$K$344*$V$344</f>
        <v>0</v>
      </c>
      <c r="AC344" s="4">
        <f>$M$344*$W$344</f>
        <v>3110.0170719999992</v>
      </c>
      <c r="AD344" s="4">
        <f>$O$344*$X$344</f>
        <v>543.56439999999998</v>
      </c>
      <c r="AE344" s="4">
        <f>$K$344*$Y$344</f>
        <v>0</v>
      </c>
      <c r="AF344" s="4">
        <f ca="1">$M$344*$Z$344</f>
        <v>3815.8297226612658</v>
      </c>
      <c r="AG344" s="4">
        <f>$O$344*$AA$344</f>
        <v>457.69252342799069</v>
      </c>
    </row>
    <row r="345" spans="1:33" ht="11.25" customHeight="1" x14ac:dyDescent="0.25">
      <c r="A345" s="3" t="s">
        <v>21</v>
      </c>
      <c r="B345" s="3" t="s">
        <v>35</v>
      </c>
      <c r="C345" s="3" t="s">
        <v>36</v>
      </c>
      <c r="D345" s="3" t="s">
        <v>46</v>
      </c>
      <c r="E345" s="3" t="s">
        <v>47</v>
      </c>
      <c r="F345" s="3" t="s">
        <v>25</v>
      </c>
      <c r="G345" s="3" t="s">
        <v>25</v>
      </c>
      <c r="H345" s="3" t="s">
        <v>37</v>
      </c>
      <c r="I345" s="6">
        <v>44501</v>
      </c>
      <c r="J345" s="4">
        <v>0</v>
      </c>
      <c r="K345" s="54">
        <v>0</v>
      </c>
      <c r="L345" s="4">
        <v>2.7789999999999999</v>
      </c>
      <c r="M345" s="54">
        <v>2.7789999999999999</v>
      </c>
      <c r="N345" s="4">
        <v>2.7789999999999999</v>
      </c>
      <c r="O345" s="54">
        <v>2.7789999999999999</v>
      </c>
      <c r="P345" s="4">
        <v>0</v>
      </c>
      <c r="Q345" s="3" t="s">
        <v>26</v>
      </c>
      <c r="R345" s="3">
        <v>0</v>
      </c>
      <c r="S345" s="4">
        <v>0</v>
      </c>
      <c r="T345" s="4">
        <v>10</v>
      </c>
      <c r="U345" s="4">
        <v>77</v>
      </c>
      <c r="V345" s="54">
        <f>IF(ISERROR(VLOOKUP($S$345,'TAR FIN'!$A$1:$O$91,15,0)),0,VLOOKUP($S$345,'TAR FIN'!$A$1:$O$91,15,0))</f>
        <v>0</v>
      </c>
      <c r="W345" s="54">
        <f>IF(ISERROR(VLOOKUP($T$345,'TAR FIN'!$A$1:$O$91,15,0)),0,VLOOKUP($T$345,'TAR FIN'!$A$1:$O$91,15,0))*(1-0.06)</f>
        <v>1340.5245999999997</v>
      </c>
      <c r="X345" s="54">
        <f>IF(ISERROR(VLOOKUP($U$345,'TAR FIN'!$A$1:$O$91,15,0)),0,VLOOKUP($U$345,'TAR FIN'!$A$1:$O$91,15,0))*(1-0.06)</f>
        <v>234.29499999999999</v>
      </c>
      <c r="Y345" s="54"/>
      <c r="Z345" s="54">
        <f ca="1">('TUSD BE'!$AM$14+'TUSD BF'!$AM$14+'TUSD CVA'!$AM$14)*1*(1-0.03)</f>
        <v>1644.7541908022699</v>
      </c>
      <c r="AA345" s="54">
        <f>('TE BE'!$AB$5+'TE BF'!$AB$5+'TE CVA'!$AB$5)*1*(1-0.03)</f>
        <v>197.28126009827187</v>
      </c>
      <c r="AB345" s="4">
        <f>$K$345*$V$345</f>
        <v>0</v>
      </c>
      <c r="AC345" s="4">
        <f>$M$345*$W$345</f>
        <v>3725.3178633999992</v>
      </c>
      <c r="AD345" s="4">
        <f>$O$345*$X$345</f>
        <v>651.10580499999992</v>
      </c>
      <c r="AE345" s="4">
        <f>$K$345*$Y$345</f>
        <v>0</v>
      </c>
      <c r="AF345" s="4">
        <f ca="1">$M$345*$Z$345</f>
        <v>4570.7718962395084</v>
      </c>
      <c r="AG345" s="4">
        <f>$O$345*$AA$345</f>
        <v>548.24462181309752</v>
      </c>
    </row>
    <row r="346" spans="1:33" ht="11.25" customHeight="1" x14ac:dyDescent="0.25">
      <c r="A346" s="3" t="s">
        <v>21</v>
      </c>
      <c r="B346" s="3" t="s">
        <v>35</v>
      </c>
      <c r="C346" s="3" t="s">
        <v>36</v>
      </c>
      <c r="D346" s="3" t="s">
        <v>46</v>
      </c>
      <c r="E346" s="3" t="s">
        <v>47</v>
      </c>
      <c r="F346" s="3" t="s">
        <v>25</v>
      </c>
      <c r="G346" s="3" t="s">
        <v>25</v>
      </c>
      <c r="H346" s="3" t="s">
        <v>37</v>
      </c>
      <c r="I346" s="6">
        <v>44531</v>
      </c>
      <c r="J346" s="4">
        <v>0</v>
      </c>
      <c r="K346" s="54">
        <v>0</v>
      </c>
      <c r="L346" s="4">
        <v>2.7450000000000001</v>
      </c>
      <c r="M346" s="54">
        <v>2.7450000000000001</v>
      </c>
      <c r="N346" s="4">
        <v>2.7450000000000001</v>
      </c>
      <c r="O346" s="54">
        <v>2.7450000000000001</v>
      </c>
      <c r="P346" s="4">
        <v>0</v>
      </c>
      <c r="Q346" s="3" t="s">
        <v>26</v>
      </c>
      <c r="R346" s="3">
        <v>0</v>
      </c>
      <c r="S346" s="4">
        <v>0</v>
      </c>
      <c r="T346" s="4">
        <v>10</v>
      </c>
      <c r="U346" s="4">
        <v>77</v>
      </c>
      <c r="V346" s="54">
        <f>IF(ISERROR(VLOOKUP($S$346,'TAR FIN'!$A$1:$O$91,15,0)),0,VLOOKUP($S$346,'TAR FIN'!$A$1:$O$91,15,0))</f>
        <v>0</v>
      </c>
      <c r="W346" s="54">
        <f>IF(ISERROR(VLOOKUP($T$346,'TAR FIN'!$A$1:$O$91,15,0)),0,VLOOKUP($T$346,'TAR FIN'!$A$1:$O$91,15,0))*(1-0.06)</f>
        <v>1340.5245999999997</v>
      </c>
      <c r="X346" s="54">
        <f>IF(ISERROR(VLOOKUP($U$346,'TAR FIN'!$A$1:$O$91,15,0)),0,VLOOKUP($U$346,'TAR FIN'!$A$1:$O$91,15,0))*(1-0.06)</f>
        <v>234.29499999999999</v>
      </c>
      <c r="Y346" s="54"/>
      <c r="Z346" s="54">
        <f ca="1">('TUSD BE'!$AM$14+'TUSD BF'!$AM$14+'TUSD CVA'!$AM$14)*1*(1-0.03)</f>
        <v>1644.7541908022699</v>
      </c>
      <c r="AA346" s="54">
        <f>('TE BE'!$AB$5+'TE BF'!$AB$5+'TE CVA'!$AB$5)*1*(1-0.03)</f>
        <v>197.28126009827187</v>
      </c>
      <c r="AB346" s="4">
        <f>$K$346*$V$346</f>
        <v>0</v>
      </c>
      <c r="AC346" s="4">
        <f>$M$346*$W$346</f>
        <v>3679.7400269999994</v>
      </c>
      <c r="AD346" s="4">
        <f>$O$346*$X$346</f>
        <v>643.13977499999999</v>
      </c>
      <c r="AE346" s="4">
        <f>$K$346*$Y$346</f>
        <v>0</v>
      </c>
      <c r="AF346" s="4">
        <f ca="1">$M$346*$Z$346</f>
        <v>4514.8502537522309</v>
      </c>
      <c r="AG346" s="4">
        <f>$O$346*$AA$346</f>
        <v>541.53705896975634</v>
      </c>
    </row>
    <row r="347" spans="1:33" ht="11.25" customHeight="1" x14ac:dyDescent="0.25">
      <c r="A347" s="3" t="s">
        <v>21</v>
      </c>
      <c r="B347" s="3" t="s">
        <v>35</v>
      </c>
      <c r="C347" s="3" t="s">
        <v>36</v>
      </c>
      <c r="D347" s="3" t="s">
        <v>46</v>
      </c>
      <c r="E347" s="3" t="s">
        <v>47</v>
      </c>
      <c r="F347" s="3" t="s">
        <v>25</v>
      </c>
      <c r="G347" s="3" t="s">
        <v>25</v>
      </c>
      <c r="H347" s="3" t="s">
        <v>37</v>
      </c>
      <c r="I347" s="6">
        <v>44562</v>
      </c>
      <c r="J347" s="4">
        <v>0</v>
      </c>
      <c r="K347" s="54">
        <v>0</v>
      </c>
      <c r="L347" s="4">
        <v>2.41</v>
      </c>
      <c r="M347" s="54">
        <v>2.41</v>
      </c>
      <c r="N347" s="4">
        <v>2.41</v>
      </c>
      <c r="O347" s="54">
        <v>2.41</v>
      </c>
      <c r="P347" s="4">
        <v>0</v>
      </c>
      <c r="Q347" s="3" t="s">
        <v>26</v>
      </c>
      <c r="R347" s="3">
        <v>0</v>
      </c>
      <c r="S347" s="4">
        <v>0</v>
      </c>
      <c r="T347" s="4">
        <v>10</v>
      </c>
      <c r="U347" s="4">
        <v>77</v>
      </c>
      <c r="V347" s="54">
        <f>IF(ISERROR(VLOOKUP($S$347,'TAR FIN'!$A$1:$O$91,15,0)),0,VLOOKUP($S$347,'TAR FIN'!$A$1:$O$91,15,0))</f>
        <v>0</v>
      </c>
      <c r="W347" s="54">
        <f>IF(ISERROR(VLOOKUP($T$347,'TAR FIN'!$A$1:$O$91,15,0)),0,VLOOKUP($T$347,'TAR FIN'!$A$1:$O$91,15,0))*(1-0.06)</f>
        <v>1340.5245999999997</v>
      </c>
      <c r="X347" s="54">
        <f>IF(ISERROR(VLOOKUP($U$347,'TAR FIN'!$A$1:$O$91,15,0)),0,VLOOKUP($U$347,'TAR FIN'!$A$1:$O$91,15,0))*(1-0.06)</f>
        <v>234.29499999999999</v>
      </c>
      <c r="Y347" s="54"/>
      <c r="Z347" s="54">
        <f ca="1">('TUSD BE'!$AM$14+'TUSD BF'!$AM$14+'TUSD CVA'!$AM$14)*1*(1-0.03)</f>
        <v>1644.7541908022699</v>
      </c>
      <c r="AA347" s="54">
        <f>('TE BE'!$AB$5+'TE BF'!$AB$5+'TE CVA'!$AB$5)*1*(1-0.03)</f>
        <v>197.28126009827187</v>
      </c>
      <c r="AB347" s="4">
        <f>$K$347*$V$347</f>
        <v>0</v>
      </c>
      <c r="AC347" s="4">
        <f>$M$347*$W$347</f>
        <v>3230.6642859999997</v>
      </c>
      <c r="AD347" s="4">
        <f>$O$347*$X$347</f>
        <v>564.65094999999997</v>
      </c>
      <c r="AE347" s="4">
        <f>$K$347*$Y$347</f>
        <v>0</v>
      </c>
      <c r="AF347" s="4">
        <f ca="1">$M$347*$Z$347</f>
        <v>3963.8575998334709</v>
      </c>
      <c r="AG347" s="4">
        <f>$O$347*$AA$347</f>
        <v>475.44783683683522</v>
      </c>
    </row>
    <row r="348" spans="1:33" ht="11.25" customHeight="1" x14ac:dyDescent="0.25">
      <c r="A348" s="3" t="s">
        <v>21</v>
      </c>
      <c r="B348" s="3" t="s">
        <v>35</v>
      </c>
      <c r="C348" s="3" t="s">
        <v>36</v>
      </c>
      <c r="D348" s="3" t="s">
        <v>46</v>
      </c>
      <c r="E348" s="3" t="s">
        <v>47</v>
      </c>
      <c r="F348" s="3" t="s">
        <v>25</v>
      </c>
      <c r="G348" s="3" t="s">
        <v>25</v>
      </c>
      <c r="H348" s="3" t="s">
        <v>37</v>
      </c>
      <c r="I348" s="6">
        <v>44593</v>
      </c>
      <c r="J348" s="4">
        <v>0</v>
      </c>
      <c r="K348" s="54">
        <v>0</v>
      </c>
      <c r="L348" s="4">
        <v>2.5230000000000001</v>
      </c>
      <c r="M348" s="54">
        <v>2.5230000000000001</v>
      </c>
      <c r="N348" s="4">
        <v>2.5230000000000001</v>
      </c>
      <c r="O348" s="54">
        <v>2.5230000000000001</v>
      </c>
      <c r="P348" s="4">
        <v>0</v>
      </c>
      <c r="Q348" s="3" t="s">
        <v>26</v>
      </c>
      <c r="R348" s="3">
        <v>0</v>
      </c>
      <c r="S348" s="4">
        <v>0</v>
      </c>
      <c r="T348" s="4">
        <v>10</v>
      </c>
      <c r="U348" s="4">
        <v>77</v>
      </c>
      <c r="V348" s="54">
        <f>IF(ISERROR(VLOOKUP($S$348,'TAR FIN'!$A$1:$O$91,15,0)),0,VLOOKUP($S$348,'TAR FIN'!$A$1:$O$91,15,0))</f>
        <v>0</v>
      </c>
      <c r="W348" s="54">
        <f>IF(ISERROR(VLOOKUP($T$348,'TAR FIN'!$A$1:$O$91,15,0)),0,VLOOKUP($T$348,'TAR FIN'!$A$1:$O$91,15,0))*(1-0.06)</f>
        <v>1340.5245999999997</v>
      </c>
      <c r="X348" s="54">
        <f>IF(ISERROR(VLOOKUP($U$348,'TAR FIN'!$A$1:$O$91,15,0)),0,VLOOKUP($U$348,'TAR FIN'!$A$1:$O$91,15,0))*(1-0.06)</f>
        <v>234.29499999999999</v>
      </c>
      <c r="Y348" s="54"/>
      <c r="Z348" s="54">
        <f ca="1">('TUSD BE'!$AM$14+'TUSD BF'!$AM$14+'TUSD CVA'!$AM$14)*1*(1-0.03)</f>
        <v>1644.7541908022699</v>
      </c>
      <c r="AA348" s="54">
        <f>('TE BE'!$AB$5+'TE BF'!$AB$5+'TE CVA'!$AB$5)*1*(1-0.03)</f>
        <v>197.28126009827187</v>
      </c>
      <c r="AB348" s="4">
        <f>$K$348*$V$348</f>
        <v>0</v>
      </c>
      <c r="AC348" s="4">
        <f>$M$348*$W$348</f>
        <v>3382.1435657999996</v>
      </c>
      <c r="AD348" s="4">
        <f>$O$348*$X$348</f>
        <v>591.12628500000005</v>
      </c>
      <c r="AE348" s="4">
        <f>$K$348*$Y$348</f>
        <v>0</v>
      </c>
      <c r="AF348" s="4">
        <f ca="1">$M$348*$Z$348</f>
        <v>4149.7148233941271</v>
      </c>
      <c r="AG348" s="4">
        <f>$O$348*$AA$348</f>
        <v>497.74061922793999</v>
      </c>
    </row>
    <row r="349" spans="1:33" ht="11.25" customHeight="1" x14ac:dyDescent="0.25">
      <c r="A349" s="3" t="s">
        <v>21</v>
      </c>
      <c r="B349" s="3" t="s">
        <v>35</v>
      </c>
      <c r="C349" s="3" t="s">
        <v>36</v>
      </c>
      <c r="D349" s="3" t="s">
        <v>46</v>
      </c>
      <c r="E349" s="3" t="s">
        <v>47</v>
      </c>
      <c r="F349" s="3" t="s">
        <v>25</v>
      </c>
      <c r="G349" s="3" t="s">
        <v>25</v>
      </c>
      <c r="H349" s="3" t="s">
        <v>37</v>
      </c>
      <c r="I349" s="6">
        <v>44621</v>
      </c>
      <c r="J349" s="4">
        <v>0</v>
      </c>
      <c r="K349" s="54">
        <v>0</v>
      </c>
      <c r="L349" s="4">
        <v>2.8180000000000001</v>
      </c>
      <c r="M349" s="54">
        <v>2.8180000000000001</v>
      </c>
      <c r="N349" s="4">
        <v>2.8180000000000001</v>
      </c>
      <c r="O349" s="54">
        <v>2.8180000000000001</v>
      </c>
      <c r="P349" s="4">
        <v>0</v>
      </c>
      <c r="Q349" s="3" t="s">
        <v>26</v>
      </c>
      <c r="R349" s="3">
        <v>0</v>
      </c>
      <c r="S349" s="4">
        <v>0</v>
      </c>
      <c r="T349" s="4">
        <v>10</v>
      </c>
      <c r="U349" s="4">
        <v>77</v>
      </c>
      <c r="V349" s="54">
        <f>IF(ISERROR(VLOOKUP($S$349,'TAR FIN'!$A$1:$O$91,15,0)),0,VLOOKUP($S$349,'TAR FIN'!$A$1:$O$91,15,0))</f>
        <v>0</v>
      </c>
      <c r="W349" s="54">
        <f>IF(ISERROR(VLOOKUP($T$349,'TAR FIN'!$A$1:$O$91,15,0)),0,VLOOKUP($T$349,'TAR FIN'!$A$1:$O$91,15,0))*(1-0.06)</f>
        <v>1340.5245999999997</v>
      </c>
      <c r="X349" s="54">
        <f>IF(ISERROR(VLOOKUP($U$349,'TAR FIN'!$A$1:$O$91,15,0)),0,VLOOKUP($U$349,'TAR FIN'!$A$1:$O$91,15,0))*(1-0.06)</f>
        <v>234.29499999999999</v>
      </c>
      <c r="Y349" s="54"/>
      <c r="Z349" s="54">
        <f ca="1">('TUSD BE'!$AM$14+'TUSD BF'!$AM$14+'TUSD CVA'!$AM$14)*1*(1-0.03)</f>
        <v>1644.7541908022699</v>
      </c>
      <c r="AA349" s="54">
        <f>('TE BE'!$AB$5+'TE BF'!$AB$5+'TE CVA'!$AB$5)*1*(1-0.03)</f>
        <v>197.28126009827187</v>
      </c>
      <c r="AB349" s="4">
        <f>$K$349*$V$349</f>
        <v>0</v>
      </c>
      <c r="AC349" s="4">
        <f>$M$349*$W$349</f>
        <v>3777.5983227999996</v>
      </c>
      <c r="AD349" s="4">
        <f>$O$349*$X$349</f>
        <v>660.24330999999995</v>
      </c>
      <c r="AE349" s="4">
        <f>$K$349*$Y$349</f>
        <v>0</v>
      </c>
      <c r="AF349" s="4">
        <f ca="1">$M$349*$Z$349</f>
        <v>4634.9173096807972</v>
      </c>
      <c r="AG349" s="4">
        <f>$O$349*$AA$349</f>
        <v>555.93859095693017</v>
      </c>
    </row>
    <row r="350" spans="1:33" ht="11.25" customHeight="1" x14ac:dyDescent="0.25">
      <c r="A350" s="3" t="s">
        <v>21</v>
      </c>
      <c r="B350" s="3" t="s">
        <v>35</v>
      </c>
      <c r="C350" s="3" t="s">
        <v>36</v>
      </c>
      <c r="D350" s="3" t="s">
        <v>46</v>
      </c>
      <c r="E350" s="3" t="s">
        <v>47</v>
      </c>
      <c r="F350" s="3" t="s">
        <v>25</v>
      </c>
      <c r="G350" s="3" t="s">
        <v>25</v>
      </c>
      <c r="H350" s="3" t="s">
        <v>37</v>
      </c>
      <c r="I350" s="6">
        <v>44652</v>
      </c>
      <c r="J350" s="4">
        <v>0</v>
      </c>
      <c r="K350" s="54">
        <v>0</v>
      </c>
      <c r="L350" s="4">
        <v>2.6110000000000002</v>
      </c>
      <c r="M350" s="54">
        <v>2.6110000000000002</v>
      </c>
      <c r="N350" s="4">
        <v>2.6110000000000002</v>
      </c>
      <c r="O350" s="54">
        <v>2.6110000000000002</v>
      </c>
      <c r="P350" s="4">
        <v>0</v>
      </c>
      <c r="Q350" s="3" t="s">
        <v>26</v>
      </c>
      <c r="R350" s="3">
        <v>0</v>
      </c>
      <c r="S350" s="4">
        <v>0</v>
      </c>
      <c r="T350" s="4">
        <v>10</v>
      </c>
      <c r="U350" s="4">
        <v>77</v>
      </c>
      <c r="V350" s="54">
        <f>IF(ISERROR(VLOOKUP($S$350,'TAR FIN'!$A$1:$O$91,15,0)),0,VLOOKUP($S$350,'TAR FIN'!$A$1:$O$91,15,0))</f>
        <v>0</v>
      </c>
      <c r="W350" s="54">
        <f>IF(ISERROR(VLOOKUP($T$350,'TAR FIN'!$A$1:$O$91,15,0)),0,VLOOKUP($T$350,'TAR FIN'!$A$1:$O$91,15,0))*(1-0.06)</f>
        <v>1340.5245999999997</v>
      </c>
      <c r="X350" s="54">
        <f>IF(ISERROR(VLOOKUP($U$350,'TAR FIN'!$A$1:$O$91,15,0)),0,VLOOKUP($U$350,'TAR FIN'!$A$1:$O$91,15,0))*(1-0.06)</f>
        <v>234.29499999999999</v>
      </c>
      <c r="Y350" s="54"/>
      <c r="Z350" s="54">
        <f ca="1">('TUSD BE'!$AM$14+'TUSD BF'!$AM$14+'TUSD CVA'!$AM$14)*1*(1-0.03)</f>
        <v>1644.7541908022699</v>
      </c>
      <c r="AA350" s="54">
        <f>('TE BE'!$AB$5+'TE BF'!$AB$5+'TE CVA'!$AB$5)*1*(1-0.03)</f>
        <v>197.28126009827187</v>
      </c>
      <c r="AB350" s="4">
        <f>$K$350*$V$350</f>
        <v>0</v>
      </c>
      <c r="AC350" s="4">
        <f>$M$350*$W$350</f>
        <v>3500.1097305999997</v>
      </c>
      <c r="AD350" s="4">
        <f>$O$350*$X$350</f>
        <v>611.74424499999998</v>
      </c>
      <c r="AE350" s="4">
        <f>$K$350*$Y$350</f>
        <v>0</v>
      </c>
      <c r="AF350" s="4">
        <f ca="1">$M$350*$Z$350</f>
        <v>4294.4531921847274</v>
      </c>
      <c r="AG350" s="4">
        <f>$O$350*$AA$350</f>
        <v>515.10137011658787</v>
      </c>
    </row>
    <row r="351" spans="1:33" ht="11.25" customHeight="1" x14ac:dyDescent="0.25">
      <c r="A351" s="3" t="s">
        <v>21</v>
      </c>
      <c r="B351" s="3" t="s">
        <v>35</v>
      </c>
      <c r="C351" s="3" t="s">
        <v>36</v>
      </c>
      <c r="D351" s="3" t="s">
        <v>46</v>
      </c>
      <c r="E351" s="3" t="s">
        <v>47</v>
      </c>
      <c r="F351" s="3" t="s">
        <v>25</v>
      </c>
      <c r="G351" s="3" t="s">
        <v>25</v>
      </c>
      <c r="H351" s="3" t="s">
        <v>37</v>
      </c>
      <c r="I351" s="6">
        <v>44682</v>
      </c>
      <c r="J351" s="4">
        <v>0</v>
      </c>
      <c r="K351" s="54">
        <v>0</v>
      </c>
      <c r="L351" s="4">
        <v>2.778</v>
      </c>
      <c r="M351" s="54">
        <v>2.778</v>
      </c>
      <c r="N351" s="4">
        <v>2.778</v>
      </c>
      <c r="O351" s="54">
        <v>2.778</v>
      </c>
      <c r="P351" s="4">
        <v>0</v>
      </c>
      <c r="Q351" s="3" t="s">
        <v>26</v>
      </c>
      <c r="R351" s="3">
        <v>0</v>
      </c>
      <c r="S351" s="4">
        <v>0</v>
      </c>
      <c r="T351" s="4">
        <v>10</v>
      </c>
      <c r="U351" s="4">
        <v>77</v>
      </c>
      <c r="V351" s="54">
        <f>IF(ISERROR(VLOOKUP($S$351,'TAR FIN'!$A$1:$O$91,15,0)),0,VLOOKUP($S$351,'TAR FIN'!$A$1:$O$91,15,0))</f>
        <v>0</v>
      </c>
      <c r="W351" s="54">
        <f>IF(ISERROR(VLOOKUP($T$351,'TAR FIN'!$A$1:$O$91,15,0)),0,VLOOKUP($T$351,'TAR FIN'!$A$1:$O$91,15,0))*(1-0.06)</f>
        <v>1340.5245999999997</v>
      </c>
      <c r="X351" s="54">
        <f>IF(ISERROR(VLOOKUP($U$351,'TAR FIN'!$A$1:$O$91,15,0)),0,VLOOKUP($U$351,'TAR FIN'!$A$1:$O$91,15,0))*(1-0.06)</f>
        <v>234.29499999999999</v>
      </c>
      <c r="Y351" s="54"/>
      <c r="Z351" s="54">
        <f ca="1">('TUSD BE'!$AM$14+'TUSD BF'!$AM$14+'TUSD CVA'!$AM$14)*1*(1-0.03)</f>
        <v>1644.7541908022699</v>
      </c>
      <c r="AA351" s="54">
        <f>('TE BE'!$AB$5+'TE BF'!$AB$5+'TE CVA'!$AB$5)*1*(1-0.03)</f>
        <v>197.28126009827187</v>
      </c>
      <c r="AB351" s="4">
        <f>$K$351*$V$351</f>
        <v>0</v>
      </c>
      <c r="AC351" s="4">
        <f>$M$351*$W$351</f>
        <v>3723.9773387999994</v>
      </c>
      <c r="AD351" s="4">
        <f>$O$351*$X$351</f>
        <v>650.87150999999994</v>
      </c>
      <c r="AE351" s="4">
        <f>$K$351*$Y$351</f>
        <v>0</v>
      </c>
      <c r="AF351" s="4">
        <f ca="1">$M$351*$Z$351</f>
        <v>4569.1271420487055</v>
      </c>
      <c r="AG351" s="4">
        <f>$O$351*$AA$351</f>
        <v>548.04734055299923</v>
      </c>
    </row>
    <row r="352" spans="1:33" ht="11.25" customHeight="1" x14ac:dyDescent="0.25">
      <c r="A352" s="3" t="s">
        <v>21</v>
      </c>
      <c r="B352" s="3" t="s">
        <v>35</v>
      </c>
      <c r="C352" s="3" t="s">
        <v>36</v>
      </c>
      <c r="D352" s="3" t="s">
        <v>46</v>
      </c>
      <c r="E352" s="3" t="s">
        <v>47</v>
      </c>
      <c r="F352" s="3" t="s">
        <v>25</v>
      </c>
      <c r="G352" s="3" t="s">
        <v>25</v>
      </c>
      <c r="H352" s="3" t="s">
        <v>37</v>
      </c>
      <c r="I352" s="6">
        <v>44713</v>
      </c>
      <c r="J352" s="4">
        <v>0</v>
      </c>
      <c r="K352" s="54">
        <v>0</v>
      </c>
      <c r="L352" s="4">
        <v>2.7690000000000001</v>
      </c>
      <c r="M352" s="54">
        <v>2.7690000000000001</v>
      </c>
      <c r="N352" s="4">
        <v>2.7690000000000001</v>
      </c>
      <c r="O352" s="54">
        <v>2.7690000000000001</v>
      </c>
      <c r="P352" s="4">
        <v>0</v>
      </c>
      <c r="Q352" s="3" t="s">
        <v>26</v>
      </c>
      <c r="R352" s="3">
        <v>0</v>
      </c>
      <c r="S352" s="4">
        <v>0</v>
      </c>
      <c r="T352" s="4">
        <v>10</v>
      </c>
      <c r="U352" s="4">
        <v>77</v>
      </c>
      <c r="V352" s="54">
        <f>IF(ISERROR(VLOOKUP($S$352,'TAR FIN'!$A$1:$O$91,15,0)),0,VLOOKUP($S$352,'TAR FIN'!$A$1:$O$91,15,0))</f>
        <v>0</v>
      </c>
      <c r="W352" s="54">
        <f>IF(ISERROR(VLOOKUP($T$352,'TAR FIN'!$A$1:$O$91,15,0)),0,VLOOKUP($T$352,'TAR FIN'!$A$1:$O$91,15,0))*(1-0.06)</f>
        <v>1340.5245999999997</v>
      </c>
      <c r="X352" s="54">
        <f>IF(ISERROR(VLOOKUP($U$352,'TAR FIN'!$A$1:$O$91,15,0)),0,VLOOKUP($U$352,'TAR FIN'!$A$1:$O$91,15,0))*(1-0.06)</f>
        <v>234.29499999999999</v>
      </c>
      <c r="Y352" s="54"/>
      <c r="Z352" s="54">
        <f ca="1">('TUSD BE'!$AM$14+'TUSD BF'!$AM$14+'TUSD CVA'!$AM$14)*1*(1-0.03)</f>
        <v>1644.7541908022699</v>
      </c>
      <c r="AA352" s="54">
        <f>('TE BE'!$AB$5+'TE BF'!$AB$5+'TE CVA'!$AB$5)*1*(1-0.03)</f>
        <v>197.28126009827187</v>
      </c>
      <c r="AB352" s="4">
        <f>$K$352*$V$352</f>
        <v>0</v>
      </c>
      <c r="AC352" s="4">
        <f>$M$352*$W$352</f>
        <v>3711.9126173999994</v>
      </c>
      <c r="AD352" s="4">
        <f>$O$352*$X$352</f>
        <v>648.76285499999994</v>
      </c>
      <c r="AE352" s="4">
        <f>$K$352*$Y$352</f>
        <v>0</v>
      </c>
      <c r="AF352" s="4">
        <f ca="1">$M$352*$Z$352</f>
        <v>4554.3243543314857</v>
      </c>
      <c r="AG352" s="4">
        <f>$O$352*$AA$352</f>
        <v>546.27180921211482</v>
      </c>
    </row>
    <row r="353" spans="1:33" ht="11.25" customHeight="1" x14ac:dyDescent="0.25">
      <c r="A353" s="3" t="s">
        <v>21</v>
      </c>
      <c r="B353" s="3" t="s">
        <v>35</v>
      </c>
      <c r="C353" s="3" t="s">
        <v>36</v>
      </c>
      <c r="D353" s="3" t="s">
        <v>46</v>
      </c>
      <c r="E353" s="3" t="s">
        <v>47</v>
      </c>
      <c r="F353" s="3" t="s">
        <v>25</v>
      </c>
      <c r="G353" s="3" t="s">
        <v>25</v>
      </c>
      <c r="H353" s="3" t="s">
        <v>37</v>
      </c>
      <c r="I353" s="6">
        <v>44743</v>
      </c>
      <c r="J353" s="4">
        <v>0</v>
      </c>
      <c r="K353" s="54">
        <v>0</v>
      </c>
      <c r="L353" s="4">
        <v>2.536</v>
      </c>
      <c r="M353" s="54">
        <v>2.536</v>
      </c>
      <c r="N353" s="4">
        <v>2.536</v>
      </c>
      <c r="O353" s="54">
        <v>2.536</v>
      </c>
      <c r="P353" s="4">
        <v>0</v>
      </c>
      <c r="Q353" s="3" t="s">
        <v>26</v>
      </c>
      <c r="R353" s="3">
        <v>0</v>
      </c>
      <c r="S353" s="4">
        <v>0</v>
      </c>
      <c r="T353" s="4">
        <v>10</v>
      </c>
      <c r="U353" s="4">
        <v>77</v>
      </c>
      <c r="V353" s="54">
        <f>IF(ISERROR(VLOOKUP($S$353,'TAR FIN'!$A$1:$O$91,15,0)),0,VLOOKUP($S$353,'TAR FIN'!$A$1:$O$91,15,0))</f>
        <v>0</v>
      </c>
      <c r="W353" s="54">
        <f>IF(ISERROR(VLOOKUP($T$353,'TAR FIN'!$A$1:$O$91,15,0)),0,VLOOKUP($T$353,'TAR FIN'!$A$1:$O$91,15,0))*(1-0.06)</f>
        <v>1340.5245999999997</v>
      </c>
      <c r="X353" s="54">
        <f>IF(ISERROR(VLOOKUP($U$353,'TAR FIN'!$A$1:$O$91,15,0)),0,VLOOKUP($U$353,'TAR FIN'!$A$1:$O$91,15,0))*(1-0.06)</f>
        <v>234.29499999999999</v>
      </c>
      <c r="Y353" s="54"/>
      <c r="Z353" s="54">
        <f ca="1">('TUSD BE'!$AM$14+'TUSD BF'!$AM$14+'TUSD CVA'!$AM$14)*1*(1-0.03)</f>
        <v>1644.7541908022699</v>
      </c>
      <c r="AA353" s="54">
        <f>('TE BE'!$AB$5+'TE BF'!$AB$5+'TE CVA'!$AB$5)*1*(1-0.03)</f>
        <v>197.28126009827187</v>
      </c>
      <c r="AB353" s="4">
        <f>$K$353*$V$353</f>
        <v>0</v>
      </c>
      <c r="AC353" s="4">
        <f>$M$353*$W$353</f>
        <v>3399.5703855999996</v>
      </c>
      <c r="AD353" s="4">
        <f>$O$353*$X$353</f>
        <v>594.17211999999995</v>
      </c>
      <c r="AE353" s="4">
        <f>$K$353*$Y$353</f>
        <v>0</v>
      </c>
      <c r="AF353" s="4">
        <f ca="1">$M$353*$Z$353</f>
        <v>4171.0966278745564</v>
      </c>
      <c r="AG353" s="4">
        <f>$O$353*$AA$353</f>
        <v>500.30527560921746</v>
      </c>
    </row>
    <row r="354" spans="1:33" ht="11.25" customHeight="1" x14ac:dyDescent="0.25">
      <c r="A354" s="3" t="s">
        <v>21</v>
      </c>
      <c r="B354" s="3" t="s">
        <v>35</v>
      </c>
      <c r="C354" s="3" t="s">
        <v>36</v>
      </c>
      <c r="D354" s="3" t="s">
        <v>46</v>
      </c>
      <c r="E354" s="3" t="s">
        <v>47</v>
      </c>
      <c r="F354" s="3" t="s">
        <v>25</v>
      </c>
      <c r="G354" s="3" t="s">
        <v>25</v>
      </c>
      <c r="H354" s="3" t="s">
        <v>37</v>
      </c>
      <c r="I354" s="6">
        <v>44774</v>
      </c>
      <c r="J354" s="4">
        <v>0</v>
      </c>
      <c r="K354" s="54">
        <v>0</v>
      </c>
      <c r="L354" s="4">
        <v>2.714</v>
      </c>
      <c r="M354" s="54">
        <v>2.714</v>
      </c>
      <c r="N354" s="4">
        <v>2.714</v>
      </c>
      <c r="O354" s="54">
        <v>2.714</v>
      </c>
      <c r="P354" s="4">
        <v>0</v>
      </c>
      <c r="Q354" s="3" t="s">
        <v>26</v>
      </c>
      <c r="R354" s="3">
        <v>0</v>
      </c>
      <c r="S354" s="4">
        <v>0</v>
      </c>
      <c r="T354" s="4">
        <v>10</v>
      </c>
      <c r="U354" s="4">
        <v>77</v>
      </c>
      <c r="V354" s="54">
        <f>IF(ISERROR(VLOOKUP($S$354,'TAR FIN'!$A$1:$O$91,15,0)),0,VLOOKUP($S$354,'TAR FIN'!$A$1:$O$91,15,0))</f>
        <v>0</v>
      </c>
      <c r="W354" s="54">
        <f>IF(ISERROR(VLOOKUP($T$354,'TAR FIN'!$A$1:$O$91,15,0)),0,VLOOKUP($T$354,'TAR FIN'!$A$1:$O$91,15,0))*(1-0.06)</f>
        <v>1340.5245999999997</v>
      </c>
      <c r="X354" s="54">
        <f>IF(ISERROR(VLOOKUP($U$354,'TAR FIN'!$A$1:$O$91,15,0)),0,VLOOKUP($U$354,'TAR FIN'!$A$1:$O$91,15,0))*(1-0.06)</f>
        <v>234.29499999999999</v>
      </c>
      <c r="Y354" s="54"/>
      <c r="Z354" s="54">
        <f ca="1">('TUSD BE'!$AM$14+'TUSD BF'!$AM$14+'TUSD CVA'!$AM$14)*1*(1-0.03)</f>
        <v>1644.7541908022699</v>
      </c>
      <c r="AA354" s="54">
        <f>('TE BE'!$AB$5+'TE BF'!$AB$5+'TE CVA'!$AB$5)*1*(1-0.03)</f>
        <v>197.28126009827187</v>
      </c>
      <c r="AB354" s="4">
        <f>$K$354*$V$354</f>
        <v>0</v>
      </c>
      <c r="AC354" s="4">
        <f>$M$354*$W$354</f>
        <v>3638.1837643999993</v>
      </c>
      <c r="AD354" s="4">
        <f>$O$354*$X$354</f>
        <v>635.87662999999998</v>
      </c>
      <c r="AE354" s="4">
        <f>$K$354*$Y$354</f>
        <v>0</v>
      </c>
      <c r="AF354" s="4">
        <f ca="1">$M$354*$Z$354</f>
        <v>4463.8628738373609</v>
      </c>
      <c r="AG354" s="4">
        <f>$O$354*$AA$354</f>
        <v>535.42133990670982</v>
      </c>
    </row>
    <row r="355" spans="1:3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24</v>
      </c>
      <c r="F355" s="3" t="s">
        <v>25</v>
      </c>
      <c r="G355" s="3" t="s">
        <v>25</v>
      </c>
      <c r="H355" s="3" t="s">
        <v>25</v>
      </c>
      <c r="I355" s="6">
        <v>44440</v>
      </c>
      <c r="J355" s="4">
        <v>0</v>
      </c>
      <c r="K355" s="4">
        <v>0</v>
      </c>
      <c r="L355" s="4">
        <v>2544.8980000000001</v>
      </c>
      <c r="M355" s="4">
        <v>2544.8980000000001</v>
      </c>
      <c r="N355" s="4">
        <v>2544.8980000000001</v>
      </c>
      <c r="O355" s="4">
        <v>2544.8980000000001</v>
      </c>
      <c r="P355" s="4">
        <v>11043</v>
      </c>
      <c r="Q355" s="3" t="s">
        <v>26</v>
      </c>
      <c r="R355" s="3">
        <v>0</v>
      </c>
      <c r="S355" s="4">
        <v>0</v>
      </c>
      <c r="T355" s="4">
        <v>23</v>
      </c>
      <c r="U355" s="4">
        <v>53</v>
      </c>
      <c r="V355" s="4">
        <f>IF(ISERROR(VLOOKUP($S$355,'TAR FIN'!$A$1:$O$91,15,0)),0,VLOOKUP($S$355,'TAR FIN'!$A$1:$O$91,15,0))</f>
        <v>0</v>
      </c>
      <c r="W355" s="4">
        <f>IF(ISERROR(VLOOKUP($T$355,'TAR FIN'!$A$1:$O$91,15,0)),0,VLOOKUP($T$355,'TAR FIN'!$A$1:$O$91,15,0))</f>
        <v>312.64999999999998</v>
      </c>
      <c r="X355" s="4">
        <f>IF(ISERROR(VLOOKUP($U$355,'TAR FIN'!$A$1:$O$91,15,0)),0,VLOOKUP($U$355,'TAR FIN'!$A$1:$O$91,15,0))</f>
        <v>249.25</v>
      </c>
      <c r="Y355" s="4"/>
      <c r="Z355" s="4">
        <f ca="1">('TUSD BE'!$AM$23+'TUSD BF'!$AM$23+'TUSD CVA'!$AM$23)*1</f>
        <v>387.73720067118109</v>
      </c>
      <c r="AA355" s="4">
        <f>('TE BE'!$AB$13+'TE BF'!$AB$13+'TE CVA'!$AB$13)*1</f>
        <v>203.38274236935246</v>
      </c>
      <c r="AB355" s="4">
        <f>$K$355*$V$355</f>
        <v>0</v>
      </c>
      <c r="AC355" s="4">
        <f>$M$355*$W$355</f>
        <v>795662.35970000003</v>
      </c>
      <c r="AD355" s="4">
        <f>$O$355*$X$355</f>
        <v>634315.82650000008</v>
      </c>
      <c r="AE355" s="4">
        <f>$K$355*$Y$355</f>
        <v>0</v>
      </c>
      <c r="AF355" s="4">
        <f ca="1">$M$355*$Z$355</f>
        <v>986751.62651368743</v>
      </c>
      <c r="AG355" s="4">
        <f>$O$355*$AA$355</f>
        <v>517588.33429028036</v>
      </c>
    </row>
    <row r="356" spans="1:33" ht="11.25" customHeight="1" x14ac:dyDescent="0.25">
      <c r="A356" s="3" t="s">
        <v>27</v>
      </c>
      <c r="B356" s="3" t="s">
        <v>22</v>
      </c>
      <c r="C356" s="3" t="s">
        <v>23</v>
      </c>
      <c r="D356" s="3" t="s">
        <v>24</v>
      </c>
      <c r="E356" s="3" t="s">
        <v>24</v>
      </c>
      <c r="F356" s="3" t="s">
        <v>25</v>
      </c>
      <c r="G356" s="3" t="s">
        <v>25</v>
      </c>
      <c r="H356" s="3" t="s">
        <v>25</v>
      </c>
      <c r="I356" s="6">
        <v>44440</v>
      </c>
      <c r="J356" s="4">
        <v>0</v>
      </c>
      <c r="K356" s="4">
        <v>0</v>
      </c>
      <c r="L356" s="4">
        <v>-1.794</v>
      </c>
      <c r="M356" s="4">
        <v>-1.794</v>
      </c>
      <c r="N356" s="4">
        <v>-1.794</v>
      </c>
      <c r="O356" s="4">
        <v>-1.794</v>
      </c>
      <c r="P356" s="4">
        <v>0</v>
      </c>
      <c r="Q356" s="3" t="s">
        <v>26</v>
      </c>
      <c r="R356" s="3">
        <v>0</v>
      </c>
      <c r="S356" s="4">
        <v>0</v>
      </c>
      <c r="T356" s="4">
        <v>23</v>
      </c>
      <c r="U356" s="4">
        <v>53</v>
      </c>
      <c r="V356" s="4">
        <f>IF(ISERROR(VLOOKUP($S$356,'TAR FIN'!$A$1:$O$91,15,0)),0,VLOOKUP($S$356,'TAR FIN'!$A$1:$O$91,15,0))</f>
        <v>0</v>
      </c>
      <c r="W356" s="4">
        <f>IF(ISERROR(VLOOKUP($T$356,'TAR FIN'!$A$1:$O$91,15,0)),0,VLOOKUP($T$356,'TAR FIN'!$A$1:$O$91,15,0))</f>
        <v>312.64999999999998</v>
      </c>
      <c r="X356" s="4">
        <f>IF(ISERROR(VLOOKUP($U$356,'TAR FIN'!$A$1:$O$91,15,0)),0,VLOOKUP($U$356,'TAR FIN'!$A$1:$O$91,15,0))</f>
        <v>249.25</v>
      </c>
      <c r="Y356" s="4"/>
      <c r="Z356" s="4">
        <f ca="1">('TUSD BE'!$AM$23+'TUSD BF'!$AM$23+'TUSD CVA'!$AM$23)*1</f>
        <v>387.73720067118109</v>
      </c>
      <c r="AA356" s="4">
        <f>('TE BE'!$AB$13+'TE BF'!$AB$13+'TE CVA'!$AB$13)*1</f>
        <v>203.38274236935246</v>
      </c>
      <c r="AB356" s="4">
        <f>$K$356*$V$356</f>
        <v>0</v>
      </c>
      <c r="AC356" s="4">
        <f>$M$356*$W$356</f>
        <v>-560.89409999999998</v>
      </c>
      <c r="AD356" s="4">
        <f>$O$356*$X$356</f>
        <v>-447.15449999999998</v>
      </c>
      <c r="AE356" s="4">
        <f>$K$356*$Y$356</f>
        <v>0</v>
      </c>
      <c r="AF356" s="4">
        <f ca="1">$M$356*$Z$356</f>
        <v>-695.60053800409889</v>
      </c>
      <c r="AG356" s="4">
        <f>$O$356*$AA$356</f>
        <v>-364.86863981061833</v>
      </c>
    </row>
    <row r="357" spans="1:33" ht="11.25" customHeight="1" x14ac:dyDescent="0.25">
      <c r="A357" s="3" t="s">
        <v>28</v>
      </c>
      <c r="B357" s="3" t="s">
        <v>22</v>
      </c>
      <c r="C357" s="3" t="s">
        <v>23</v>
      </c>
      <c r="D357" s="3" t="s">
        <v>24</v>
      </c>
      <c r="E357" s="3" t="s">
        <v>24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43.853999999999999</v>
      </c>
      <c r="M357" s="4">
        <v>43.853999999999999</v>
      </c>
      <c r="N357" s="4">
        <v>43.853999999999999</v>
      </c>
      <c r="O357" s="4">
        <v>43.853999999999999</v>
      </c>
      <c r="P357" s="4">
        <v>247</v>
      </c>
      <c r="Q357" s="3" t="s">
        <v>26</v>
      </c>
      <c r="R357" s="3">
        <v>0</v>
      </c>
      <c r="S357" s="4">
        <v>0</v>
      </c>
      <c r="T357" s="4">
        <v>23</v>
      </c>
      <c r="U357" s="4">
        <v>53</v>
      </c>
      <c r="V357" s="4">
        <f>IF(ISERROR(VLOOKUP($S$357,'TAR FIN'!$A$1:$O$91,15,0)),0,VLOOKUP($S$357,'TAR FIN'!$A$1:$O$91,15,0))</f>
        <v>0</v>
      </c>
      <c r="W357" s="4">
        <f>IF(ISERROR(VLOOKUP($T$357,'TAR FIN'!$A$1:$O$91,15,0)),0,VLOOKUP($T$357,'TAR FIN'!$A$1:$O$91,15,0))</f>
        <v>312.64999999999998</v>
      </c>
      <c r="X357" s="4">
        <f>IF(ISERROR(VLOOKUP($U$357,'TAR FIN'!$A$1:$O$91,15,0)),0,VLOOKUP($U$357,'TAR FIN'!$A$1:$O$91,15,0))</f>
        <v>249.25</v>
      </c>
      <c r="Y357" s="4"/>
      <c r="Z357" s="4">
        <f ca="1">('TUSD BE'!$AM$23+'TUSD BF'!$AM$23+'TUSD CVA'!$AM$23)*1</f>
        <v>387.73720067118109</v>
      </c>
      <c r="AA357" s="4">
        <f>('TE BE'!$AB$13+'TE BF'!$AB$13+'TE CVA'!$AB$13)*1</f>
        <v>203.38274236935246</v>
      </c>
      <c r="AB357" s="4">
        <f>$K$357*$V$357</f>
        <v>0</v>
      </c>
      <c r="AC357" s="4">
        <f>$M$357*$W$357</f>
        <v>13710.953099999999</v>
      </c>
      <c r="AD357" s="4">
        <f>$O$357*$X$357</f>
        <v>10930.6095</v>
      </c>
      <c r="AE357" s="4">
        <f>$K$357*$Y$357</f>
        <v>0</v>
      </c>
      <c r="AF357" s="4">
        <f ca="1">$M$357*$Z$357</f>
        <v>17003.827198233976</v>
      </c>
      <c r="AG357" s="4">
        <f>$O$357*$AA$357</f>
        <v>8919.1467838655826</v>
      </c>
    </row>
    <row r="358" spans="1:33" ht="11.25" customHeight="1" x14ac:dyDescent="0.25">
      <c r="A358" s="3" t="s">
        <v>21</v>
      </c>
      <c r="B358" s="3" t="s">
        <v>22</v>
      </c>
      <c r="C358" s="3" t="s">
        <v>23</v>
      </c>
      <c r="D358" s="3" t="s">
        <v>24</v>
      </c>
      <c r="E358" s="3" t="s">
        <v>24</v>
      </c>
      <c r="F358" s="3" t="s">
        <v>25</v>
      </c>
      <c r="G358" s="3" t="s">
        <v>25</v>
      </c>
      <c r="H358" s="3" t="s">
        <v>25</v>
      </c>
      <c r="I358" s="6">
        <v>44470</v>
      </c>
      <c r="J358" s="4">
        <v>0</v>
      </c>
      <c r="K358" s="4">
        <v>0</v>
      </c>
      <c r="L358" s="4">
        <v>2531.931</v>
      </c>
      <c r="M358" s="4">
        <v>2531.931</v>
      </c>
      <c r="N358" s="4">
        <v>2531.931</v>
      </c>
      <c r="O358" s="4">
        <v>2531.931</v>
      </c>
      <c r="P358" s="4">
        <v>11040</v>
      </c>
      <c r="Q358" s="3" t="s">
        <v>26</v>
      </c>
      <c r="R358" s="3">
        <v>0</v>
      </c>
      <c r="S358" s="4">
        <v>0</v>
      </c>
      <c r="T358" s="4">
        <v>23</v>
      </c>
      <c r="U358" s="4">
        <v>53</v>
      </c>
      <c r="V358" s="4">
        <f>IF(ISERROR(VLOOKUP($S$358,'TAR FIN'!$A$1:$O$91,15,0)),0,VLOOKUP($S$358,'TAR FIN'!$A$1:$O$91,15,0))</f>
        <v>0</v>
      </c>
      <c r="W358" s="4">
        <f>IF(ISERROR(VLOOKUP($T$358,'TAR FIN'!$A$1:$O$91,15,0)),0,VLOOKUP($T$358,'TAR FIN'!$A$1:$O$91,15,0))</f>
        <v>312.64999999999998</v>
      </c>
      <c r="X358" s="4">
        <f>IF(ISERROR(VLOOKUP($U$358,'TAR FIN'!$A$1:$O$91,15,0)),0,VLOOKUP($U$358,'TAR FIN'!$A$1:$O$91,15,0))</f>
        <v>249.25</v>
      </c>
      <c r="Y358" s="4"/>
      <c r="Z358" s="4">
        <f ca="1">('TUSD BE'!$AM$23+'TUSD BF'!$AM$23+'TUSD CVA'!$AM$23)*1</f>
        <v>387.73720067118109</v>
      </c>
      <c r="AA358" s="4">
        <f>('TE BE'!$AB$13+'TE BF'!$AB$13+'TE CVA'!$AB$13)*1</f>
        <v>203.38274236935246</v>
      </c>
      <c r="AB358" s="4">
        <f>$K$358*$V$358</f>
        <v>0</v>
      </c>
      <c r="AC358" s="4">
        <f>$M$358*$W$358</f>
        <v>791608.22714999993</v>
      </c>
      <c r="AD358" s="4">
        <f>$O$358*$X$358</f>
        <v>631083.80174999998</v>
      </c>
      <c r="AE358" s="4">
        <f>$K$358*$Y$358</f>
        <v>0</v>
      </c>
      <c r="AF358" s="4">
        <f ca="1">$M$358*$Z$358</f>
        <v>981723.83823258418</v>
      </c>
      <c r="AG358" s="4">
        <f>$O$358*$AA$358</f>
        <v>514951.07026997692</v>
      </c>
    </row>
    <row r="359" spans="1:33" ht="11.25" customHeight="1" x14ac:dyDescent="0.25">
      <c r="A359" s="3" t="s">
        <v>27</v>
      </c>
      <c r="B359" s="3" t="s">
        <v>22</v>
      </c>
      <c r="C359" s="3" t="s">
        <v>23</v>
      </c>
      <c r="D359" s="3" t="s">
        <v>24</v>
      </c>
      <c r="E359" s="3" t="s">
        <v>24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-1.6830000000000001</v>
      </c>
      <c r="M359" s="4">
        <v>-1.6830000000000001</v>
      </c>
      <c r="N359" s="4">
        <v>-1.6830000000000001</v>
      </c>
      <c r="O359" s="4">
        <v>-1.6830000000000001</v>
      </c>
      <c r="P359" s="4">
        <v>0</v>
      </c>
      <c r="Q359" s="3" t="s">
        <v>26</v>
      </c>
      <c r="R359" s="3">
        <v>0</v>
      </c>
      <c r="S359" s="4">
        <v>0</v>
      </c>
      <c r="T359" s="4">
        <v>23</v>
      </c>
      <c r="U359" s="4">
        <v>53</v>
      </c>
      <c r="V359" s="4">
        <f>IF(ISERROR(VLOOKUP($S$359,'TAR FIN'!$A$1:$O$91,15,0)),0,VLOOKUP($S$359,'TAR FIN'!$A$1:$O$91,15,0))</f>
        <v>0</v>
      </c>
      <c r="W359" s="4">
        <f>IF(ISERROR(VLOOKUP($T$359,'TAR FIN'!$A$1:$O$91,15,0)),0,VLOOKUP($T$359,'TAR FIN'!$A$1:$O$91,15,0))</f>
        <v>312.64999999999998</v>
      </c>
      <c r="X359" s="4">
        <f>IF(ISERROR(VLOOKUP($U$359,'TAR FIN'!$A$1:$O$91,15,0)),0,VLOOKUP($U$359,'TAR FIN'!$A$1:$O$91,15,0))</f>
        <v>249.25</v>
      </c>
      <c r="Y359" s="4"/>
      <c r="Z359" s="4">
        <f ca="1">('TUSD BE'!$AM$23+'TUSD BF'!$AM$23+'TUSD CVA'!$AM$23)*1</f>
        <v>387.73720067118109</v>
      </c>
      <c r="AA359" s="4">
        <f>('TE BE'!$AB$13+'TE BF'!$AB$13+'TE CVA'!$AB$13)*1</f>
        <v>203.38274236935246</v>
      </c>
      <c r="AB359" s="4">
        <f>$K$359*$V$359</f>
        <v>0</v>
      </c>
      <c r="AC359" s="4">
        <f>$M$359*$W$359</f>
        <v>-526.18994999999995</v>
      </c>
      <c r="AD359" s="4">
        <f>$O$359*$X$359</f>
        <v>-419.48775000000001</v>
      </c>
      <c r="AE359" s="4">
        <f>$K$359*$Y$359</f>
        <v>0</v>
      </c>
      <c r="AF359" s="4">
        <f ca="1">$M$359*$Z$359</f>
        <v>-652.56170872959774</v>
      </c>
      <c r="AG359" s="4">
        <f>$O$359*$AA$359</f>
        <v>-342.29315540762019</v>
      </c>
    </row>
    <row r="360" spans="1:33" ht="11.25" customHeight="1" x14ac:dyDescent="0.25">
      <c r="A360" s="3" t="s">
        <v>28</v>
      </c>
      <c r="B360" s="3" t="s">
        <v>22</v>
      </c>
      <c r="C360" s="3" t="s">
        <v>23</v>
      </c>
      <c r="D360" s="3" t="s">
        <v>24</v>
      </c>
      <c r="E360" s="3" t="s">
        <v>24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40.707000000000001</v>
      </c>
      <c r="M360" s="4">
        <v>40.707000000000001</v>
      </c>
      <c r="N360" s="4">
        <v>40.707000000000001</v>
      </c>
      <c r="O360" s="4">
        <v>40.707000000000001</v>
      </c>
      <c r="P360" s="4">
        <v>261</v>
      </c>
      <c r="Q360" s="3" t="s">
        <v>26</v>
      </c>
      <c r="R360" s="3">
        <v>0</v>
      </c>
      <c r="S360" s="4">
        <v>0</v>
      </c>
      <c r="T360" s="4">
        <v>23</v>
      </c>
      <c r="U360" s="4">
        <v>53</v>
      </c>
      <c r="V360" s="4">
        <f>IF(ISERROR(VLOOKUP($S$360,'TAR FIN'!$A$1:$O$91,15,0)),0,VLOOKUP($S$360,'TAR FIN'!$A$1:$O$91,15,0))</f>
        <v>0</v>
      </c>
      <c r="W360" s="4">
        <f>IF(ISERROR(VLOOKUP($T$360,'TAR FIN'!$A$1:$O$91,15,0)),0,VLOOKUP($T$360,'TAR FIN'!$A$1:$O$91,15,0))</f>
        <v>312.64999999999998</v>
      </c>
      <c r="X360" s="4">
        <f>IF(ISERROR(VLOOKUP($U$360,'TAR FIN'!$A$1:$O$91,15,0)),0,VLOOKUP($U$360,'TAR FIN'!$A$1:$O$91,15,0))</f>
        <v>249.25</v>
      </c>
      <c r="Y360" s="4"/>
      <c r="Z360" s="4">
        <f ca="1">('TUSD BE'!$AM$23+'TUSD BF'!$AM$23+'TUSD CVA'!$AM$23)*1</f>
        <v>387.73720067118109</v>
      </c>
      <c r="AA360" s="4">
        <f>('TE BE'!$AB$13+'TE BF'!$AB$13+'TE CVA'!$AB$13)*1</f>
        <v>203.38274236935246</v>
      </c>
      <c r="AB360" s="4">
        <f>$K$360*$V$360</f>
        <v>0</v>
      </c>
      <c r="AC360" s="4">
        <f>$M$360*$W$360</f>
        <v>12727.043549999999</v>
      </c>
      <c r="AD360" s="4">
        <f>$O$360*$X$360</f>
        <v>10146.21975</v>
      </c>
      <c r="AE360" s="4">
        <f>$K$360*$Y$360</f>
        <v>0</v>
      </c>
      <c r="AF360" s="4">
        <f ca="1">$M$360*$Z$360</f>
        <v>15783.618227721769</v>
      </c>
      <c r="AG360" s="4">
        <f>$O$360*$AA$360</f>
        <v>8279.10129362923</v>
      </c>
    </row>
    <row r="361" spans="1:33" ht="11.25" customHeight="1" x14ac:dyDescent="0.25">
      <c r="A361" s="3" t="s">
        <v>21</v>
      </c>
      <c r="B361" s="3" t="s">
        <v>22</v>
      </c>
      <c r="C361" s="3" t="s">
        <v>23</v>
      </c>
      <c r="D361" s="3" t="s">
        <v>24</v>
      </c>
      <c r="E361" s="3" t="s">
        <v>24</v>
      </c>
      <c r="F361" s="3" t="s">
        <v>25</v>
      </c>
      <c r="G361" s="3" t="s">
        <v>25</v>
      </c>
      <c r="H361" s="3" t="s">
        <v>25</v>
      </c>
      <c r="I361" s="6">
        <v>44501</v>
      </c>
      <c r="J361" s="4">
        <v>0</v>
      </c>
      <c r="K361" s="4">
        <v>0</v>
      </c>
      <c r="L361" s="4">
        <v>2612.2220000000002</v>
      </c>
      <c r="M361" s="4">
        <v>2612.2220000000002</v>
      </c>
      <c r="N361" s="4">
        <v>2612.2220000000002</v>
      </c>
      <c r="O361" s="4">
        <v>2612.2220000000002</v>
      </c>
      <c r="P361" s="4">
        <v>11066</v>
      </c>
      <c r="Q361" s="3" t="s">
        <v>26</v>
      </c>
      <c r="R361" s="3">
        <v>0</v>
      </c>
      <c r="S361" s="4">
        <v>0</v>
      </c>
      <c r="T361" s="4">
        <v>23</v>
      </c>
      <c r="U361" s="4">
        <v>53</v>
      </c>
      <c r="V361" s="4">
        <f>IF(ISERROR(VLOOKUP($S$361,'TAR FIN'!$A$1:$O$91,15,0)),0,VLOOKUP($S$361,'TAR FIN'!$A$1:$O$91,15,0))</f>
        <v>0</v>
      </c>
      <c r="W361" s="4">
        <f>IF(ISERROR(VLOOKUP($T$361,'TAR FIN'!$A$1:$O$91,15,0)),0,VLOOKUP($T$361,'TAR FIN'!$A$1:$O$91,15,0))</f>
        <v>312.64999999999998</v>
      </c>
      <c r="X361" s="4">
        <f>IF(ISERROR(VLOOKUP($U$361,'TAR FIN'!$A$1:$O$91,15,0)),0,VLOOKUP($U$361,'TAR FIN'!$A$1:$O$91,15,0))</f>
        <v>249.25</v>
      </c>
      <c r="Y361" s="4"/>
      <c r="Z361" s="4">
        <f ca="1">('TUSD BE'!$AM$23+'TUSD BF'!$AM$23+'TUSD CVA'!$AM$23)*1</f>
        <v>387.73720067118109</v>
      </c>
      <c r="AA361" s="4">
        <f>('TE BE'!$AB$13+'TE BF'!$AB$13+'TE CVA'!$AB$13)*1</f>
        <v>203.38274236935246</v>
      </c>
      <c r="AB361" s="4">
        <f>$K$361*$V$361</f>
        <v>0</v>
      </c>
      <c r="AC361" s="4">
        <f>$M$361*$W$361</f>
        <v>816711.20830000006</v>
      </c>
      <c r="AD361" s="4">
        <f>$O$361*$X$361</f>
        <v>651096.33350000007</v>
      </c>
      <c r="AE361" s="4">
        <f>$K$361*$Y$361</f>
        <v>0</v>
      </c>
      <c r="AF361" s="4">
        <f ca="1">$M$361*$Z$361</f>
        <v>1012855.6458116741</v>
      </c>
      <c r="AG361" s="4">
        <f>$O$361*$AA$361</f>
        <v>531280.8740375546</v>
      </c>
    </row>
    <row r="362" spans="1:33" ht="11.25" customHeight="1" x14ac:dyDescent="0.25">
      <c r="A362" s="3" t="s">
        <v>27</v>
      </c>
      <c r="B362" s="3" t="s">
        <v>22</v>
      </c>
      <c r="C362" s="3" t="s">
        <v>23</v>
      </c>
      <c r="D362" s="3" t="s">
        <v>24</v>
      </c>
      <c r="E362" s="3" t="s">
        <v>24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-1.8049999999999999</v>
      </c>
      <c r="M362" s="4">
        <v>-1.8049999999999999</v>
      </c>
      <c r="N362" s="4">
        <v>-1.8049999999999999</v>
      </c>
      <c r="O362" s="4">
        <v>-1.8049999999999999</v>
      </c>
      <c r="P362" s="4">
        <v>0</v>
      </c>
      <c r="Q362" s="3" t="s">
        <v>26</v>
      </c>
      <c r="R362" s="3">
        <v>0</v>
      </c>
      <c r="S362" s="4">
        <v>0</v>
      </c>
      <c r="T362" s="4">
        <v>23</v>
      </c>
      <c r="U362" s="4">
        <v>53</v>
      </c>
      <c r="V362" s="4">
        <f>IF(ISERROR(VLOOKUP($S$362,'TAR FIN'!$A$1:$O$91,15,0)),0,VLOOKUP($S$362,'TAR FIN'!$A$1:$O$91,15,0))</f>
        <v>0</v>
      </c>
      <c r="W362" s="4">
        <f>IF(ISERROR(VLOOKUP($T$362,'TAR FIN'!$A$1:$O$91,15,0)),0,VLOOKUP($T$362,'TAR FIN'!$A$1:$O$91,15,0))</f>
        <v>312.64999999999998</v>
      </c>
      <c r="X362" s="4">
        <f>IF(ISERROR(VLOOKUP($U$362,'TAR FIN'!$A$1:$O$91,15,0)),0,VLOOKUP($U$362,'TAR FIN'!$A$1:$O$91,15,0))</f>
        <v>249.25</v>
      </c>
      <c r="Y362" s="4"/>
      <c r="Z362" s="4">
        <f ca="1">('TUSD BE'!$AM$23+'TUSD BF'!$AM$23+'TUSD CVA'!$AM$23)*1</f>
        <v>387.73720067118109</v>
      </c>
      <c r="AA362" s="4">
        <f>('TE BE'!$AB$13+'TE BF'!$AB$13+'TE CVA'!$AB$13)*1</f>
        <v>203.38274236935246</v>
      </c>
      <c r="AB362" s="4">
        <f>$K$362*$V$362</f>
        <v>0</v>
      </c>
      <c r="AC362" s="4">
        <f>$M$362*$W$362</f>
        <v>-564.33324999999991</v>
      </c>
      <c r="AD362" s="4">
        <f>$O$362*$X$362</f>
        <v>-449.89625000000001</v>
      </c>
      <c r="AE362" s="4">
        <f>$K$362*$Y$362</f>
        <v>0</v>
      </c>
      <c r="AF362" s="4">
        <f ca="1">$M$362*$Z$362</f>
        <v>-699.86564721148181</v>
      </c>
      <c r="AG362" s="4">
        <f>$O$362*$AA$362</f>
        <v>-367.10584997668116</v>
      </c>
    </row>
    <row r="363" spans="1:33" ht="11.25" customHeight="1" x14ac:dyDescent="0.25">
      <c r="A363" s="3" t="s">
        <v>28</v>
      </c>
      <c r="B363" s="3" t="s">
        <v>22</v>
      </c>
      <c r="C363" s="3" t="s">
        <v>23</v>
      </c>
      <c r="D363" s="3" t="s">
        <v>24</v>
      </c>
      <c r="E363" s="3" t="s">
        <v>24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35.673000000000002</v>
      </c>
      <c r="M363" s="4">
        <v>35.673000000000002</v>
      </c>
      <c r="N363" s="4">
        <v>35.673000000000002</v>
      </c>
      <c r="O363" s="4">
        <v>35.673000000000002</v>
      </c>
      <c r="P363" s="4">
        <v>267</v>
      </c>
      <c r="Q363" s="3" t="s">
        <v>26</v>
      </c>
      <c r="R363" s="3">
        <v>0</v>
      </c>
      <c r="S363" s="4">
        <v>0</v>
      </c>
      <c r="T363" s="4">
        <v>23</v>
      </c>
      <c r="U363" s="4">
        <v>53</v>
      </c>
      <c r="V363" s="4">
        <f>IF(ISERROR(VLOOKUP($S$363,'TAR FIN'!$A$1:$O$91,15,0)),0,VLOOKUP($S$363,'TAR FIN'!$A$1:$O$91,15,0))</f>
        <v>0</v>
      </c>
      <c r="W363" s="4">
        <f>IF(ISERROR(VLOOKUP($T$363,'TAR FIN'!$A$1:$O$91,15,0)),0,VLOOKUP($T$363,'TAR FIN'!$A$1:$O$91,15,0))</f>
        <v>312.64999999999998</v>
      </c>
      <c r="X363" s="4">
        <f>IF(ISERROR(VLOOKUP($U$363,'TAR FIN'!$A$1:$O$91,15,0)),0,VLOOKUP($U$363,'TAR FIN'!$A$1:$O$91,15,0))</f>
        <v>249.25</v>
      </c>
      <c r="Y363" s="4"/>
      <c r="Z363" s="4">
        <f ca="1">('TUSD BE'!$AM$23+'TUSD BF'!$AM$23+'TUSD CVA'!$AM$23)*1</f>
        <v>387.73720067118109</v>
      </c>
      <c r="AA363" s="4">
        <f>('TE BE'!$AB$13+'TE BF'!$AB$13+'TE CVA'!$AB$13)*1</f>
        <v>203.38274236935246</v>
      </c>
      <c r="AB363" s="4">
        <f>$K$363*$V$363</f>
        <v>0</v>
      </c>
      <c r="AC363" s="4">
        <f>$M$363*$W$363</f>
        <v>11153.16345</v>
      </c>
      <c r="AD363" s="4">
        <f>$O$363*$X$363</f>
        <v>8891.4952499999999</v>
      </c>
      <c r="AE363" s="4">
        <f>$K$363*$Y$363</f>
        <v>0</v>
      </c>
      <c r="AF363" s="4">
        <f ca="1">$M$363*$Z$363</f>
        <v>13831.749159543044</v>
      </c>
      <c r="AG363" s="4">
        <f>$O$363*$AA$363</f>
        <v>7255.2725685419109</v>
      </c>
    </row>
    <row r="364" spans="1:33" ht="11.25" customHeight="1" x14ac:dyDescent="0.25">
      <c r="A364" s="3" t="s">
        <v>21</v>
      </c>
      <c r="B364" s="3" t="s">
        <v>22</v>
      </c>
      <c r="C364" s="3" t="s">
        <v>23</v>
      </c>
      <c r="D364" s="3" t="s">
        <v>24</v>
      </c>
      <c r="E364" s="3" t="s">
        <v>24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2775.0729999999999</v>
      </c>
      <c r="M364" s="4">
        <v>2775.0729999999999</v>
      </c>
      <c r="N364" s="4">
        <v>2775.0729999999999</v>
      </c>
      <c r="O364" s="4">
        <v>2775.0729999999999</v>
      </c>
      <c r="P364" s="4">
        <v>11063</v>
      </c>
      <c r="Q364" s="3" t="s">
        <v>26</v>
      </c>
      <c r="R364" s="3">
        <v>0</v>
      </c>
      <c r="S364" s="4">
        <v>0</v>
      </c>
      <c r="T364" s="4">
        <v>23</v>
      </c>
      <c r="U364" s="4">
        <v>53</v>
      </c>
      <c r="V364" s="4">
        <f>IF(ISERROR(VLOOKUP($S$364,'TAR FIN'!$A$1:$O$91,15,0)),0,VLOOKUP($S$364,'TAR FIN'!$A$1:$O$91,15,0))</f>
        <v>0</v>
      </c>
      <c r="W364" s="4">
        <f>IF(ISERROR(VLOOKUP($T$364,'TAR FIN'!$A$1:$O$91,15,0)),0,VLOOKUP($T$364,'TAR FIN'!$A$1:$O$91,15,0))</f>
        <v>312.64999999999998</v>
      </c>
      <c r="X364" s="4">
        <f>IF(ISERROR(VLOOKUP($U$364,'TAR FIN'!$A$1:$O$91,15,0)),0,VLOOKUP($U$364,'TAR FIN'!$A$1:$O$91,15,0))</f>
        <v>249.25</v>
      </c>
      <c r="Y364" s="4"/>
      <c r="Z364" s="4">
        <f ca="1">('TUSD BE'!$AM$23+'TUSD BF'!$AM$23+'TUSD CVA'!$AM$23)*1</f>
        <v>387.73720067118109</v>
      </c>
      <c r="AA364" s="4">
        <f>('TE BE'!$AB$13+'TE BF'!$AB$13+'TE CVA'!$AB$13)*1</f>
        <v>203.38274236935246</v>
      </c>
      <c r="AB364" s="4">
        <f>$K$364*$V$364</f>
        <v>0</v>
      </c>
      <c r="AC364" s="4">
        <f>$M$364*$W$364</f>
        <v>867626.57344999991</v>
      </c>
      <c r="AD364" s="4">
        <f>$O$364*$X$364</f>
        <v>691686.94524999999</v>
      </c>
      <c r="AE364" s="4">
        <f>$K$364*$Y$364</f>
        <v>0</v>
      </c>
      <c r="AF364" s="4">
        <f ca="1">$M$364*$Z$364</f>
        <v>1075999.0366781764</v>
      </c>
      <c r="AG364" s="4">
        <f>$O$364*$AA$364</f>
        <v>564401.95701514604</v>
      </c>
    </row>
    <row r="365" spans="1:33" ht="11.25" customHeight="1" x14ac:dyDescent="0.25">
      <c r="A365" s="3" t="s">
        <v>28</v>
      </c>
      <c r="B365" s="3" t="s">
        <v>22</v>
      </c>
      <c r="C365" s="3" t="s">
        <v>23</v>
      </c>
      <c r="D365" s="3" t="s">
        <v>24</v>
      </c>
      <c r="E365" s="3" t="s">
        <v>24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40.408000000000001</v>
      </c>
      <c r="M365" s="4">
        <v>40.408000000000001</v>
      </c>
      <c r="N365" s="4">
        <v>40.408000000000001</v>
      </c>
      <c r="O365" s="4">
        <v>40.408000000000001</v>
      </c>
      <c r="P365" s="4">
        <v>288</v>
      </c>
      <c r="Q365" s="3" t="s">
        <v>26</v>
      </c>
      <c r="R365" s="3">
        <v>0</v>
      </c>
      <c r="S365" s="4">
        <v>0</v>
      </c>
      <c r="T365" s="4">
        <v>23</v>
      </c>
      <c r="U365" s="4">
        <v>53</v>
      </c>
      <c r="V365" s="4">
        <f>IF(ISERROR(VLOOKUP($S$365,'TAR FIN'!$A$1:$O$91,15,0)),0,VLOOKUP($S$365,'TAR FIN'!$A$1:$O$91,15,0))</f>
        <v>0</v>
      </c>
      <c r="W365" s="4">
        <f>IF(ISERROR(VLOOKUP($T$365,'TAR FIN'!$A$1:$O$91,15,0)),0,VLOOKUP($T$365,'TAR FIN'!$A$1:$O$91,15,0))</f>
        <v>312.64999999999998</v>
      </c>
      <c r="X365" s="4">
        <f>IF(ISERROR(VLOOKUP($U$365,'TAR FIN'!$A$1:$O$91,15,0)),0,VLOOKUP($U$365,'TAR FIN'!$A$1:$O$91,15,0))</f>
        <v>249.25</v>
      </c>
      <c r="Y365" s="4"/>
      <c r="Z365" s="4">
        <f ca="1">('TUSD BE'!$AM$23+'TUSD BF'!$AM$23+'TUSD CVA'!$AM$23)*1</f>
        <v>387.73720067118109</v>
      </c>
      <c r="AA365" s="4">
        <f>('TE BE'!$AB$13+'TE BF'!$AB$13+'TE CVA'!$AB$13)*1</f>
        <v>203.38274236935246</v>
      </c>
      <c r="AB365" s="4">
        <f>$K$365*$V$365</f>
        <v>0</v>
      </c>
      <c r="AC365" s="4">
        <f>$M$365*$W$365</f>
        <v>12633.5612</v>
      </c>
      <c r="AD365" s="4">
        <f>$O$365*$X$365</f>
        <v>10071.694</v>
      </c>
      <c r="AE365" s="4">
        <f>$K$365*$Y$365</f>
        <v>0</v>
      </c>
      <c r="AF365" s="4">
        <f ca="1">$M$365*$Z$365</f>
        <v>15667.684804721086</v>
      </c>
      <c r="AG365" s="4">
        <f>$O$365*$AA$365</f>
        <v>8218.2898536607936</v>
      </c>
    </row>
    <row r="366" spans="1:33" ht="11.25" customHeight="1" x14ac:dyDescent="0.25">
      <c r="A366" s="3" t="s">
        <v>21</v>
      </c>
      <c r="B366" s="3" t="s">
        <v>22</v>
      </c>
      <c r="C366" s="3" t="s">
        <v>23</v>
      </c>
      <c r="D366" s="3" t="s">
        <v>24</v>
      </c>
      <c r="E366" s="3" t="s">
        <v>24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3204.7579999999998</v>
      </c>
      <c r="M366" s="4">
        <v>3204.7579999999998</v>
      </c>
      <c r="N366" s="4">
        <v>3204.7579999999998</v>
      </c>
      <c r="O366" s="4">
        <v>3204.7579999999998</v>
      </c>
      <c r="P366" s="4">
        <v>11071</v>
      </c>
      <c r="Q366" s="3" t="s">
        <v>26</v>
      </c>
      <c r="R366" s="3">
        <v>0</v>
      </c>
      <c r="S366" s="4">
        <v>0</v>
      </c>
      <c r="T366" s="4">
        <v>23</v>
      </c>
      <c r="U366" s="4">
        <v>53</v>
      </c>
      <c r="V366" s="4">
        <f>IF(ISERROR(VLOOKUP($S$366,'TAR FIN'!$A$1:$O$91,15,0)),0,VLOOKUP($S$366,'TAR FIN'!$A$1:$O$91,15,0))</f>
        <v>0</v>
      </c>
      <c r="W366" s="4">
        <f>IF(ISERROR(VLOOKUP($T$366,'TAR FIN'!$A$1:$O$91,15,0)),0,VLOOKUP($T$366,'TAR FIN'!$A$1:$O$91,15,0))</f>
        <v>312.64999999999998</v>
      </c>
      <c r="X366" s="4">
        <f>IF(ISERROR(VLOOKUP($U$366,'TAR FIN'!$A$1:$O$91,15,0)),0,VLOOKUP($U$366,'TAR FIN'!$A$1:$O$91,15,0))</f>
        <v>249.25</v>
      </c>
      <c r="Y366" s="4"/>
      <c r="Z366" s="4">
        <f ca="1">('TUSD BE'!$AM$23+'TUSD BF'!$AM$23+'TUSD CVA'!$AM$23)*1</f>
        <v>387.73720067118109</v>
      </c>
      <c r="AA366" s="4">
        <f>('TE BE'!$AB$13+'TE BF'!$AB$13+'TE CVA'!$AB$13)*1</f>
        <v>203.38274236935246</v>
      </c>
      <c r="AB366" s="4">
        <f>$K$366*$V$366</f>
        <v>0</v>
      </c>
      <c r="AC366" s="4">
        <f>$M$366*$W$366</f>
        <v>1001967.5886999998</v>
      </c>
      <c r="AD366" s="4">
        <f>$O$366*$X$366</f>
        <v>798785.93149999995</v>
      </c>
      <c r="AE366" s="4">
        <f>$K$366*$Y$366</f>
        <v>0</v>
      </c>
      <c r="AF366" s="4">
        <f ca="1">$M$366*$Z$366</f>
        <v>1242603.8957485729</v>
      </c>
      <c r="AG366" s="4">
        <f>$O$366*$AA$366</f>
        <v>651792.47067012126</v>
      </c>
    </row>
    <row r="367" spans="1:33" ht="11.25" customHeight="1" x14ac:dyDescent="0.25">
      <c r="A367" s="3" t="s">
        <v>27</v>
      </c>
      <c r="B367" s="3" t="s">
        <v>22</v>
      </c>
      <c r="C367" s="3" t="s">
        <v>23</v>
      </c>
      <c r="D367" s="3" t="s">
        <v>24</v>
      </c>
      <c r="E367" s="3" t="s">
        <v>24</v>
      </c>
      <c r="F367" s="3" t="s">
        <v>25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-6.5839999999999996</v>
      </c>
      <c r="M367" s="4">
        <v>-6.5839999999999996</v>
      </c>
      <c r="N367" s="4">
        <v>-6.5839999999999996</v>
      </c>
      <c r="O367" s="4">
        <v>-6.5839999999999996</v>
      </c>
      <c r="P367" s="4">
        <v>0</v>
      </c>
      <c r="Q367" s="3" t="s">
        <v>26</v>
      </c>
      <c r="R367" s="3">
        <v>0</v>
      </c>
      <c r="S367" s="4">
        <v>0</v>
      </c>
      <c r="T367" s="4">
        <v>23</v>
      </c>
      <c r="U367" s="4">
        <v>53</v>
      </c>
      <c r="V367" s="4">
        <f>IF(ISERROR(VLOOKUP($S$367,'TAR FIN'!$A$1:$O$91,15,0)),0,VLOOKUP($S$367,'TAR FIN'!$A$1:$O$91,15,0))</f>
        <v>0</v>
      </c>
      <c r="W367" s="4">
        <f>IF(ISERROR(VLOOKUP($T$367,'TAR FIN'!$A$1:$O$91,15,0)),0,VLOOKUP($T$367,'TAR FIN'!$A$1:$O$91,15,0))</f>
        <v>312.64999999999998</v>
      </c>
      <c r="X367" s="4">
        <f>IF(ISERROR(VLOOKUP($U$367,'TAR FIN'!$A$1:$O$91,15,0)),0,VLOOKUP($U$367,'TAR FIN'!$A$1:$O$91,15,0))</f>
        <v>249.25</v>
      </c>
      <c r="Y367" s="4"/>
      <c r="Z367" s="4">
        <f ca="1">('TUSD BE'!$AM$23+'TUSD BF'!$AM$23+'TUSD CVA'!$AM$23)*1</f>
        <v>387.73720067118109</v>
      </c>
      <c r="AA367" s="4">
        <f>('TE BE'!$AB$13+'TE BF'!$AB$13+'TE CVA'!$AB$13)*1</f>
        <v>203.38274236935246</v>
      </c>
      <c r="AB367" s="4">
        <f>$K$367*$V$367</f>
        <v>0</v>
      </c>
      <c r="AC367" s="4">
        <f>$M$367*$W$367</f>
        <v>-2058.4875999999999</v>
      </c>
      <c r="AD367" s="4">
        <f>$O$367*$X$367</f>
        <v>-1641.0619999999999</v>
      </c>
      <c r="AE367" s="4">
        <f>$K$367*$Y$367</f>
        <v>0</v>
      </c>
      <c r="AF367" s="4">
        <f ca="1">$M$367*$Z$367</f>
        <v>-2552.8617292190561</v>
      </c>
      <c r="AG367" s="4">
        <f>$O$367*$AA$367</f>
        <v>-1339.0719757598165</v>
      </c>
    </row>
    <row r="368" spans="1:33" ht="11.25" customHeight="1" x14ac:dyDescent="0.25">
      <c r="A368" s="3" t="s">
        <v>28</v>
      </c>
      <c r="B368" s="3" t="s">
        <v>22</v>
      </c>
      <c r="C368" s="3" t="s">
        <v>23</v>
      </c>
      <c r="D368" s="3" t="s">
        <v>24</v>
      </c>
      <c r="E368" s="3" t="s">
        <v>24</v>
      </c>
      <c r="F368" s="3" t="s">
        <v>25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42.773000000000003</v>
      </c>
      <c r="M368" s="4">
        <v>42.773000000000003</v>
      </c>
      <c r="N368" s="4">
        <v>42.773000000000003</v>
      </c>
      <c r="O368" s="4">
        <v>42.773000000000003</v>
      </c>
      <c r="P368" s="4">
        <v>304</v>
      </c>
      <c r="Q368" s="3" t="s">
        <v>26</v>
      </c>
      <c r="R368" s="3">
        <v>0</v>
      </c>
      <c r="S368" s="4">
        <v>0</v>
      </c>
      <c r="T368" s="4">
        <v>23</v>
      </c>
      <c r="U368" s="4">
        <v>53</v>
      </c>
      <c r="V368" s="4">
        <f>IF(ISERROR(VLOOKUP($S$368,'TAR FIN'!$A$1:$O$91,15,0)),0,VLOOKUP($S$368,'TAR FIN'!$A$1:$O$91,15,0))</f>
        <v>0</v>
      </c>
      <c r="W368" s="4">
        <f>IF(ISERROR(VLOOKUP($T$368,'TAR FIN'!$A$1:$O$91,15,0)),0,VLOOKUP($T$368,'TAR FIN'!$A$1:$O$91,15,0))</f>
        <v>312.64999999999998</v>
      </c>
      <c r="X368" s="4">
        <f>IF(ISERROR(VLOOKUP($U$368,'TAR FIN'!$A$1:$O$91,15,0)),0,VLOOKUP($U$368,'TAR FIN'!$A$1:$O$91,15,0))</f>
        <v>249.25</v>
      </c>
      <c r="Y368" s="4"/>
      <c r="Z368" s="4">
        <f ca="1">('TUSD BE'!$AM$23+'TUSD BF'!$AM$23+'TUSD CVA'!$AM$23)*1</f>
        <v>387.73720067118109</v>
      </c>
      <c r="AA368" s="4">
        <f>('TE BE'!$AB$13+'TE BF'!$AB$13+'TE CVA'!$AB$13)*1</f>
        <v>203.38274236935246</v>
      </c>
      <c r="AB368" s="4">
        <f>$K$368*$V$368</f>
        <v>0</v>
      </c>
      <c r="AC368" s="4">
        <f>$M$368*$W$368</f>
        <v>13372.978450000001</v>
      </c>
      <c r="AD368" s="4">
        <f>$O$368*$X$368</f>
        <v>10661.170250000001</v>
      </c>
      <c r="AE368" s="4">
        <f>$K$368*$Y$368</f>
        <v>0</v>
      </c>
      <c r="AF368" s="4">
        <f ca="1">$M$368*$Z$368</f>
        <v>16584.68328430843</v>
      </c>
      <c r="AG368" s="4">
        <f>$O$368*$AA$368</f>
        <v>8699.290039364314</v>
      </c>
    </row>
    <row r="369" spans="1:33" ht="11.25" customHeight="1" x14ac:dyDescent="0.25">
      <c r="A369" s="3" t="s">
        <v>21</v>
      </c>
      <c r="B369" s="3" t="s">
        <v>22</v>
      </c>
      <c r="C369" s="3" t="s">
        <v>23</v>
      </c>
      <c r="D369" s="3" t="s">
        <v>24</v>
      </c>
      <c r="E369" s="3" t="s">
        <v>24</v>
      </c>
      <c r="F369" s="3" t="s">
        <v>25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3548.9490000000001</v>
      </c>
      <c r="M369" s="4">
        <v>3548.9490000000001</v>
      </c>
      <c r="N369" s="4">
        <v>3548.9490000000001</v>
      </c>
      <c r="O369" s="4">
        <v>3548.9490000000001</v>
      </c>
      <c r="P369" s="4">
        <v>11009</v>
      </c>
      <c r="Q369" s="3" t="s">
        <v>26</v>
      </c>
      <c r="R369" s="3">
        <v>0</v>
      </c>
      <c r="S369" s="4">
        <v>0</v>
      </c>
      <c r="T369" s="4">
        <v>23</v>
      </c>
      <c r="U369" s="4">
        <v>53</v>
      </c>
      <c r="V369" s="4">
        <f>IF(ISERROR(VLOOKUP($S$369,'TAR FIN'!$A$1:$O$91,15,0)),0,VLOOKUP($S$369,'TAR FIN'!$A$1:$O$91,15,0))</f>
        <v>0</v>
      </c>
      <c r="W369" s="4">
        <f>IF(ISERROR(VLOOKUP($T$369,'TAR FIN'!$A$1:$O$91,15,0)),0,VLOOKUP($T$369,'TAR FIN'!$A$1:$O$91,15,0))</f>
        <v>312.64999999999998</v>
      </c>
      <c r="X369" s="4">
        <f>IF(ISERROR(VLOOKUP($U$369,'TAR FIN'!$A$1:$O$91,15,0)),0,VLOOKUP($U$369,'TAR FIN'!$A$1:$O$91,15,0))</f>
        <v>249.25</v>
      </c>
      <c r="Y369" s="4"/>
      <c r="Z369" s="4">
        <f ca="1">('TUSD BE'!$AM$23+'TUSD BF'!$AM$23+'TUSD CVA'!$AM$23)*1</f>
        <v>387.73720067118109</v>
      </c>
      <c r="AA369" s="4">
        <f>('TE BE'!$AB$13+'TE BF'!$AB$13+'TE CVA'!$AB$13)*1</f>
        <v>203.38274236935246</v>
      </c>
      <c r="AB369" s="4">
        <f>$K$369*$V$369</f>
        <v>0</v>
      </c>
      <c r="AC369" s="4">
        <f>$M$369*$W$369</f>
        <v>1109578.90485</v>
      </c>
      <c r="AD369" s="4">
        <f>$O$369*$X$369</f>
        <v>884575.53824999998</v>
      </c>
      <c r="AE369" s="4">
        <f>$K$369*$Y$369</f>
        <v>0</v>
      </c>
      <c r="AF369" s="4">
        <f ca="1">$M$369*$Z$369</f>
        <v>1376059.5505847875</v>
      </c>
      <c r="AG369" s="4">
        <f>$O$369*$AA$369</f>
        <v>721794.98014897108</v>
      </c>
    </row>
    <row r="370" spans="1:33" ht="11.25" customHeight="1" x14ac:dyDescent="0.25">
      <c r="A370" s="3" t="s">
        <v>27</v>
      </c>
      <c r="B370" s="3" t="s">
        <v>22</v>
      </c>
      <c r="C370" s="3" t="s">
        <v>23</v>
      </c>
      <c r="D370" s="3" t="s">
        <v>24</v>
      </c>
      <c r="E370" s="3" t="s">
        <v>24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-0.85099999999999998</v>
      </c>
      <c r="M370" s="4">
        <v>-0.85099999999999998</v>
      </c>
      <c r="N370" s="4">
        <v>-0.85099999999999998</v>
      </c>
      <c r="O370" s="4">
        <v>-0.85099999999999998</v>
      </c>
      <c r="P370" s="4">
        <v>0</v>
      </c>
      <c r="Q370" s="3" t="s">
        <v>26</v>
      </c>
      <c r="R370" s="3">
        <v>0</v>
      </c>
      <c r="S370" s="4">
        <v>0</v>
      </c>
      <c r="T370" s="4">
        <v>23</v>
      </c>
      <c r="U370" s="4">
        <v>53</v>
      </c>
      <c r="V370" s="4">
        <f>IF(ISERROR(VLOOKUP($S$370,'TAR FIN'!$A$1:$O$91,15,0)),0,VLOOKUP($S$370,'TAR FIN'!$A$1:$O$91,15,0))</f>
        <v>0</v>
      </c>
      <c r="W370" s="4">
        <f>IF(ISERROR(VLOOKUP($T$370,'TAR FIN'!$A$1:$O$91,15,0)),0,VLOOKUP($T$370,'TAR FIN'!$A$1:$O$91,15,0))</f>
        <v>312.64999999999998</v>
      </c>
      <c r="X370" s="4">
        <f>IF(ISERROR(VLOOKUP($U$370,'TAR FIN'!$A$1:$O$91,15,0)),0,VLOOKUP($U$370,'TAR FIN'!$A$1:$O$91,15,0))</f>
        <v>249.25</v>
      </c>
      <c r="Y370" s="4"/>
      <c r="Z370" s="4">
        <f ca="1">('TUSD BE'!$AM$23+'TUSD BF'!$AM$23+'TUSD CVA'!$AM$23)*1</f>
        <v>387.73720067118109</v>
      </c>
      <c r="AA370" s="4">
        <f>('TE BE'!$AB$13+'TE BF'!$AB$13+'TE CVA'!$AB$13)*1</f>
        <v>203.38274236935246</v>
      </c>
      <c r="AB370" s="4">
        <f>$K$370*$V$370</f>
        <v>0</v>
      </c>
      <c r="AC370" s="4">
        <f>$M$370*$W$370</f>
        <v>-266.06514999999996</v>
      </c>
      <c r="AD370" s="4">
        <f>$O$370*$X$370</f>
        <v>-212.11175</v>
      </c>
      <c r="AE370" s="4">
        <f>$K$370*$Y$370</f>
        <v>0</v>
      </c>
      <c r="AF370" s="4">
        <f ca="1">$M$370*$Z$370</f>
        <v>-329.96435777117512</v>
      </c>
      <c r="AG370" s="4">
        <f>$O$370*$AA$370</f>
        <v>-173.07871375631893</v>
      </c>
    </row>
    <row r="371" spans="1:33" ht="11.25" customHeight="1" x14ac:dyDescent="0.25">
      <c r="A371" s="3" t="s">
        <v>28</v>
      </c>
      <c r="B371" s="3" t="s">
        <v>22</v>
      </c>
      <c r="C371" s="3" t="s">
        <v>23</v>
      </c>
      <c r="D371" s="3" t="s">
        <v>24</v>
      </c>
      <c r="E371" s="3" t="s">
        <v>24</v>
      </c>
      <c r="F371" s="3" t="s">
        <v>25</v>
      </c>
      <c r="G371" s="3" t="s">
        <v>25</v>
      </c>
      <c r="H371" s="3" t="s">
        <v>25</v>
      </c>
      <c r="I371" s="6">
        <v>44593</v>
      </c>
      <c r="J371" s="4">
        <v>0</v>
      </c>
      <c r="K371" s="4">
        <v>0</v>
      </c>
      <c r="L371" s="4">
        <v>54.786000000000001</v>
      </c>
      <c r="M371" s="4">
        <v>54.786000000000001</v>
      </c>
      <c r="N371" s="4">
        <v>54.786000000000001</v>
      </c>
      <c r="O371" s="4">
        <v>54.786000000000001</v>
      </c>
      <c r="P371" s="4">
        <v>315</v>
      </c>
      <c r="Q371" s="3" t="s">
        <v>26</v>
      </c>
      <c r="R371" s="3">
        <v>0</v>
      </c>
      <c r="S371" s="4">
        <v>0</v>
      </c>
      <c r="T371" s="4">
        <v>23</v>
      </c>
      <c r="U371" s="4">
        <v>53</v>
      </c>
      <c r="V371" s="4">
        <f>IF(ISERROR(VLOOKUP($S$371,'TAR FIN'!$A$1:$O$91,15,0)),0,VLOOKUP($S$371,'TAR FIN'!$A$1:$O$91,15,0))</f>
        <v>0</v>
      </c>
      <c r="W371" s="4">
        <f>IF(ISERROR(VLOOKUP($T$371,'TAR FIN'!$A$1:$O$91,15,0)),0,VLOOKUP($T$371,'TAR FIN'!$A$1:$O$91,15,0))</f>
        <v>312.64999999999998</v>
      </c>
      <c r="X371" s="4">
        <f>IF(ISERROR(VLOOKUP($U$371,'TAR FIN'!$A$1:$O$91,15,0)),0,VLOOKUP($U$371,'TAR FIN'!$A$1:$O$91,15,0))</f>
        <v>249.25</v>
      </c>
      <c r="Y371" s="4"/>
      <c r="Z371" s="4">
        <f ca="1">('TUSD BE'!$AM$23+'TUSD BF'!$AM$23+'TUSD CVA'!$AM$23)*1</f>
        <v>387.73720067118109</v>
      </c>
      <c r="AA371" s="4">
        <f>('TE BE'!$AB$13+'TE BF'!$AB$13+'TE CVA'!$AB$13)*1</f>
        <v>203.38274236935246</v>
      </c>
      <c r="AB371" s="4">
        <f>$K$371*$V$371</f>
        <v>0</v>
      </c>
      <c r="AC371" s="4">
        <f>$M$371*$W$371</f>
        <v>17128.8429</v>
      </c>
      <c r="AD371" s="4">
        <f>$O$371*$X$371</f>
        <v>13655.4105</v>
      </c>
      <c r="AE371" s="4">
        <f>$K$371*$Y$371</f>
        <v>0</v>
      </c>
      <c r="AF371" s="4">
        <f ca="1">$M$371*$Z$371</f>
        <v>21242.570275971328</v>
      </c>
      <c r="AG371" s="4">
        <f>$O$371*$AA$371</f>
        <v>11142.526923447344</v>
      </c>
    </row>
    <row r="372" spans="1:33" ht="11.25" customHeight="1" x14ac:dyDescent="0.25">
      <c r="A372" s="3" t="s">
        <v>21</v>
      </c>
      <c r="B372" s="3" t="s">
        <v>22</v>
      </c>
      <c r="C372" s="3" t="s">
        <v>23</v>
      </c>
      <c r="D372" s="3" t="s">
        <v>24</v>
      </c>
      <c r="E372" s="3" t="s">
        <v>24</v>
      </c>
      <c r="F372" s="3" t="s">
        <v>25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3130.4110000000001</v>
      </c>
      <c r="M372" s="4">
        <v>3130.4110000000001</v>
      </c>
      <c r="N372" s="4">
        <v>3130.4110000000001</v>
      </c>
      <c r="O372" s="4">
        <v>3130.4110000000001</v>
      </c>
      <c r="P372" s="4">
        <v>10989</v>
      </c>
      <c r="Q372" s="3" t="s">
        <v>26</v>
      </c>
      <c r="R372" s="3">
        <v>0</v>
      </c>
      <c r="S372" s="4">
        <v>0</v>
      </c>
      <c r="T372" s="4">
        <v>23</v>
      </c>
      <c r="U372" s="4">
        <v>53</v>
      </c>
      <c r="V372" s="4">
        <f>IF(ISERROR(VLOOKUP($S$372,'TAR FIN'!$A$1:$O$91,15,0)),0,VLOOKUP($S$372,'TAR FIN'!$A$1:$O$91,15,0))</f>
        <v>0</v>
      </c>
      <c r="W372" s="4">
        <f>IF(ISERROR(VLOOKUP($T$372,'TAR FIN'!$A$1:$O$91,15,0)),0,VLOOKUP($T$372,'TAR FIN'!$A$1:$O$91,15,0))</f>
        <v>312.64999999999998</v>
      </c>
      <c r="X372" s="4">
        <f>IF(ISERROR(VLOOKUP($U$372,'TAR FIN'!$A$1:$O$91,15,0)),0,VLOOKUP($U$372,'TAR FIN'!$A$1:$O$91,15,0))</f>
        <v>249.25</v>
      </c>
      <c r="Y372" s="4"/>
      <c r="Z372" s="4">
        <f ca="1">('TUSD BE'!$AM$23+'TUSD BF'!$AM$23+'TUSD CVA'!$AM$23)*1</f>
        <v>387.73720067118109</v>
      </c>
      <c r="AA372" s="4">
        <f>('TE BE'!$AB$13+'TE BF'!$AB$13+'TE CVA'!$AB$13)*1</f>
        <v>203.38274236935246</v>
      </c>
      <c r="AB372" s="4">
        <f>$K$372*$V$372</f>
        <v>0</v>
      </c>
      <c r="AC372" s="4">
        <f>$M$372*$W$372</f>
        <v>978722.99914999993</v>
      </c>
      <c r="AD372" s="4">
        <f>$O$372*$X$372</f>
        <v>780254.94175</v>
      </c>
      <c r="AE372" s="4">
        <f>$K$372*$Y$372</f>
        <v>0</v>
      </c>
      <c r="AF372" s="4">
        <f ca="1">$M$372*$Z$372</f>
        <v>1213776.7980902726</v>
      </c>
      <c r="AG372" s="4">
        <f>$O$372*$AA$372</f>
        <v>636671.57392318698</v>
      </c>
    </row>
    <row r="373" spans="1:33" ht="11.25" customHeight="1" x14ac:dyDescent="0.25">
      <c r="A373" s="3" t="s">
        <v>27</v>
      </c>
      <c r="B373" s="3" t="s">
        <v>22</v>
      </c>
      <c r="C373" s="3" t="s">
        <v>23</v>
      </c>
      <c r="D373" s="3" t="s">
        <v>24</v>
      </c>
      <c r="E373" s="3" t="s">
        <v>24</v>
      </c>
      <c r="F373" s="3" t="s">
        <v>25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-1.18</v>
      </c>
      <c r="M373" s="4">
        <v>-1.18</v>
      </c>
      <c r="N373" s="4">
        <v>-1.18</v>
      </c>
      <c r="O373" s="4">
        <v>-1.18</v>
      </c>
      <c r="P373" s="4">
        <v>0</v>
      </c>
      <c r="Q373" s="3" t="s">
        <v>26</v>
      </c>
      <c r="R373" s="3">
        <v>0</v>
      </c>
      <c r="S373" s="4">
        <v>0</v>
      </c>
      <c r="T373" s="4">
        <v>23</v>
      </c>
      <c r="U373" s="4">
        <v>53</v>
      </c>
      <c r="V373" s="4">
        <f>IF(ISERROR(VLOOKUP($S$373,'TAR FIN'!$A$1:$O$91,15,0)),0,VLOOKUP($S$373,'TAR FIN'!$A$1:$O$91,15,0))</f>
        <v>0</v>
      </c>
      <c r="W373" s="4">
        <f>IF(ISERROR(VLOOKUP($T$373,'TAR FIN'!$A$1:$O$91,15,0)),0,VLOOKUP($T$373,'TAR FIN'!$A$1:$O$91,15,0))</f>
        <v>312.64999999999998</v>
      </c>
      <c r="X373" s="4">
        <f>IF(ISERROR(VLOOKUP($U$373,'TAR FIN'!$A$1:$O$91,15,0)),0,VLOOKUP($U$373,'TAR FIN'!$A$1:$O$91,15,0))</f>
        <v>249.25</v>
      </c>
      <c r="Y373" s="4"/>
      <c r="Z373" s="4">
        <f ca="1">('TUSD BE'!$AM$23+'TUSD BF'!$AM$23+'TUSD CVA'!$AM$23)*1</f>
        <v>387.73720067118109</v>
      </c>
      <c r="AA373" s="4">
        <f>('TE BE'!$AB$13+'TE BF'!$AB$13+'TE CVA'!$AB$13)*1</f>
        <v>203.38274236935246</v>
      </c>
      <c r="AB373" s="4">
        <f>$K$373*$V$373</f>
        <v>0</v>
      </c>
      <c r="AC373" s="4">
        <f>$M$373*$W$373</f>
        <v>-368.92699999999996</v>
      </c>
      <c r="AD373" s="4">
        <f>$O$373*$X$373</f>
        <v>-294.11500000000001</v>
      </c>
      <c r="AE373" s="4">
        <f>$K$373*$Y$373</f>
        <v>0</v>
      </c>
      <c r="AF373" s="4">
        <f ca="1">$M$373*$Z$373</f>
        <v>-457.52989679199368</v>
      </c>
      <c r="AG373" s="4">
        <f>$O$373*$AA$373</f>
        <v>-239.99163599583588</v>
      </c>
    </row>
    <row r="374" spans="1:33" ht="11.25" customHeight="1" x14ac:dyDescent="0.25">
      <c r="A374" s="3" t="s">
        <v>28</v>
      </c>
      <c r="B374" s="3" t="s">
        <v>22</v>
      </c>
      <c r="C374" s="3" t="s">
        <v>23</v>
      </c>
      <c r="D374" s="3" t="s">
        <v>24</v>
      </c>
      <c r="E374" s="3" t="s">
        <v>24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4">
        <v>0</v>
      </c>
      <c r="L374" s="4">
        <v>56.368000000000002</v>
      </c>
      <c r="M374" s="4">
        <v>56.368000000000002</v>
      </c>
      <c r="N374" s="4">
        <v>56.368000000000002</v>
      </c>
      <c r="O374" s="4">
        <v>56.368000000000002</v>
      </c>
      <c r="P374" s="4">
        <v>329</v>
      </c>
      <c r="Q374" s="3" t="s">
        <v>26</v>
      </c>
      <c r="R374" s="3">
        <v>0</v>
      </c>
      <c r="S374" s="4">
        <v>0</v>
      </c>
      <c r="T374" s="4">
        <v>23</v>
      </c>
      <c r="U374" s="4">
        <v>53</v>
      </c>
      <c r="V374" s="4">
        <f>IF(ISERROR(VLOOKUP($S$374,'TAR FIN'!$A$1:$O$91,15,0)),0,VLOOKUP($S$374,'TAR FIN'!$A$1:$O$91,15,0))</f>
        <v>0</v>
      </c>
      <c r="W374" s="4">
        <f>IF(ISERROR(VLOOKUP($T$374,'TAR FIN'!$A$1:$O$91,15,0)),0,VLOOKUP($T$374,'TAR FIN'!$A$1:$O$91,15,0))</f>
        <v>312.64999999999998</v>
      </c>
      <c r="X374" s="4">
        <f>IF(ISERROR(VLOOKUP($U$374,'TAR FIN'!$A$1:$O$91,15,0)),0,VLOOKUP($U$374,'TAR FIN'!$A$1:$O$91,15,0))</f>
        <v>249.25</v>
      </c>
      <c r="Y374" s="4"/>
      <c r="Z374" s="4">
        <f ca="1">('TUSD BE'!$AM$23+'TUSD BF'!$AM$23+'TUSD CVA'!$AM$23)*1</f>
        <v>387.73720067118109</v>
      </c>
      <c r="AA374" s="4">
        <f>('TE BE'!$AB$13+'TE BF'!$AB$13+'TE CVA'!$AB$13)*1</f>
        <v>203.38274236935246</v>
      </c>
      <c r="AB374" s="4">
        <f>$K$374*$V$374</f>
        <v>0</v>
      </c>
      <c r="AC374" s="4">
        <f>$M$374*$W$374</f>
        <v>17623.4552</v>
      </c>
      <c r="AD374" s="4">
        <f>$O$374*$X$374</f>
        <v>14049.724</v>
      </c>
      <c r="AE374" s="4">
        <f>$K$374*$Y$374</f>
        <v>0</v>
      </c>
      <c r="AF374" s="4">
        <f ca="1">$M$374*$Z$374</f>
        <v>21855.970527433135</v>
      </c>
      <c r="AG374" s="4">
        <f>$O$374*$AA$374</f>
        <v>11464.278421875661</v>
      </c>
    </row>
    <row r="375" spans="1:33" ht="11.25" customHeight="1" x14ac:dyDescent="0.25">
      <c r="A375" s="3" t="s">
        <v>21</v>
      </c>
      <c r="B375" s="3" t="s">
        <v>22</v>
      </c>
      <c r="C375" s="3" t="s">
        <v>23</v>
      </c>
      <c r="D375" s="3" t="s">
        <v>24</v>
      </c>
      <c r="E375" s="3" t="s">
        <v>24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2557.107</v>
      </c>
      <c r="M375" s="4">
        <v>2557.107</v>
      </c>
      <c r="N375" s="4">
        <v>2557.107</v>
      </c>
      <c r="O375" s="4">
        <v>2557.107</v>
      </c>
      <c r="P375" s="4">
        <v>10988</v>
      </c>
      <c r="Q375" s="3" t="s">
        <v>26</v>
      </c>
      <c r="R375" s="3">
        <v>0</v>
      </c>
      <c r="S375" s="4">
        <v>0</v>
      </c>
      <c r="T375" s="4">
        <v>23</v>
      </c>
      <c r="U375" s="4">
        <v>53</v>
      </c>
      <c r="V375" s="4">
        <f>IF(ISERROR(VLOOKUP($S$375,'TAR FIN'!$A$1:$O$91,15,0)),0,VLOOKUP($S$375,'TAR FIN'!$A$1:$O$91,15,0))</f>
        <v>0</v>
      </c>
      <c r="W375" s="4">
        <f>IF(ISERROR(VLOOKUP($T$375,'TAR FIN'!$A$1:$O$91,15,0)),0,VLOOKUP($T$375,'TAR FIN'!$A$1:$O$91,15,0))</f>
        <v>312.64999999999998</v>
      </c>
      <c r="X375" s="4">
        <f>IF(ISERROR(VLOOKUP($U$375,'TAR FIN'!$A$1:$O$91,15,0)),0,VLOOKUP($U$375,'TAR FIN'!$A$1:$O$91,15,0))</f>
        <v>249.25</v>
      </c>
      <c r="Y375" s="4"/>
      <c r="Z375" s="4">
        <f ca="1">('TUSD BE'!$AM$23+'TUSD BF'!$AM$23+'TUSD CVA'!$AM$23)*1</f>
        <v>387.73720067118109</v>
      </c>
      <c r="AA375" s="4">
        <f>('TE BE'!$AB$13+'TE BF'!$AB$13+'TE CVA'!$AB$13)*1</f>
        <v>203.38274236935246</v>
      </c>
      <c r="AB375" s="4">
        <f>$K$375*$V$375</f>
        <v>0</v>
      </c>
      <c r="AC375" s="4">
        <f>$M$375*$W$375</f>
        <v>799479.50354999991</v>
      </c>
      <c r="AD375" s="4">
        <f>$O$375*$X$375</f>
        <v>637358.91975</v>
      </c>
      <c r="AE375" s="4">
        <f>$K$375*$Y$375</f>
        <v>0</v>
      </c>
      <c r="AF375" s="4">
        <f ca="1">$M$375*$Z$375</f>
        <v>991485.50999668182</v>
      </c>
      <c r="AG375" s="4">
        <f>$O$375*$AA$375</f>
        <v>520071.43419186777</v>
      </c>
    </row>
    <row r="376" spans="1:33" ht="11.25" customHeight="1" x14ac:dyDescent="0.25">
      <c r="A376" s="3" t="s">
        <v>27</v>
      </c>
      <c r="B376" s="3" t="s">
        <v>22</v>
      </c>
      <c r="C376" s="3" t="s">
        <v>23</v>
      </c>
      <c r="D376" s="3" t="s">
        <v>24</v>
      </c>
      <c r="E376" s="3" t="s">
        <v>24</v>
      </c>
      <c r="F376" s="3" t="s">
        <v>25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-0.435</v>
      </c>
      <c r="M376" s="4">
        <v>-0.435</v>
      </c>
      <c r="N376" s="4">
        <v>-0.435</v>
      </c>
      <c r="O376" s="4">
        <v>-0.435</v>
      </c>
      <c r="P376" s="4">
        <v>0</v>
      </c>
      <c r="Q376" s="3" t="s">
        <v>26</v>
      </c>
      <c r="R376" s="3">
        <v>0</v>
      </c>
      <c r="S376" s="4">
        <v>0</v>
      </c>
      <c r="T376" s="4">
        <v>23</v>
      </c>
      <c r="U376" s="4">
        <v>53</v>
      </c>
      <c r="V376" s="4">
        <f>IF(ISERROR(VLOOKUP($S$376,'TAR FIN'!$A$1:$O$91,15,0)),0,VLOOKUP($S$376,'TAR FIN'!$A$1:$O$91,15,0))</f>
        <v>0</v>
      </c>
      <c r="W376" s="4">
        <f>IF(ISERROR(VLOOKUP($T$376,'TAR FIN'!$A$1:$O$91,15,0)),0,VLOOKUP($T$376,'TAR FIN'!$A$1:$O$91,15,0))</f>
        <v>312.64999999999998</v>
      </c>
      <c r="X376" s="4">
        <f>IF(ISERROR(VLOOKUP($U$376,'TAR FIN'!$A$1:$O$91,15,0)),0,VLOOKUP($U$376,'TAR FIN'!$A$1:$O$91,15,0))</f>
        <v>249.25</v>
      </c>
      <c r="Y376" s="4"/>
      <c r="Z376" s="4">
        <f ca="1">('TUSD BE'!$AM$23+'TUSD BF'!$AM$23+'TUSD CVA'!$AM$23)*1</f>
        <v>387.73720067118109</v>
      </c>
      <c r="AA376" s="4">
        <f>('TE BE'!$AB$13+'TE BF'!$AB$13+'TE CVA'!$AB$13)*1</f>
        <v>203.38274236935246</v>
      </c>
      <c r="AB376" s="4">
        <f>$K$376*$V$376</f>
        <v>0</v>
      </c>
      <c r="AC376" s="4">
        <f>$M$376*$W$376</f>
        <v>-136.00274999999999</v>
      </c>
      <c r="AD376" s="4">
        <f>$O$376*$X$376</f>
        <v>-108.42375</v>
      </c>
      <c r="AE376" s="4">
        <f>$K$376*$Y$376</f>
        <v>0</v>
      </c>
      <c r="AF376" s="4">
        <f ca="1">$M$376*$Z$376</f>
        <v>-168.66568229196378</v>
      </c>
      <c r="AG376" s="4">
        <f>$O$376*$AA$376</f>
        <v>-88.471492930668319</v>
      </c>
    </row>
    <row r="377" spans="1:33" ht="11.25" customHeight="1" x14ac:dyDescent="0.25">
      <c r="A377" s="3" t="s">
        <v>28</v>
      </c>
      <c r="B377" s="3" t="s">
        <v>22</v>
      </c>
      <c r="C377" s="3" t="s">
        <v>23</v>
      </c>
      <c r="D377" s="3" t="s">
        <v>24</v>
      </c>
      <c r="E377" s="3" t="s">
        <v>24</v>
      </c>
      <c r="F377" s="3" t="s">
        <v>25</v>
      </c>
      <c r="G377" s="3" t="s">
        <v>25</v>
      </c>
      <c r="H377" s="3" t="s">
        <v>25</v>
      </c>
      <c r="I377" s="6">
        <v>44652</v>
      </c>
      <c r="J377" s="4">
        <v>0</v>
      </c>
      <c r="K377" s="4">
        <v>0</v>
      </c>
      <c r="L377" s="4">
        <v>48.286999999999999</v>
      </c>
      <c r="M377" s="4">
        <v>48.286999999999999</v>
      </c>
      <c r="N377" s="4">
        <v>48.286999999999999</v>
      </c>
      <c r="O377" s="4">
        <v>48.286999999999999</v>
      </c>
      <c r="P377" s="4">
        <v>347</v>
      </c>
      <c r="Q377" s="3" t="s">
        <v>26</v>
      </c>
      <c r="R377" s="3">
        <v>0</v>
      </c>
      <c r="S377" s="4">
        <v>0</v>
      </c>
      <c r="T377" s="4">
        <v>23</v>
      </c>
      <c r="U377" s="4">
        <v>53</v>
      </c>
      <c r="V377" s="4">
        <f>IF(ISERROR(VLOOKUP($S$377,'TAR FIN'!$A$1:$O$91,15,0)),0,VLOOKUP($S$377,'TAR FIN'!$A$1:$O$91,15,0))</f>
        <v>0</v>
      </c>
      <c r="W377" s="4">
        <f>IF(ISERROR(VLOOKUP($T$377,'TAR FIN'!$A$1:$O$91,15,0)),0,VLOOKUP($T$377,'TAR FIN'!$A$1:$O$91,15,0))</f>
        <v>312.64999999999998</v>
      </c>
      <c r="X377" s="4">
        <f>IF(ISERROR(VLOOKUP($U$377,'TAR FIN'!$A$1:$O$91,15,0)),0,VLOOKUP($U$377,'TAR FIN'!$A$1:$O$91,15,0))</f>
        <v>249.25</v>
      </c>
      <c r="Y377" s="4"/>
      <c r="Z377" s="4">
        <f ca="1">('TUSD BE'!$AM$23+'TUSD BF'!$AM$23+'TUSD CVA'!$AM$23)*1</f>
        <v>387.73720067118109</v>
      </c>
      <c r="AA377" s="4">
        <f>('TE BE'!$AB$13+'TE BF'!$AB$13+'TE CVA'!$AB$13)*1</f>
        <v>203.38274236935246</v>
      </c>
      <c r="AB377" s="4">
        <f>$K$377*$V$377</f>
        <v>0</v>
      </c>
      <c r="AC377" s="4">
        <f>$M$377*$W$377</f>
        <v>15096.930549999999</v>
      </c>
      <c r="AD377" s="4">
        <f>$O$377*$X$377</f>
        <v>12035.534749999999</v>
      </c>
      <c r="AE377" s="4">
        <f>$K$377*$Y$377</f>
        <v>0</v>
      </c>
      <c r="AF377" s="4">
        <f ca="1">$M$377*$Z$377</f>
        <v>18722.666208809322</v>
      </c>
      <c r="AG377" s="4">
        <f>$O$377*$AA$377</f>
        <v>9820.742480788922</v>
      </c>
    </row>
    <row r="378" spans="1:33" ht="11.25" customHeight="1" x14ac:dyDescent="0.25">
      <c r="A378" s="3" t="s">
        <v>21</v>
      </c>
      <c r="B378" s="3" t="s">
        <v>22</v>
      </c>
      <c r="C378" s="3" t="s">
        <v>23</v>
      </c>
      <c r="D378" s="3" t="s">
        <v>24</v>
      </c>
      <c r="E378" s="3" t="s">
        <v>24</v>
      </c>
      <c r="F378" s="3" t="s">
        <v>25</v>
      </c>
      <c r="G378" s="3" t="s">
        <v>25</v>
      </c>
      <c r="H378" s="3" t="s">
        <v>25</v>
      </c>
      <c r="I378" s="6">
        <v>44682</v>
      </c>
      <c r="J378" s="4">
        <v>0</v>
      </c>
      <c r="K378" s="4">
        <v>0</v>
      </c>
      <c r="L378" s="4">
        <v>2333.1010000000001</v>
      </c>
      <c r="M378" s="4">
        <v>2333.1010000000001</v>
      </c>
      <c r="N378" s="4">
        <v>2333.1010000000001</v>
      </c>
      <c r="O378" s="4">
        <v>2333.1010000000001</v>
      </c>
      <c r="P378" s="4">
        <v>10999</v>
      </c>
      <c r="Q378" s="3" t="s">
        <v>26</v>
      </c>
      <c r="R378" s="3">
        <v>0</v>
      </c>
      <c r="S378" s="4">
        <v>0</v>
      </c>
      <c r="T378" s="4">
        <v>23</v>
      </c>
      <c r="U378" s="4">
        <v>53</v>
      </c>
      <c r="V378" s="4">
        <f>IF(ISERROR(VLOOKUP($S$378,'TAR FIN'!$A$1:$O$91,15,0)),0,VLOOKUP($S$378,'TAR FIN'!$A$1:$O$91,15,0))</f>
        <v>0</v>
      </c>
      <c r="W378" s="4">
        <f>IF(ISERROR(VLOOKUP($T$378,'TAR FIN'!$A$1:$O$91,15,0)),0,VLOOKUP($T$378,'TAR FIN'!$A$1:$O$91,15,0))</f>
        <v>312.64999999999998</v>
      </c>
      <c r="X378" s="4">
        <f>IF(ISERROR(VLOOKUP($U$378,'TAR FIN'!$A$1:$O$91,15,0)),0,VLOOKUP($U$378,'TAR FIN'!$A$1:$O$91,15,0))</f>
        <v>249.25</v>
      </c>
      <c r="Y378" s="4"/>
      <c r="Z378" s="4">
        <f ca="1">('TUSD BE'!$AM$23+'TUSD BF'!$AM$23+'TUSD CVA'!$AM$23)*1</f>
        <v>387.73720067118109</v>
      </c>
      <c r="AA378" s="4">
        <f>('TE BE'!$AB$13+'TE BF'!$AB$13+'TE CVA'!$AB$13)*1</f>
        <v>203.38274236935246</v>
      </c>
      <c r="AB378" s="4">
        <f>$K$378*$V$378</f>
        <v>0</v>
      </c>
      <c r="AC378" s="4">
        <f>$M$378*$W$378</f>
        <v>729444.02764999995</v>
      </c>
      <c r="AD378" s="4">
        <f>$O$378*$X$378</f>
        <v>581525.42425000004</v>
      </c>
      <c r="AE378" s="4">
        <f>$K$378*$Y$378</f>
        <v>0</v>
      </c>
      <c r="AF378" s="4">
        <f ca="1">$M$378*$Z$378</f>
        <v>904630.05062313331</v>
      </c>
      <c r="AG378" s="4">
        <f>$O$378*$AA$378</f>
        <v>474512.47960467864</v>
      </c>
    </row>
    <row r="379" spans="1:33" ht="11.25" customHeight="1" x14ac:dyDescent="0.25">
      <c r="A379" s="3" t="s">
        <v>27</v>
      </c>
      <c r="B379" s="3" t="s">
        <v>22</v>
      </c>
      <c r="C379" s="3" t="s">
        <v>23</v>
      </c>
      <c r="D379" s="3" t="s">
        <v>24</v>
      </c>
      <c r="E379" s="3" t="s">
        <v>24</v>
      </c>
      <c r="F379" s="3" t="s">
        <v>25</v>
      </c>
      <c r="G379" s="3" t="s">
        <v>25</v>
      </c>
      <c r="H379" s="3" t="s">
        <v>25</v>
      </c>
      <c r="I379" s="6">
        <v>44682</v>
      </c>
      <c r="J379" s="4">
        <v>0</v>
      </c>
      <c r="K379" s="4">
        <v>0</v>
      </c>
      <c r="L379" s="4">
        <v>-0.79900000000000004</v>
      </c>
      <c r="M379" s="4">
        <v>-0.79900000000000004</v>
      </c>
      <c r="N379" s="4">
        <v>-0.79900000000000004</v>
      </c>
      <c r="O379" s="4">
        <v>-0.79900000000000004</v>
      </c>
      <c r="P379" s="4">
        <v>0</v>
      </c>
      <c r="Q379" s="3" t="s">
        <v>26</v>
      </c>
      <c r="R379" s="3">
        <v>0</v>
      </c>
      <c r="S379" s="4">
        <v>0</v>
      </c>
      <c r="T379" s="4">
        <v>23</v>
      </c>
      <c r="U379" s="4">
        <v>53</v>
      </c>
      <c r="V379" s="4">
        <f>IF(ISERROR(VLOOKUP($S$379,'TAR FIN'!$A$1:$O$91,15,0)),0,VLOOKUP($S$379,'TAR FIN'!$A$1:$O$91,15,0))</f>
        <v>0</v>
      </c>
      <c r="W379" s="4">
        <f>IF(ISERROR(VLOOKUP($T$379,'TAR FIN'!$A$1:$O$91,15,0)),0,VLOOKUP($T$379,'TAR FIN'!$A$1:$O$91,15,0))</f>
        <v>312.64999999999998</v>
      </c>
      <c r="X379" s="4">
        <f>IF(ISERROR(VLOOKUP($U$379,'TAR FIN'!$A$1:$O$91,15,0)),0,VLOOKUP($U$379,'TAR FIN'!$A$1:$O$91,15,0))</f>
        <v>249.25</v>
      </c>
      <c r="Y379" s="4"/>
      <c r="Z379" s="4">
        <f ca="1">('TUSD BE'!$AM$23+'TUSD BF'!$AM$23+'TUSD CVA'!$AM$23)*1</f>
        <v>387.73720067118109</v>
      </c>
      <c r="AA379" s="4">
        <f>('TE BE'!$AB$13+'TE BF'!$AB$13+'TE CVA'!$AB$13)*1</f>
        <v>203.38274236935246</v>
      </c>
      <c r="AB379" s="4">
        <f>$K$379*$V$379</f>
        <v>0</v>
      </c>
      <c r="AC379" s="4">
        <f>$M$379*$W$379</f>
        <v>-249.80734999999999</v>
      </c>
      <c r="AD379" s="4">
        <f>$O$379*$X$379</f>
        <v>-199.15075000000002</v>
      </c>
      <c r="AE379" s="4">
        <f>$K$379*$Y$379</f>
        <v>0</v>
      </c>
      <c r="AF379" s="4">
        <f ca="1">$M$379*$Z$379</f>
        <v>-309.80202333627369</v>
      </c>
      <c r="AG379" s="4">
        <f>$O$379*$AA$379</f>
        <v>-162.50281115311262</v>
      </c>
    </row>
    <row r="380" spans="1:33" ht="11.25" customHeight="1" x14ac:dyDescent="0.25">
      <c r="A380" s="3" t="s">
        <v>28</v>
      </c>
      <c r="B380" s="3" t="s">
        <v>22</v>
      </c>
      <c r="C380" s="3" t="s">
        <v>23</v>
      </c>
      <c r="D380" s="3" t="s">
        <v>24</v>
      </c>
      <c r="E380" s="3" t="s">
        <v>24</v>
      </c>
      <c r="F380" s="3" t="s">
        <v>25</v>
      </c>
      <c r="G380" s="3" t="s">
        <v>25</v>
      </c>
      <c r="H380" s="3" t="s">
        <v>25</v>
      </c>
      <c r="I380" s="6">
        <v>44682</v>
      </c>
      <c r="J380" s="4">
        <v>0</v>
      </c>
      <c r="K380" s="4">
        <v>0</v>
      </c>
      <c r="L380" s="4">
        <v>47.963000000000001</v>
      </c>
      <c r="M380" s="4">
        <v>47.963000000000001</v>
      </c>
      <c r="N380" s="4">
        <v>47.963000000000001</v>
      </c>
      <c r="O380" s="4">
        <v>47.963000000000001</v>
      </c>
      <c r="P380" s="4">
        <v>356</v>
      </c>
      <c r="Q380" s="3" t="s">
        <v>26</v>
      </c>
      <c r="R380" s="3">
        <v>0</v>
      </c>
      <c r="S380" s="4">
        <v>0</v>
      </c>
      <c r="T380" s="4">
        <v>23</v>
      </c>
      <c r="U380" s="4">
        <v>53</v>
      </c>
      <c r="V380" s="4">
        <f>IF(ISERROR(VLOOKUP($S$380,'TAR FIN'!$A$1:$O$91,15,0)),0,VLOOKUP($S$380,'TAR FIN'!$A$1:$O$91,15,0))</f>
        <v>0</v>
      </c>
      <c r="W380" s="4">
        <f>IF(ISERROR(VLOOKUP($T$380,'TAR FIN'!$A$1:$O$91,15,0)),0,VLOOKUP($T$380,'TAR FIN'!$A$1:$O$91,15,0))</f>
        <v>312.64999999999998</v>
      </c>
      <c r="X380" s="4">
        <f>IF(ISERROR(VLOOKUP($U$380,'TAR FIN'!$A$1:$O$91,15,0)),0,VLOOKUP($U$380,'TAR FIN'!$A$1:$O$91,15,0))</f>
        <v>249.25</v>
      </c>
      <c r="Y380" s="4"/>
      <c r="Z380" s="4">
        <f ca="1">('TUSD BE'!$AM$23+'TUSD BF'!$AM$23+'TUSD CVA'!$AM$23)*1</f>
        <v>387.73720067118109</v>
      </c>
      <c r="AA380" s="4">
        <f>('TE BE'!$AB$13+'TE BF'!$AB$13+'TE CVA'!$AB$13)*1</f>
        <v>203.38274236935246</v>
      </c>
      <c r="AB380" s="4">
        <f>$K$380*$V$380</f>
        <v>0</v>
      </c>
      <c r="AC380" s="4">
        <f>$M$380*$W$380</f>
        <v>14995.631949999999</v>
      </c>
      <c r="AD380" s="4">
        <f>$O$380*$X$380</f>
        <v>11954.777750000001</v>
      </c>
      <c r="AE380" s="4">
        <f>$K$380*$Y$380</f>
        <v>0</v>
      </c>
      <c r="AF380" s="4">
        <f ca="1">$M$380*$Z$380</f>
        <v>18597.039355791858</v>
      </c>
      <c r="AG380" s="4">
        <f>$O$380*$AA$380</f>
        <v>9754.8464722612516</v>
      </c>
    </row>
    <row r="381" spans="1:33" ht="11.25" customHeight="1" x14ac:dyDescent="0.25">
      <c r="A381" s="3" t="s">
        <v>21</v>
      </c>
      <c r="B381" s="3" t="s">
        <v>22</v>
      </c>
      <c r="C381" s="3" t="s">
        <v>23</v>
      </c>
      <c r="D381" s="3" t="s">
        <v>24</v>
      </c>
      <c r="E381" s="3" t="s">
        <v>24</v>
      </c>
      <c r="F381" s="3" t="s">
        <v>25</v>
      </c>
      <c r="G381" s="3" t="s">
        <v>25</v>
      </c>
      <c r="H381" s="3" t="s">
        <v>25</v>
      </c>
      <c r="I381" s="6">
        <v>44713</v>
      </c>
      <c r="J381" s="4">
        <v>0</v>
      </c>
      <c r="K381" s="4">
        <v>0</v>
      </c>
      <c r="L381" s="4">
        <v>2665.902</v>
      </c>
      <c r="M381" s="4">
        <v>2665.902</v>
      </c>
      <c r="N381" s="4">
        <v>2665.902</v>
      </c>
      <c r="O381" s="4">
        <v>2665.902</v>
      </c>
      <c r="P381" s="4">
        <v>11078</v>
      </c>
      <c r="Q381" s="3" t="s">
        <v>26</v>
      </c>
      <c r="R381" s="3">
        <v>0</v>
      </c>
      <c r="S381" s="4">
        <v>0</v>
      </c>
      <c r="T381" s="4">
        <v>23</v>
      </c>
      <c r="U381" s="4">
        <v>53</v>
      </c>
      <c r="V381" s="4">
        <f>IF(ISERROR(VLOOKUP($S$381,'TAR FIN'!$A$1:$O$91,15,0)),0,VLOOKUP($S$381,'TAR FIN'!$A$1:$O$91,15,0))</f>
        <v>0</v>
      </c>
      <c r="W381" s="4">
        <f>IF(ISERROR(VLOOKUP($T$381,'TAR FIN'!$A$1:$O$91,15,0)),0,VLOOKUP($T$381,'TAR FIN'!$A$1:$O$91,15,0))</f>
        <v>312.64999999999998</v>
      </c>
      <c r="X381" s="4">
        <f>IF(ISERROR(VLOOKUP($U$381,'TAR FIN'!$A$1:$O$91,15,0)),0,VLOOKUP($U$381,'TAR FIN'!$A$1:$O$91,15,0))</f>
        <v>249.25</v>
      </c>
      <c r="Y381" s="4"/>
      <c r="Z381" s="4">
        <f ca="1">('TUSD BE'!$AM$23+'TUSD BF'!$AM$23+'TUSD CVA'!$AM$23)*1</f>
        <v>387.73720067118109</v>
      </c>
      <c r="AA381" s="4">
        <f>('TE BE'!$AB$13+'TE BF'!$AB$13+'TE CVA'!$AB$13)*1</f>
        <v>203.38274236935246</v>
      </c>
      <c r="AB381" s="4">
        <f>$K$381*$V$381</f>
        <v>0</v>
      </c>
      <c r="AC381" s="4">
        <f>$M$381*$W$381</f>
        <v>833494.26029999997</v>
      </c>
      <c r="AD381" s="4">
        <f>$O$381*$X$381</f>
        <v>664476.07350000006</v>
      </c>
      <c r="AE381" s="4">
        <f>$K$381*$Y$381</f>
        <v>0</v>
      </c>
      <c r="AF381" s="4">
        <f ca="1">$M$381*$Z$381</f>
        <v>1033669.378743703</v>
      </c>
      <c r="AG381" s="4">
        <f>$O$381*$AA$381</f>
        <v>542198.45964794152</v>
      </c>
    </row>
    <row r="382" spans="1:33" ht="11.25" customHeight="1" x14ac:dyDescent="0.25">
      <c r="A382" s="3" t="s">
        <v>27</v>
      </c>
      <c r="B382" s="3" t="s">
        <v>22</v>
      </c>
      <c r="C382" s="3" t="s">
        <v>23</v>
      </c>
      <c r="D382" s="3" t="s">
        <v>24</v>
      </c>
      <c r="E382" s="3" t="s">
        <v>24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-1.8360000000000001</v>
      </c>
      <c r="M382" s="4">
        <v>-1.8360000000000001</v>
      </c>
      <c r="N382" s="4">
        <v>-1.8360000000000001</v>
      </c>
      <c r="O382" s="4">
        <v>-1.8360000000000001</v>
      </c>
      <c r="P382" s="4">
        <v>0</v>
      </c>
      <c r="Q382" s="3" t="s">
        <v>26</v>
      </c>
      <c r="R382" s="3">
        <v>0</v>
      </c>
      <c r="S382" s="4">
        <v>0</v>
      </c>
      <c r="T382" s="4">
        <v>23</v>
      </c>
      <c r="U382" s="4">
        <v>53</v>
      </c>
      <c r="V382" s="4">
        <f>IF(ISERROR(VLOOKUP($S$382,'TAR FIN'!$A$1:$O$91,15,0)),0,VLOOKUP($S$382,'TAR FIN'!$A$1:$O$91,15,0))</f>
        <v>0</v>
      </c>
      <c r="W382" s="4">
        <f>IF(ISERROR(VLOOKUP($T$382,'TAR FIN'!$A$1:$O$91,15,0)),0,VLOOKUP($T$382,'TAR FIN'!$A$1:$O$91,15,0))</f>
        <v>312.64999999999998</v>
      </c>
      <c r="X382" s="4">
        <f>IF(ISERROR(VLOOKUP($U$382,'TAR FIN'!$A$1:$O$91,15,0)),0,VLOOKUP($U$382,'TAR FIN'!$A$1:$O$91,15,0))</f>
        <v>249.25</v>
      </c>
      <c r="Y382" s="4"/>
      <c r="Z382" s="4">
        <f ca="1">('TUSD BE'!$AM$23+'TUSD BF'!$AM$23+'TUSD CVA'!$AM$23)*1</f>
        <v>387.73720067118109</v>
      </c>
      <c r="AA382" s="4">
        <f>('TE BE'!$AB$13+'TE BF'!$AB$13+'TE CVA'!$AB$13)*1</f>
        <v>203.38274236935246</v>
      </c>
      <c r="AB382" s="4">
        <f>$K$382*$V$382</f>
        <v>0</v>
      </c>
      <c r="AC382" s="4">
        <f>$M$382*$W$382</f>
        <v>-574.02539999999999</v>
      </c>
      <c r="AD382" s="4">
        <f>$O$382*$X$382</f>
        <v>-457.62300000000005</v>
      </c>
      <c r="AE382" s="4">
        <f>$K$382*$Y$382</f>
        <v>0</v>
      </c>
      <c r="AF382" s="4">
        <f ca="1">$M$382*$Z$382</f>
        <v>-711.8855004322885</v>
      </c>
      <c r="AG382" s="4">
        <f>$O$382*$AA$382</f>
        <v>-373.41071499013111</v>
      </c>
    </row>
    <row r="383" spans="1:33" ht="11.25" customHeight="1" x14ac:dyDescent="0.25">
      <c r="A383" s="3" t="s">
        <v>28</v>
      </c>
      <c r="B383" s="3" t="s">
        <v>22</v>
      </c>
      <c r="C383" s="3" t="s">
        <v>23</v>
      </c>
      <c r="D383" s="3" t="s">
        <v>24</v>
      </c>
      <c r="E383" s="3" t="s">
        <v>24</v>
      </c>
      <c r="F383" s="3" t="s">
        <v>25</v>
      </c>
      <c r="G383" s="3" t="s">
        <v>25</v>
      </c>
      <c r="H383" s="3" t="s">
        <v>25</v>
      </c>
      <c r="I383" s="6">
        <v>44713</v>
      </c>
      <c r="J383" s="4">
        <v>0</v>
      </c>
      <c r="K383" s="4">
        <v>0</v>
      </c>
      <c r="L383" s="4">
        <v>80.448999999999998</v>
      </c>
      <c r="M383" s="4">
        <v>80.448999999999998</v>
      </c>
      <c r="N383" s="4">
        <v>80.448999999999998</v>
      </c>
      <c r="O383" s="4">
        <v>80.448999999999998</v>
      </c>
      <c r="P383" s="4">
        <v>371</v>
      </c>
      <c r="Q383" s="3" t="s">
        <v>26</v>
      </c>
      <c r="R383" s="3">
        <v>0</v>
      </c>
      <c r="S383" s="4">
        <v>0</v>
      </c>
      <c r="T383" s="4">
        <v>23</v>
      </c>
      <c r="U383" s="4">
        <v>53</v>
      </c>
      <c r="V383" s="4">
        <f>IF(ISERROR(VLOOKUP($S$383,'TAR FIN'!$A$1:$O$91,15,0)),0,VLOOKUP($S$383,'TAR FIN'!$A$1:$O$91,15,0))</f>
        <v>0</v>
      </c>
      <c r="W383" s="4">
        <f>IF(ISERROR(VLOOKUP($T$383,'TAR FIN'!$A$1:$O$91,15,0)),0,VLOOKUP($T$383,'TAR FIN'!$A$1:$O$91,15,0))</f>
        <v>312.64999999999998</v>
      </c>
      <c r="X383" s="4">
        <f>IF(ISERROR(VLOOKUP($U$383,'TAR FIN'!$A$1:$O$91,15,0)),0,VLOOKUP($U$383,'TAR FIN'!$A$1:$O$91,15,0))</f>
        <v>249.25</v>
      </c>
      <c r="Y383" s="4"/>
      <c r="Z383" s="4">
        <f ca="1">('TUSD BE'!$AM$23+'TUSD BF'!$AM$23+'TUSD CVA'!$AM$23)*1</f>
        <v>387.73720067118109</v>
      </c>
      <c r="AA383" s="4">
        <f>('TE BE'!$AB$13+'TE BF'!$AB$13+'TE CVA'!$AB$13)*1</f>
        <v>203.38274236935246</v>
      </c>
      <c r="AB383" s="4">
        <f>$K$383*$V$383</f>
        <v>0</v>
      </c>
      <c r="AC383" s="4">
        <f>$M$383*$W$383</f>
        <v>25152.379849999998</v>
      </c>
      <c r="AD383" s="4">
        <f>$O$383*$X$383</f>
        <v>20051.913249999998</v>
      </c>
      <c r="AE383" s="4">
        <f>$K$383*$Y$383</f>
        <v>0</v>
      </c>
      <c r="AF383" s="4">
        <f ca="1">$M$383*$Z$383</f>
        <v>31193.070056795845</v>
      </c>
      <c r="AG383" s="4">
        <f>$O$383*$AA$383</f>
        <v>16361.938240872036</v>
      </c>
    </row>
    <row r="384" spans="1:33" ht="11.25" customHeight="1" x14ac:dyDescent="0.25">
      <c r="A384" s="3" t="s">
        <v>21</v>
      </c>
      <c r="B384" s="3" t="s">
        <v>22</v>
      </c>
      <c r="C384" s="3" t="s">
        <v>23</v>
      </c>
      <c r="D384" s="3" t="s">
        <v>24</v>
      </c>
      <c r="E384" s="3" t="s">
        <v>24</v>
      </c>
      <c r="F384" s="3" t="s">
        <v>25</v>
      </c>
      <c r="G384" s="3" t="s">
        <v>25</v>
      </c>
      <c r="H384" s="3" t="s">
        <v>25</v>
      </c>
      <c r="I384" s="6">
        <v>44743</v>
      </c>
      <c r="J384" s="4">
        <v>0</v>
      </c>
      <c r="K384" s="4">
        <v>0</v>
      </c>
      <c r="L384" s="4">
        <v>2566.4490000000001</v>
      </c>
      <c r="M384" s="4">
        <v>2566.4490000000001</v>
      </c>
      <c r="N384" s="4">
        <v>2566.4490000000001</v>
      </c>
      <c r="O384" s="4">
        <v>2566.4490000000001</v>
      </c>
      <c r="P384" s="4">
        <v>11107</v>
      </c>
      <c r="Q384" s="3" t="s">
        <v>26</v>
      </c>
      <c r="R384" s="3">
        <v>0</v>
      </c>
      <c r="S384" s="4">
        <v>0</v>
      </c>
      <c r="T384" s="4">
        <v>23</v>
      </c>
      <c r="U384" s="4">
        <v>53</v>
      </c>
      <c r="V384" s="4">
        <f>IF(ISERROR(VLOOKUP($S$384,'TAR FIN'!$A$1:$O$91,15,0)),0,VLOOKUP($S$384,'TAR FIN'!$A$1:$O$91,15,0))</f>
        <v>0</v>
      </c>
      <c r="W384" s="4">
        <f>IF(ISERROR(VLOOKUP($T$384,'TAR FIN'!$A$1:$O$91,15,0)),0,VLOOKUP($T$384,'TAR FIN'!$A$1:$O$91,15,0))</f>
        <v>312.64999999999998</v>
      </c>
      <c r="X384" s="4">
        <f>IF(ISERROR(VLOOKUP($U$384,'TAR FIN'!$A$1:$O$91,15,0)),0,VLOOKUP($U$384,'TAR FIN'!$A$1:$O$91,15,0))</f>
        <v>249.25</v>
      </c>
      <c r="Y384" s="4"/>
      <c r="Z384" s="4">
        <f ca="1">('TUSD BE'!$AM$23+'TUSD BF'!$AM$23+'TUSD CVA'!$AM$23)*1</f>
        <v>387.73720067118109</v>
      </c>
      <c r="AA384" s="4">
        <f>('TE BE'!$AB$13+'TE BF'!$AB$13+'TE CVA'!$AB$13)*1</f>
        <v>203.38274236935246</v>
      </c>
      <c r="AB384" s="4">
        <f>$K$384*$V$384</f>
        <v>0</v>
      </c>
      <c r="AC384" s="4">
        <f>$M$384*$W$384</f>
        <v>802400.27984999993</v>
      </c>
      <c r="AD384" s="4">
        <f>$O$384*$X$384</f>
        <v>639687.41324999998</v>
      </c>
      <c r="AE384" s="4">
        <f>$K$384*$Y$384</f>
        <v>0</v>
      </c>
      <c r="AF384" s="4">
        <f ca="1">$M$384*$Z$384</f>
        <v>995107.7509253521</v>
      </c>
      <c r="AG384" s="4">
        <f>$O$384*$AA$384</f>
        <v>521971.43577108224</v>
      </c>
    </row>
    <row r="385" spans="1:33" ht="11.25" customHeight="1" x14ac:dyDescent="0.25">
      <c r="A385" s="3" t="s">
        <v>27</v>
      </c>
      <c r="B385" s="3" t="s">
        <v>22</v>
      </c>
      <c r="C385" s="3" t="s">
        <v>23</v>
      </c>
      <c r="D385" s="3" t="s">
        <v>24</v>
      </c>
      <c r="E385" s="3" t="s">
        <v>24</v>
      </c>
      <c r="F385" s="3" t="s">
        <v>25</v>
      </c>
      <c r="G385" s="3" t="s">
        <v>25</v>
      </c>
      <c r="H385" s="3" t="s">
        <v>25</v>
      </c>
      <c r="I385" s="6">
        <v>44743</v>
      </c>
      <c r="J385" s="4">
        <v>0</v>
      </c>
      <c r="K385" s="4">
        <v>0</v>
      </c>
      <c r="L385" s="4">
        <v>2.4750000000000001</v>
      </c>
      <c r="M385" s="4">
        <v>2.4750000000000001</v>
      </c>
      <c r="N385" s="4">
        <v>2.4750000000000001</v>
      </c>
      <c r="O385" s="4">
        <v>2.4750000000000001</v>
      </c>
      <c r="P385" s="4">
        <v>0</v>
      </c>
      <c r="Q385" s="3" t="s">
        <v>26</v>
      </c>
      <c r="R385" s="3">
        <v>0</v>
      </c>
      <c r="S385" s="4">
        <v>0</v>
      </c>
      <c r="T385" s="4">
        <v>23</v>
      </c>
      <c r="U385" s="4">
        <v>53</v>
      </c>
      <c r="V385" s="4">
        <f>IF(ISERROR(VLOOKUP($S$385,'TAR FIN'!$A$1:$O$91,15,0)),0,VLOOKUP($S$385,'TAR FIN'!$A$1:$O$91,15,0))</f>
        <v>0</v>
      </c>
      <c r="W385" s="4">
        <f>IF(ISERROR(VLOOKUP($T$385,'TAR FIN'!$A$1:$O$91,15,0)),0,VLOOKUP($T$385,'TAR FIN'!$A$1:$O$91,15,0))</f>
        <v>312.64999999999998</v>
      </c>
      <c r="X385" s="4">
        <f>IF(ISERROR(VLOOKUP($U$385,'TAR FIN'!$A$1:$O$91,15,0)),0,VLOOKUP($U$385,'TAR FIN'!$A$1:$O$91,15,0))</f>
        <v>249.25</v>
      </c>
      <c r="Y385" s="4"/>
      <c r="Z385" s="4">
        <f ca="1">('TUSD BE'!$AM$23+'TUSD BF'!$AM$23+'TUSD CVA'!$AM$23)*1</f>
        <v>387.73720067118109</v>
      </c>
      <c r="AA385" s="4">
        <f>('TE BE'!$AB$13+'TE BF'!$AB$13+'TE CVA'!$AB$13)*1</f>
        <v>203.38274236935246</v>
      </c>
      <c r="AB385" s="4">
        <f>$K$385*$V$385</f>
        <v>0</v>
      </c>
      <c r="AC385" s="4">
        <f>$M$385*$W$385</f>
        <v>773.80874999999992</v>
      </c>
      <c r="AD385" s="4">
        <f>$O$385*$X$385</f>
        <v>616.89375000000007</v>
      </c>
      <c r="AE385" s="4">
        <f>$K$385*$Y$385</f>
        <v>0</v>
      </c>
      <c r="AF385" s="4">
        <f ca="1">$M$385*$Z$385</f>
        <v>959.64957166117324</v>
      </c>
      <c r="AG385" s="4">
        <f>$O$385*$AA$385</f>
        <v>503.37228736414733</v>
      </c>
    </row>
    <row r="386" spans="1:33" ht="11.25" customHeight="1" x14ac:dyDescent="0.25">
      <c r="A386" s="3" t="s">
        <v>21</v>
      </c>
      <c r="B386" s="3" t="s">
        <v>22</v>
      </c>
      <c r="C386" s="3" t="s">
        <v>23</v>
      </c>
      <c r="D386" s="3" t="s">
        <v>24</v>
      </c>
      <c r="E386" s="3" t="s">
        <v>24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2597.7139999999999</v>
      </c>
      <c r="M386" s="4">
        <v>2597.7139999999999</v>
      </c>
      <c r="N386" s="4">
        <v>2597.7139999999999</v>
      </c>
      <c r="O386" s="4">
        <v>2597.7139999999999</v>
      </c>
      <c r="P386" s="4">
        <v>11055</v>
      </c>
      <c r="Q386" s="3" t="s">
        <v>26</v>
      </c>
      <c r="R386" s="3">
        <v>0</v>
      </c>
      <c r="S386" s="4">
        <v>0</v>
      </c>
      <c r="T386" s="4">
        <v>23</v>
      </c>
      <c r="U386" s="4">
        <v>53</v>
      </c>
      <c r="V386" s="4">
        <f>IF(ISERROR(VLOOKUP($S$386,'TAR FIN'!$A$1:$O$91,15,0)),0,VLOOKUP($S$386,'TAR FIN'!$A$1:$O$91,15,0))</f>
        <v>0</v>
      </c>
      <c r="W386" s="4">
        <f>IF(ISERROR(VLOOKUP($T$386,'TAR FIN'!$A$1:$O$91,15,0)),0,VLOOKUP($T$386,'TAR FIN'!$A$1:$O$91,15,0))</f>
        <v>312.64999999999998</v>
      </c>
      <c r="X386" s="4">
        <f>IF(ISERROR(VLOOKUP($U$386,'TAR FIN'!$A$1:$O$91,15,0)),0,VLOOKUP($U$386,'TAR FIN'!$A$1:$O$91,15,0))</f>
        <v>249.25</v>
      </c>
      <c r="Y386" s="4"/>
      <c r="Z386" s="4">
        <f ca="1">('TUSD BE'!$AM$23+'TUSD BF'!$AM$23+'TUSD CVA'!$AM$23)*1</f>
        <v>387.73720067118109</v>
      </c>
      <c r="AA386" s="4">
        <f>('TE BE'!$AB$13+'TE BF'!$AB$13+'TE CVA'!$AB$13)*1</f>
        <v>203.38274236935246</v>
      </c>
      <c r="AB386" s="4">
        <f>$K$386*$V$386</f>
        <v>0</v>
      </c>
      <c r="AC386" s="4">
        <f>$M$386*$W$386</f>
        <v>812175.28209999995</v>
      </c>
      <c r="AD386" s="4">
        <f>$O$386*$X$386</f>
        <v>647480.2145</v>
      </c>
      <c r="AE386" s="4">
        <f>$K$386*$Y$386</f>
        <v>0</v>
      </c>
      <c r="AF386" s="4">
        <f ca="1">$M$386*$Z$386</f>
        <v>1007230.3545043365</v>
      </c>
      <c r="AG386" s="4">
        <f>$O$386*$AA$386</f>
        <v>528330.19721126009</v>
      </c>
    </row>
    <row r="387" spans="1:33" ht="11.25" customHeight="1" x14ac:dyDescent="0.25">
      <c r="A387" s="3" t="s">
        <v>28</v>
      </c>
      <c r="B387" s="3" t="s">
        <v>22</v>
      </c>
      <c r="C387" s="3" t="s">
        <v>23</v>
      </c>
      <c r="D387" s="3" t="s">
        <v>24</v>
      </c>
      <c r="E387" s="3" t="s">
        <v>24</v>
      </c>
      <c r="F387" s="3" t="s">
        <v>25</v>
      </c>
      <c r="G387" s="3" t="s">
        <v>25</v>
      </c>
      <c r="H387" s="3" t="s">
        <v>25</v>
      </c>
      <c r="I387" s="6">
        <v>44774</v>
      </c>
      <c r="J387" s="4">
        <v>0</v>
      </c>
      <c r="K387" s="4">
        <v>0</v>
      </c>
      <c r="L387" s="4">
        <v>66.066000000000003</v>
      </c>
      <c r="M387" s="4">
        <v>66.066000000000003</v>
      </c>
      <c r="N387" s="4">
        <v>66.066000000000003</v>
      </c>
      <c r="O387" s="4">
        <v>66.066000000000003</v>
      </c>
      <c r="P387" s="4">
        <v>390</v>
      </c>
      <c r="Q387" s="3" t="s">
        <v>26</v>
      </c>
      <c r="R387" s="3">
        <v>0</v>
      </c>
      <c r="S387" s="4">
        <v>0</v>
      </c>
      <c r="T387" s="4">
        <v>23</v>
      </c>
      <c r="U387" s="4">
        <v>53</v>
      </c>
      <c r="V387" s="4">
        <f>IF(ISERROR(VLOOKUP($S$387,'TAR FIN'!$A$1:$O$91,15,0)),0,VLOOKUP($S$387,'TAR FIN'!$A$1:$O$91,15,0))</f>
        <v>0</v>
      </c>
      <c r="W387" s="4">
        <f>IF(ISERROR(VLOOKUP($T$387,'TAR FIN'!$A$1:$O$91,15,0)),0,VLOOKUP($T$387,'TAR FIN'!$A$1:$O$91,15,0))</f>
        <v>312.64999999999998</v>
      </c>
      <c r="X387" s="4">
        <f>IF(ISERROR(VLOOKUP($U$387,'TAR FIN'!$A$1:$O$91,15,0)),0,VLOOKUP($U$387,'TAR FIN'!$A$1:$O$91,15,0))</f>
        <v>249.25</v>
      </c>
      <c r="Y387" s="4"/>
      <c r="Z387" s="4">
        <f ca="1">('TUSD BE'!$AM$23+'TUSD BF'!$AM$23+'TUSD CVA'!$AM$23)*1</f>
        <v>387.73720067118109</v>
      </c>
      <c r="AA387" s="4">
        <f>('TE BE'!$AB$13+'TE BF'!$AB$13+'TE CVA'!$AB$13)*1</f>
        <v>203.38274236935246</v>
      </c>
      <c r="AB387" s="4">
        <f>$K$387*$V$387</f>
        <v>0</v>
      </c>
      <c r="AC387" s="4">
        <f>$M$387*$W$387</f>
        <v>20655.534899999999</v>
      </c>
      <c r="AD387" s="4">
        <f>$O$387*$X$387</f>
        <v>16466.950499999999</v>
      </c>
      <c r="AE387" s="4">
        <f>$K$387*$Y$387</f>
        <v>0</v>
      </c>
      <c r="AF387" s="4">
        <f ca="1">$M$387*$Z$387</f>
        <v>25616.245899542249</v>
      </c>
      <c r="AG387" s="4">
        <f>$O$387*$AA$387</f>
        <v>13436.684257373639</v>
      </c>
    </row>
    <row r="388" spans="1:33" ht="11.25" customHeight="1" x14ac:dyDescent="0.25">
      <c r="A388" s="3" t="s">
        <v>21</v>
      </c>
      <c r="B388" s="3" t="s">
        <v>22</v>
      </c>
      <c r="C388" s="3" t="s">
        <v>23</v>
      </c>
      <c r="D388" s="3" t="s">
        <v>24</v>
      </c>
      <c r="E388" s="3" t="s">
        <v>29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11.91</v>
      </c>
      <c r="M388" s="4">
        <v>11.91</v>
      </c>
      <c r="N388" s="4">
        <v>11.91</v>
      </c>
      <c r="O388" s="4">
        <v>11.91</v>
      </c>
      <c r="P388" s="4">
        <v>13</v>
      </c>
      <c r="Q388" s="3" t="s">
        <v>26</v>
      </c>
      <c r="R388" s="3">
        <v>0</v>
      </c>
      <c r="S388" s="4">
        <v>0</v>
      </c>
      <c r="T388" s="4">
        <v>21</v>
      </c>
      <c r="U388" s="4">
        <v>36</v>
      </c>
      <c r="V388" s="4">
        <f>IF(ISERROR(VLOOKUP($S$388,'TAR FIN'!$A$1:$O$91,15,0)),0,VLOOKUP($S$388,'TAR FIN'!$A$1:$O$91,15,0))</f>
        <v>0</v>
      </c>
      <c r="W388" s="4">
        <f>IF(ISERROR(VLOOKUP($T$388,'TAR FIN'!$A$1:$O$91,15,0)),0,VLOOKUP($T$388,'TAR FIN'!$A$1:$O$91,15,0))</f>
        <v>85.82</v>
      </c>
      <c r="X388" s="4">
        <f>IF(ISERROR(VLOOKUP($U$388,'TAR FIN'!$A$1:$O$91,15,0)),0,VLOOKUP($U$388,'TAR FIN'!$A$1:$O$91,15,0))</f>
        <v>87.24</v>
      </c>
      <c r="Y388" s="4"/>
      <c r="Z388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88" s="4">
        <f>('TE BE'!$AB$14+'TE BF'!$AB$14+'TE CVA'!$AB$14)*(1-CUSTOS!$M$34)</f>
        <v>71.183959829273348</v>
      </c>
      <c r="AB388" s="4">
        <f>$K$388*$V$388</f>
        <v>0</v>
      </c>
      <c r="AC388" s="4">
        <f>$M$388*$W$388</f>
        <v>1022.1161999999999</v>
      </c>
      <c r="AD388" s="4">
        <f>$O$388*$X$388</f>
        <v>1039.0283999999999</v>
      </c>
      <c r="AE388" s="4">
        <f>$K$388*$Y$388</f>
        <v>0</v>
      </c>
      <c r="AF388" s="4">
        <f ca="1">$M$388*$Z$388</f>
        <v>1166.3844232043582</v>
      </c>
      <c r="AG388" s="4">
        <f>$O$388*$AA$388</f>
        <v>847.80096156664558</v>
      </c>
    </row>
    <row r="389" spans="1:33" ht="11.25" customHeight="1" x14ac:dyDescent="0.25">
      <c r="A389" s="3" t="s">
        <v>21</v>
      </c>
      <c r="B389" s="3" t="s">
        <v>22</v>
      </c>
      <c r="C389" s="3" t="s">
        <v>23</v>
      </c>
      <c r="D389" s="3" t="s">
        <v>24</v>
      </c>
      <c r="E389" s="3" t="s">
        <v>29</v>
      </c>
      <c r="F389" s="3" t="s">
        <v>25</v>
      </c>
      <c r="G389" s="3" t="s">
        <v>25</v>
      </c>
      <c r="H389" s="3" t="s">
        <v>25</v>
      </c>
      <c r="I389" s="6">
        <v>44470</v>
      </c>
      <c r="J389" s="4">
        <v>0</v>
      </c>
      <c r="K389" s="4">
        <v>0</v>
      </c>
      <c r="L389" s="4">
        <v>12.12</v>
      </c>
      <c r="M389" s="4">
        <v>12.12</v>
      </c>
      <c r="N389" s="4">
        <v>12.12</v>
      </c>
      <c r="O389" s="4">
        <v>12.12</v>
      </c>
      <c r="P389" s="4">
        <v>14</v>
      </c>
      <c r="Q389" s="3" t="s">
        <v>26</v>
      </c>
      <c r="R389" s="3">
        <v>0</v>
      </c>
      <c r="S389" s="4">
        <v>0</v>
      </c>
      <c r="T389" s="4">
        <v>21</v>
      </c>
      <c r="U389" s="4">
        <v>36</v>
      </c>
      <c r="V389" s="4">
        <f>IF(ISERROR(VLOOKUP($S$389,'TAR FIN'!$A$1:$O$91,15,0)),0,VLOOKUP($S$389,'TAR FIN'!$A$1:$O$91,15,0))</f>
        <v>0</v>
      </c>
      <c r="W389" s="4">
        <f>IF(ISERROR(VLOOKUP($T$389,'TAR FIN'!$A$1:$O$91,15,0)),0,VLOOKUP($T$389,'TAR FIN'!$A$1:$O$91,15,0))</f>
        <v>85.82</v>
      </c>
      <c r="X389" s="4">
        <f>IF(ISERROR(VLOOKUP($U$389,'TAR FIN'!$A$1:$O$91,15,0)),0,VLOOKUP($U$389,'TAR FIN'!$A$1:$O$91,15,0))</f>
        <v>87.24</v>
      </c>
      <c r="Y389" s="4"/>
      <c r="Z389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89" s="4">
        <f>('TE BE'!$AB$14+'TE BF'!$AB$14+'TE CVA'!$AB$14)*(1-CUSTOS!$M$34)</f>
        <v>71.183959829273348</v>
      </c>
      <c r="AB389" s="4">
        <f>$K$389*$V$389</f>
        <v>0</v>
      </c>
      <c r="AC389" s="4">
        <f>$M$389*$W$389</f>
        <v>1040.1383999999998</v>
      </c>
      <c r="AD389" s="4">
        <f>$O$389*$X$389</f>
        <v>1057.3488</v>
      </c>
      <c r="AE389" s="4">
        <f>$K$389*$Y$389</f>
        <v>0</v>
      </c>
      <c r="AF389" s="4">
        <f ca="1">$M$389*$Z$389</f>
        <v>1186.950395401916</v>
      </c>
      <c r="AG389" s="4">
        <f>$O$389*$AA$389</f>
        <v>862.74959313079296</v>
      </c>
    </row>
    <row r="390" spans="1:33" ht="11.25" customHeight="1" x14ac:dyDescent="0.25">
      <c r="A390" s="3" t="s">
        <v>21</v>
      </c>
      <c r="B390" s="3" t="s">
        <v>22</v>
      </c>
      <c r="C390" s="3" t="s">
        <v>23</v>
      </c>
      <c r="D390" s="3" t="s">
        <v>24</v>
      </c>
      <c r="E390" s="3" t="s">
        <v>29</v>
      </c>
      <c r="F390" s="3" t="s">
        <v>25</v>
      </c>
      <c r="G390" s="3" t="s">
        <v>25</v>
      </c>
      <c r="H390" s="3" t="s">
        <v>25</v>
      </c>
      <c r="I390" s="6">
        <v>44501</v>
      </c>
      <c r="J390" s="4">
        <v>0</v>
      </c>
      <c r="K390" s="4">
        <v>0</v>
      </c>
      <c r="L390" s="4">
        <v>12.3</v>
      </c>
      <c r="M390" s="4">
        <v>12.3</v>
      </c>
      <c r="N390" s="4">
        <v>12.3</v>
      </c>
      <c r="O390" s="4">
        <v>12.3</v>
      </c>
      <c r="P390" s="4">
        <v>11</v>
      </c>
      <c r="Q390" s="3" t="s">
        <v>26</v>
      </c>
      <c r="R390" s="3">
        <v>0</v>
      </c>
      <c r="S390" s="4">
        <v>0</v>
      </c>
      <c r="T390" s="4">
        <v>21</v>
      </c>
      <c r="U390" s="4">
        <v>36</v>
      </c>
      <c r="V390" s="4">
        <f>IF(ISERROR(VLOOKUP($S$390,'TAR FIN'!$A$1:$O$91,15,0)),0,VLOOKUP($S$390,'TAR FIN'!$A$1:$O$91,15,0))</f>
        <v>0</v>
      </c>
      <c r="W390" s="4">
        <f>IF(ISERROR(VLOOKUP($T$390,'TAR FIN'!$A$1:$O$91,15,0)),0,VLOOKUP($T$390,'TAR FIN'!$A$1:$O$91,15,0))</f>
        <v>85.82</v>
      </c>
      <c r="X390" s="4">
        <f>IF(ISERROR(VLOOKUP($U$390,'TAR FIN'!$A$1:$O$91,15,0)),0,VLOOKUP($U$390,'TAR FIN'!$A$1:$O$91,15,0))</f>
        <v>87.24</v>
      </c>
      <c r="Y390" s="4"/>
      <c r="Z390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0" s="4">
        <f>('TE BE'!$AB$14+'TE BF'!$AB$14+'TE CVA'!$AB$14)*(1-CUSTOS!$M$34)</f>
        <v>71.183959829273348</v>
      </c>
      <c r="AB390" s="4">
        <f>$K$390*$V$390</f>
        <v>0</v>
      </c>
      <c r="AC390" s="4">
        <f>$M$390*$W$390</f>
        <v>1055.586</v>
      </c>
      <c r="AD390" s="4">
        <f>$O$390*$X$390</f>
        <v>1073.0519999999999</v>
      </c>
      <c r="AE390" s="4">
        <f>$K$390*$Y$390</f>
        <v>0</v>
      </c>
      <c r="AF390" s="4">
        <f ca="1">$M$390*$Z$390</f>
        <v>1204.5783715712516</v>
      </c>
      <c r="AG390" s="4">
        <f>$O$390*$AA$390</f>
        <v>875.56270590006227</v>
      </c>
    </row>
    <row r="391" spans="1:33" ht="11.25" customHeight="1" x14ac:dyDescent="0.25">
      <c r="A391" s="3" t="s">
        <v>21</v>
      </c>
      <c r="B391" s="3" t="s">
        <v>22</v>
      </c>
      <c r="C391" s="3" t="s">
        <v>23</v>
      </c>
      <c r="D391" s="3" t="s">
        <v>24</v>
      </c>
      <c r="E391" s="3" t="s">
        <v>29</v>
      </c>
      <c r="F391" s="3" t="s">
        <v>25</v>
      </c>
      <c r="G391" s="3" t="s">
        <v>25</v>
      </c>
      <c r="H391" s="3" t="s">
        <v>25</v>
      </c>
      <c r="I391" s="6">
        <v>44531</v>
      </c>
      <c r="J391" s="4">
        <v>0</v>
      </c>
      <c r="K391" s="4">
        <v>0</v>
      </c>
      <c r="L391" s="4">
        <v>12.24</v>
      </c>
      <c r="M391" s="4">
        <v>12.24</v>
      </c>
      <c r="N391" s="4">
        <v>12.24</v>
      </c>
      <c r="O391" s="4">
        <v>12.24</v>
      </c>
      <c r="P391" s="4">
        <v>9</v>
      </c>
      <c r="Q391" s="3" t="s">
        <v>26</v>
      </c>
      <c r="R391" s="3">
        <v>0</v>
      </c>
      <c r="S391" s="4">
        <v>0</v>
      </c>
      <c r="T391" s="4">
        <v>21</v>
      </c>
      <c r="U391" s="4">
        <v>36</v>
      </c>
      <c r="V391" s="4">
        <f>IF(ISERROR(VLOOKUP($S$391,'TAR FIN'!$A$1:$O$91,15,0)),0,VLOOKUP($S$391,'TAR FIN'!$A$1:$O$91,15,0))</f>
        <v>0</v>
      </c>
      <c r="W391" s="4">
        <f>IF(ISERROR(VLOOKUP($T$391,'TAR FIN'!$A$1:$O$91,15,0)),0,VLOOKUP($T$391,'TAR FIN'!$A$1:$O$91,15,0))</f>
        <v>85.82</v>
      </c>
      <c r="X391" s="4">
        <f>IF(ISERROR(VLOOKUP($U$391,'TAR FIN'!$A$1:$O$91,15,0)),0,VLOOKUP($U$391,'TAR FIN'!$A$1:$O$91,15,0))</f>
        <v>87.24</v>
      </c>
      <c r="Y391" s="4"/>
      <c r="Z391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1" s="4">
        <f>('TE BE'!$AB$14+'TE BF'!$AB$14+'TE CVA'!$AB$14)*(1-CUSTOS!$M$34)</f>
        <v>71.183959829273348</v>
      </c>
      <c r="AB391" s="4">
        <f>$K$391*$V$391</f>
        <v>0</v>
      </c>
      <c r="AC391" s="4">
        <f>$M$391*$W$391</f>
        <v>1050.4367999999999</v>
      </c>
      <c r="AD391" s="4">
        <f>$O$391*$X$391</f>
        <v>1067.8175999999999</v>
      </c>
      <c r="AE391" s="4">
        <f>$K$391*$Y$391</f>
        <v>0</v>
      </c>
      <c r="AF391" s="4">
        <f ca="1">$M$391*$Z$391</f>
        <v>1198.7023795148064</v>
      </c>
      <c r="AG391" s="4">
        <f>$O$391*$AA$391</f>
        <v>871.29166831030579</v>
      </c>
    </row>
    <row r="392" spans="1:33" ht="11.25" customHeight="1" x14ac:dyDescent="0.25">
      <c r="A392" s="3" t="s">
        <v>21</v>
      </c>
      <c r="B392" s="3" t="s">
        <v>22</v>
      </c>
      <c r="C392" s="3" t="s">
        <v>23</v>
      </c>
      <c r="D392" s="3" t="s">
        <v>24</v>
      </c>
      <c r="E392" s="3" t="s">
        <v>29</v>
      </c>
      <c r="F392" s="3" t="s">
        <v>25</v>
      </c>
      <c r="G392" s="3" t="s">
        <v>25</v>
      </c>
      <c r="H392" s="3" t="s">
        <v>25</v>
      </c>
      <c r="I392" s="6">
        <v>44562</v>
      </c>
      <c r="J392" s="4">
        <v>0</v>
      </c>
      <c r="K392" s="4">
        <v>0</v>
      </c>
      <c r="L392" s="4">
        <v>13.32</v>
      </c>
      <c r="M392" s="4">
        <v>13.32</v>
      </c>
      <c r="N392" s="4">
        <v>13.32</v>
      </c>
      <c r="O392" s="4">
        <v>13.32</v>
      </c>
      <c r="P392" s="4">
        <v>9</v>
      </c>
      <c r="Q392" s="3" t="s">
        <v>26</v>
      </c>
      <c r="R392" s="3">
        <v>0</v>
      </c>
      <c r="S392" s="4">
        <v>0</v>
      </c>
      <c r="T392" s="4">
        <v>21</v>
      </c>
      <c r="U392" s="4">
        <v>36</v>
      </c>
      <c r="V392" s="4">
        <f>IF(ISERROR(VLOOKUP($S$392,'TAR FIN'!$A$1:$O$91,15,0)),0,VLOOKUP($S$392,'TAR FIN'!$A$1:$O$91,15,0))</f>
        <v>0</v>
      </c>
      <c r="W392" s="4">
        <f>IF(ISERROR(VLOOKUP($T$392,'TAR FIN'!$A$1:$O$91,15,0)),0,VLOOKUP($T$392,'TAR FIN'!$A$1:$O$91,15,0))</f>
        <v>85.82</v>
      </c>
      <c r="X392" s="4">
        <f>IF(ISERROR(VLOOKUP($U$392,'TAR FIN'!$A$1:$O$91,15,0)),0,VLOOKUP($U$392,'TAR FIN'!$A$1:$O$91,15,0))</f>
        <v>87.24</v>
      </c>
      <c r="Y392" s="4"/>
      <c r="Z392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2" s="4">
        <f>('TE BE'!$AB$14+'TE BF'!$AB$14+'TE CVA'!$AB$14)*(1-CUSTOS!$M$34)</f>
        <v>71.183959829273348</v>
      </c>
      <c r="AB392" s="4">
        <f>$K$392*$V$392</f>
        <v>0</v>
      </c>
      <c r="AC392" s="4">
        <f>$M$392*$W$392</f>
        <v>1143.1224</v>
      </c>
      <c r="AD392" s="4">
        <f>$O$392*$X$392</f>
        <v>1162.0367999999999</v>
      </c>
      <c r="AE392" s="4">
        <f>$K$392*$Y$392</f>
        <v>0</v>
      </c>
      <c r="AF392" s="4">
        <f ca="1">$M$392*$Z$392</f>
        <v>1304.4702365308187</v>
      </c>
      <c r="AG392" s="4">
        <f>$O$392*$AA$392</f>
        <v>948.17034492592097</v>
      </c>
    </row>
    <row r="393" spans="1:33" ht="11.25" customHeight="1" x14ac:dyDescent="0.25">
      <c r="A393" s="3" t="s">
        <v>21</v>
      </c>
      <c r="B393" s="3" t="s">
        <v>22</v>
      </c>
      <c r="C393" s="3" t="s">
        <v>23</v>
      </c>
      <c r="D393" s="3" t="s">
        <v>24</v>
      </c>
      <c r="E393" s="3" t="s">
        <v>29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16.02</v>
      </c>
      <c r="M393" s="4">
        <v>16.02</v>
      </c>
      <c r="N393" s="4">
        <v>16.02</v>
      </c>
      <c r="O393" s="4">
        <v>16.02</v>
      </c>
      <c r="P393" s="4">
        <v>10</v>
      </c>
      <c r="Q393" s="3" t="s">
        <v>26</v>
      </c>
      <c r="R393" s="3">
        <v>0</v>
      </c>
      <c r="S393" s="4">
        <v>0</v>
      </c>
      <c r="T393" s="4">
        <v>21</v>
      </c>
      <c r="U393" s="4">
        <v>36</v>
      </c>
      <c r="V393" s="4">
        <f>IF(ISERROR(VLOOKUP($S$393,'TAR FIN'!$A$1:$O$91,15,0)),0,VLOOKUP($S$393,'TAR FIN'!$A$1:$O$91,15,0))</f>
        <v>0</v>
      </c>
      <c r="W393" s="4">
        <f>IF(ISERROR(VLOOKUP($T$393,'TAR FIN'!$A$1:$O$91,15,0)),0,VLOOKUP($T$393,'TAR FIN'!$A$1:$O$91,15,0))</f>
        <v>85.82</v>
      </c>
      <c r="X393" s="4">
        <f>IF(ISERROR(VLOOKUP($U$393,'TAR FIN'!$A$1:$O$91,15,0)),0,VLOOKUP($U$393,'TAR FIN'!$A$1:$O$91,15,0))</f>
        <v>87.24</v>
      </c>
      <c r="Y393" s="4"/>
      <c r="Z393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3" s="4">
        <f>('TE BE'!$AB$14+'TE BF'!$AB$14+'TE CVA'!$AB$14)*(1-CUSTOS!$M$34)</f>
        <v>71.183959829273348</v>
      </c>
      <c r="AB393" s="4">
        <f>$K$393*$V$393</f>
        <v>0</v>
      </c>
      <c r="AC393" s="4">
        <f>$M$393*$W$393</f>
        <v>1374.8363999999999</v>
      </c>
      <c r="AD393" s="4">
        <f>$O$393*$X$393</f>
        <v>1397.5847999999999</v>
      </c>
      <c r="AE393" s="4">
        <f>$K$393*$Y$393</f>
        <v>0</v>
      </c>
      <c r="AF393" s="4">
        <f ca="1">$M$393*$Z$393</f>
        <v>1568.8898790708495</v>
      </c>
      <c r="AG393" s="4">
        <f>$O$393*$AA$393</f>
        <v>1140.367036464959</v>
      </c>
    </row>
    <row r="394" spans="1:33" ht="11.25" customHeight="1" x14ac:dyDescent="0.25">
      <c r="A394" s="3" t="s">
        <v>21</v>
      </c>
      <c r="B394" s="3" t="s">
        <v>22</v>
      </c>
      <c r="C394" s="3" t="s">
        <v>23</v>
      </c>
      <c r="D394" s="3" t="s">
        <v>24</v>
      </c>
      <c r="E394" s="3" t="s">
        <v>29</v>
      </c>
      <c r="F394" s="3" t="s">
        <v>25</v>
      </c>
      <c r="G394" s="3" t="s">
        <v>25</v>
      </c>
      <c r="H394" s="3" t="s">
        <v>25</v>
      </c>
      <c r="I394" s="6">
        <v>44621</v>
      </c>
      <c r="J394" s="4">
        <v>0</v>
      </c>
      <c r="K394" s="4">
        <v>0</v>
      </c>
      <c r="L394" s="4">
        <v>16.68</v>
      </c>
      <c r="M394" s="4">
        <v>16.68</v>
      </c>
      <c r="N394" s="4">
        <v>16.68</v>
      </c>
      <c r="O394" s="4">
        <v>16.68</v>
      </c>
      <c r="P394" s="4">
        <v>11</v>
      </c>
      <c r="Q394" s="3" t="s">
        <v>26</v>
      </c>
      <c r="R394" s="3">
        <v>0</v>
      </c>
      <c r="S394" s="4">
        <v>0</v>
      </c>
      <c r="T394" s="4">
        <v>21</v>
      </c>
      <c r="U394" s="4">
        <v>36</v>
      </c>
      <c r="V394" s="4">
        <f>IF(ISERROR(VLOOKUP($S$394,'TAR FIN'!$A$1:$O$91,15,0)),0,VLOOKUP($S$394,'TAR FIN'!$A$1:$O$91,15,0))</f>
        <v>0</v>
      </c>
      <c r="W394" s="4">
        <f>IF(ISERROR(VLOOKUP($T$394,'TAR FIN'!$A$1:$O$91,15,0)),0,VLOOKUP($T$394,'TAR FIN'!$A$1:$O$91,15,0))</f>
        <v>85.82</v>
      </c>
      <c r="X394" s="4">
        <f>IF(ISERROR(VLOOKUP($U$394,'TAR FIN'!$A$1:$O$91,15,0)),0,VLOOKUP($U$394,'TAR FIN'!$A$1:$O$91,15,0))</f>
        <v>87.24</v>
      </c>
      <c r="Y394" s="4"/>
      <c r="Z394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4" s="4">
        <f>('TE BE'!$AB$14+'TE BF'!$AB$14+'TE CVA'!$AB$14)*(1-CUSTOS!$M$34)</f>
        <v>71.183959829273348</v>
      </c>
      <c r="AB394" s="4">
        <f>$K$394*$V$394</f>
        <v>0</v>
      </c>
      <c r="AC394" s="4">
        <f>$M$394*$W$394</f>
        <v>1431.4775999999999</v>
      </c>
      <c r="AD394" s="4">
        <f>$O$394*$X$394</f>
        <v>1455.1632</v>
      </c>
      <c r="AE394" s="4">
        <f>$K$394*$Y$394</f>
        <v>0</v>
      </c>
      <c r="AF394" s="4">
        <f ca="1">$M$394*$Z$394</f>
        <v>1633.525791691746</v>
      </c>
      <c r="AG394" s="4">
        <f>$O$394*$AA$394</f>
        <v>1187.3484499522795</v>
      </c>
    </row>
    <row r="395" spans="1:33" ht="11.25" customHeight="1" x14ac:dyDescent="0.25">
      <c r="A395" s="3" t="s">
        <v>21</v>
      </c>
      <c r="B395" s="3" t="s">
        <v>22</v>
      </c>
      <c r="C395" s="3" t="s">
        <v>23</v>
      </c>
      <c r="D395" s="3" t="s">
        <v>24</v>
      </c>
      <c r="E395" s="3" t="s">
        <v>29</v>
      </c>
      <c r="F395" s="3" t="s">
        <v>25</v>
      </c>
      <c r="G395" s="3" t="s">
        <v>25</v>
      </c>
      <c r="H395" s="3" t="s">
        <v>25</v>
      </c>
      <c r="I395" s="6">
        <v>44652</v>
      </c>
      <c r="J395" s="4">
        <v>0</v>
      </c>
      <c r="K395" s="4">
        <v>0</v>
      </c>
      <c r="L395" s="4">
        <v>16.829999999999998</v>
      </c>
      <c r="M395" s="4">
        <v>16.829999999999998</v>
      </c>
      <c r="N395" s="4">
        <v>16.829999999999998</v>
      </c>
      <c r="O395" s="4">
        <v>16.829999999999998</v>
      </c>
      <c r="P395" s="4">
        <v>13</v>
      </c>
      <c r="Q395" s="3" t="s">
        <v>26</v>
      </c>
      <c r="R395" s="3">
        <v>0</v>
      </c>
      <c r="S395" s="4">
        <v>0</v>
      </c>
      <c r="T395" s="4">
        <v>21</v>
      </c>
      <c r="U395" s="4">
        <v>36</v>
      </c>
      <c r="V395" s="4">
        <f>IF(ISERROR(VLOOKUP($S$395,'TAR FIN'!$A$1:$O$91,15,0)),0,VLOOKUP($S$395,'TAR FIN'!$A$1:$O$91,15,0))</f>
        <v>0</v>
      </c>
      <c r="W395" s="4">
        <f>IF(ISERROR(VLOOKUP($T$395,'TAR FIN'!$A$1:$O$91,15,0)),0,VLOOKUP($T$395,'TAR FIN'!$A$1:$O$91,15,0))</f>
        <v>85.82</v>
      </c>
      <c r="X395" s="4">
        <f>IF(ISERROR(VLOOKUP($U$395,'TAR FIN'!$A$1:$O$91,15,0)),0,VLOOKUP($U$395,'TAR FIN'!$A$1:$O$91,15,0))</f>
        <v>87.24</v>
      </c>
      <c r="Y395" s="4"/>
      <c r="Z395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5" s="4">
        <f>('TE BE'!$AB$14+'TE BF'!$AB$14+'TE CVA'!$AB$14)*(1-CUSTOS!$M$34)</f>
        <v>71.183959829273348</v>
      </c>
      <c r="AB395" s="4">
        <f>$K$395*$V$395</f>
        <v>0</v>
      </c>
      <c r="AC395" s="4">
        <f>$M$395*$W$395</f>
        <v>1444.3505999999998</v>
      </c>
      <c r="AD395" s="4">
        <f>$O$395*$X$395</f>
        <v>1468.2491999999997</v>
      </c>
      <c r="AE395" s="4">
        <f>$K$395*$Y$395</f>
        <v>0</v>
      </c>
      <c r="AF395" s="4">
        <f ca="1">$M$395*$Z$395</f>
        <v>1648.2157718328588</v>
      </c>
      <c r="AG395" s="4">
        <f>$O$395*$AA$395</f>
        <v>1198.0260439266704</v>
      </c>
    </row>
    <row r="396" spans="1:33" ht="11.25" customHeight="1" x14ac:dyDescent="0.25">
      <c r="A396" s="3" t="s">
        <v>21</v>
      </c>
      <c r="B396" s="3" t="s">
        <v>22</v>
      </c>
      <c r="C396" s="3" t="s">
        <v>23</v>
      </c>
      <c r="D396" s="3" t="s">
        <v>24</v>
      </c>
      <c r="E396" s="3" t="s">
        <v>29</v>
      </c>
      <c r="F396" s="3" t="s">
        <v>25</v>
      </c>
      <c r="G396" s="3" t="s">
        <v>25</v>
      </c>
      <c r="H396" s="3" t="s">
        <v>25</v>
      </c>
      <c r="I396" s="6">
        <v>44682</v>
      </c>
      <c r="J396" s="4">
        <v>0</v>
      </c>
      <c r="K396" s="4">
        <v>0</v>
      </c>
      <c r="L396" s="4">
        <v>16.8</v>
      </c>
      <c r="M396" s="4">
        <v>16.8</v>
      </c>
      <c r="N396" s="4">
        <v>16.8</v>
      </c>
      <c r="O396" s="4">
        <v>16.8</v>
      </c>
      <c r="P396" s="4">
        <v>15</v>
      </c>
      <c r="Q396" s="3" t="s">
        <v>26</v>
      </c>
      <c r="R396" s="3">
        <v>0</v>
      </c>
      <c r="S396" s="4">
        <v>0</v>
      </c>
      <c r="T396" s="4">
        <v>21</v>
      </c>
      <c r="U396" s="4">
        <v>36</v>
      </c>
      <c r="V396" s="4">
        <f>IF(ISERROR(VLOOKUP($S$396,'TAR FIN'!$A$1:$O$91,15,0)),0,VLOOKUP($S$396,'TAR FIN'!$A$1:$O$91,15,0))</f>
        <v>0</v>
      </c>
      <c r="W396" s="4">
        <f>IF(ISERROR(VLOOKUP($T$396,'TAR FIN'!$A$1:$O$91,15,0)),0,VLOOKUP($T$396,'TAR FIN'!$A$1:$O$91,15,0))</f>
        <v>85.82</v>
      </c>
      <c r="X396" s="4">
        <f>IF(ISERROR(VLOOKUP($U$396,'TAR FIN'!$A$1:$O$91,15,0)),0,VLOOKUP($U$396,'TAR FIN'!$A$1:$O$91,15,0))</f>
        <v>87.24</v>
      </c>
      <c r="Y396" s="4"/>
      <c r="Z396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6" s="4">
        <f>('TE BE'!$AB$14+'TE BF'!$AB$14+'TE CVA'!$AB$14)*(1-CUSTOS!$M$34)</f>
        <v>71.183959829273348</v>
      </c>
      <c r="AB396" s="4">
        <f>$K$396*$V$396</f>
        <v>0</v>
      </c>
      <c r="AC396" s="4">
        <f>$M$396*$W$396</f>
        <v>1441.7759999999998</v>
      </c>
      <c r="AD396" s="4">
        <f>$O$396*$X$396</f>
        <v>1465.6320000000001</v>
      </c>
      <c r="AE396" s="4">
        <f>$K$396*$Y$396</f>
        <v>0</v>
      </c>
      <c r="AF396" s="4">
        <f ca="1">$M$396*$Z$396</f>
        <v>1645.2777758046363</v>
      </c>
      <c r="AG396" s="4">
        <f>$O$396*$AA$396</f>
        <v>1195.8905251317924</v>
      </c>
    </row>
    <row r="397" spans="1:33" ht="11.25" customHeight="1" x14ac:dyDescent="0.25">
      <c r="A397" s="3" t="s">
        <v>28</v>
      </c>
      <c r="B397" s="3" t="s">
        <v>22</v>
      </c>
      <c r="C397" s="3" t="s">
        <v>23</v>
      </c>
      <c r="D397" s="3" t="s">
        <v>24</v>
      </c>
      <c r="E397" s="3" t="s">
        <v>29</v>
      </c>
      <c r="F397" s="3" t="s">
        <v>25</v>
      </c>
      <c r="G397" s="3" t="s">
        <v>25</v>
      </c>
      <c r="H397" s="3" t="s">
        <v>25</v>
      </c>
      <c r="I397" s="6">
        <v>44682</v>
      </c>
      <c r="J397" s="4">
        <v>0</v>
      </c>
      <c r="K397" s="4">
        <v>0</v>
      </c>
      <c r="L397" s="4">
        <v>0.03</v>
      </c>
      <c r="M397" s="4">
        <v>1.0500000000000001E-2</v>
      </c>
      <c r="N397" s="4">
        <v>0.03</v>
      </c>
      <c r="O397" s="4">
        <v>1.0500000000000001E-2</v>
      </c>
      <c r="P397" s="4">
        <v>0</v>
      </c>
      <c r="Q397" s="3" t="s">
        <v>26</v>
      </c>
      <c r="R397" s="3">
        <v>0</v>
      </c>
      <c r="S397" s="4">
        <v>0</v>
      </c>
      <c r="T397" s="4">
        <v>21</v>
      </c>
      <c r="U397" s="4">
        <v>36</v>
      </c>
      <c r="V397" s="4">
        <f>IF(ISERROR(VLOOKUP($S$397,'TAR FIN'!$A$1:$O$91,15,0)),0,VLOOKUP($S$397,'TAR FIN'!$A$1:$O$91,15,0))</f>
        <v>0</v>
      </c>
      <c r="W397" s="4">
        <f>IF(ISERROR(VLOOKUP($T$397,'TAR FIN'!$A$1:$O$91,15,0)),0,VLOOKUP($T$397,'TAR FIN'!$A$1:$O$91,15,0))</f>
        <v>85.82</v>
      </c>
      <c r="X397" s="4">
        <f>IF(ISERROR(VLOOKUP($U$397,'TAR FIN'!$A$1:$O$91,15,0)),0,VLOOKUP($U$397,'TAR FIN'!$A$1:$O$91,15,0))</f>
        <v>87.24</v>
      </c>
      <c r="Y397" s="4"/>
      <c r="Z397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7" s="4">
        <f>('TE BE'!$AB$14+'TE BF'!$AB$14+'TE CVA'!$AB$14)*(1-CUSTOS!$M$34)</f>
        <v>71.183959829273348</v>
      </c>
      <c r="AB397" s="4">
        <f>$K$397*$V$397</f>
        <v>0</v>
      </c>
      <c r="AC397" s="4">
        <f>$M$397*$W$397</f>
        <v>0.90110999999999997</v>
      </c>
      <c r="AD397" s="4">
        <f>$O$397*$X$397</f>
        <v>0.91602000000000006</v>
      </c>
      <c r="AE397" s="4">
        <f>$K$397*$Y$397</f>
        <v>0</v>
      </c>
      <c r="AF397" s="4">
        <f ca="1">$M$397*$Z$397</f>
        <v>1.0282986098778977</v>
      </c>
      <c r="AG397" s="4">
        <f>$O$397*$AA$397</f>
        <v>0.74743157820737016</v>
      </c>
    </row>
    <row r="398" spans="1:33" ht="11.25" customHeight="1" x14ac:dyDescent="0.25">
      <c r="A398" s="3" t="s">
        <v>21</v>
      </c>
      <c r="B398" s="3" t="s">
        <v>22</v>
      </c>
      <c r="C398" s="3" t="s">
        <v>23</v>
      </c>
      <c r="D398" s="3" t="s">
        <v>24</v>
      </c>
      <c r="E398" s="3" t="s">
        <v>29</v>
      </c>
      <c r="F398" s="3" t="s">
        <v>25</v>
      </c>
      <c r="G398" s="3" t="s">
        <v>25</v>
      </c>
      <c r="H398" s="3" t="s">
        <v>25</v>
      </c>
      <c r="I398" s="6">
        <v>44713</v>
      </c>
      <c r="J398" s="4">
        <v>0</v>
      </c>
      <c r="K398" s="4">
        <v>0</v>
      </c>
      <c r="L398" s="4">
        <v>15.21</v>
      </c>
      <c r="M398" s="4">
        <v>15.21</v>
      </c>
      <c r="N398" s="4">
        <v>15.21</v>
      </c>
      <c r="O398" s="4">
        <v>15.21</v>
      </c>
      <c r="P398" s="4">
        <v>17</v>
      </c>
      <c r="Q398" s="3" t="s">
        <v>26</v>
      </c>
      <c r="R398" s="3">
        <v>0</v>
      </c>
      <c r="S398" s="4">
        <v>0</v>
      </c>
      <c r="T398" s="4">
        <v>21</v>
      </c>
      <c r="U398" s="4">
        <v>36</v>
      </c>
      <c r="V398" s="4">
        <f>IF(ISERROR(VLOOKUP($S$398,'TAR FIN'!$A$1:$O$91,15,0)),0,VLOOKUP($S$398,'TAR FIN'!$A$1:$O$91,15,0))</f>
        <v>0</v>
      </c>
      <c r="W398" s="4">
        <f>IF(ISERROR(VLOOKUP($T$398,'TAR FIN'!$A$1:$O$91,15,0)),0,VLOOKUP($T$398,'TAR FIN'!$A$1:$O$91,15,0))</f>
        <v>85.82</v>
      </c>
      <c r="X398" s="4">
        <f>IF(ISERROR(VLOOKUP($U$398,'TAR FIN'!$A$1:$O$91,15,0)),0,VLOOKUP($U$398,'TAR FIN'!$A$1:$O$91,15,0))</f>
        <v>87.24</v>
      </c>
      <c r="Y398" s="4"/>
      <c r="Z398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8" s="4">
        <f>('TE BE'!$AB$14+'TE BF'!$AB$14+'TE CVA'!$AB$14)*(1-CUSTOS!$M$34)</f>
        <v>71.183959829273348</v>
      </c>
      <c r="AB398" s="4">
        <f>$K$398*$V$398</f>
        <v>0</v>
      </c>
      <c r="AC398" s="4">
        <f>$M$398*$W$398</f>
        <v>1305.3222000000001</v>
      </c>
      <c r="AD398" s="4">
        <f>$O$398*$X$398</f>
        <v>1326.9204</v>
      </c>
      <c r="AE398" s="4">
        <f>$K$398*$Y$398</f>
        <v>0</v>
      </c>
      <c r="AF398" s="4">
        <f ca="1">$M$398*$Z$398</f>
        <v>1489.5639863088404</v>
      </c>
      <c r="AG398" s="4">
        <f>$O$398*$AA$398</f>
        <v>1082.7080290032477</v>
      </c>
    </row>
    <row r="399" spans="1:33" ht="11.25" customHeight="1" x14ac:dyDescent="0.25">
      <c r="A399" s="3" t="s">
        <v>21</v>
      </c>
      <c r="B399" s="3" t="s">
        <v>22</v>
      </c>
      <c r="C399" s="3" t="s">
        <v>23</v>
      </c>
      <c r="D399" s="3" t="s">
        <v>24</v>
      </c>
      <c r="E399" s="3" t="s">
        <v>29</v>
      </c>
      <c r="F399" s="3" t="s">
        <v>25</v>
      </c>
      <c r="G399" s="3" t="s">
        <v>25</v>
      </c>
      <c r="H399" s="3" t="s">
        <v>25</v>
      </c>
      <c r="I399" s="6">
        <v>44743</v>
      </c>
      <c r="J399" s="4">
        <v>0</v>
      </c>
      <c r="K399" s="4">
        <v>0</v>
      </c>
      <c r="L399" s="4">
        <v>14.97</v>
      </c>
      <c r="M399" s="4">
        <v>14.97</v>
      </c>
      <c r="N399" s="4">
        <v>14.97</v>
      </c>
      <c r="O399" s="4">
        <v>14.97</v>
      </c>
      <c r="P399" s="4">
        <v>19</v>
      </c>
      <c r="Q399" s="3" t="s">
        <v>26</v>
      </c>
      <c r="R399" s="3">
        <v>0</v>
      </c>
      <c r="S399" s="4">
        <v>0</v>
      </c>
      <c r="T399" s="4">
        <v>21</v>
      </c>
      <c r="U399" s="4">
        <v>36</v>
      </c>
      <c r="V399" s="4">
        <f>IF(ISERROR(VLOOKUP($S$399,'TAR FIN'!$A$1:$O$91,15,0)),0,VLOOKUP($S$399,'TAR FIN'!$A$1:$O$91,15,0))</f>
        <v>0</v>
      </c>
      <c r="W399" s="4">
        <f>IF(ISERROR(VLOOKUP($T$399,'TAR FIN'!$A$1:$O$91,15,0)),0,VLOOKUP($T$399,'TAR FIN'!$A$1:$O$91,15,0))</f>
        <v>85.82</v>
      </c>
      <c r="X399" s="4">
        <f>IF(ISERROR(VLOOKUP($U$399,'TAR FIN'!$A$1:$O$91,15,0)),0,VLOOKUP($U$399,'TAR FIN'!$A$1:$O$91,15,0))</f>
        <v>87.24</v>
      </c>
      <c r="Y399" s="4"/>
      <c r="Z399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399" s="4">
        <f>('TE BE'!$AB$14+'TE BF'!$AB$14+'TE CVA'!$AB$14)*(1-CUSTOS!$M$34)</f>
        <v>71.183959829273348</v>
      </c>
      <c r="AB399" s="4">
        <f>$K$399*$V$399</f>
        <v>0</v>
      </c>
      <c r="AC399" s="4">
        <f>$M$399*$W$399</f>
        <v>1284.7254</v>
      </c>
      <c r="AD399" s="4">
        <f>$O$399*$X$399</f>
        <v>1305.9828</v>
      </c>
      <c r="AE399" s="4">
        <f>$K$399*$Y$399</f>
        <v>0</v>
      </c>
      <c r="AF399" s="4">
        <f ca="1">$M$399*$Z$399</f>
        <v>1466.06001808306</v>
      </c>
      <c r="AG399" s="4">
        <f>$O$399*$AA$399</f>
        <v>1065.623878644222</v>
      </c>
    </row>
    <row r="400" spans="1:33" ht="11.25" customHeight="1" x14ac:dyDescent="0.25">
      <c r="A400" s="3" t="s">
        <v>21</v>
      </c>
      <c r="B400" s="3" t="s">
        <v>22</v>
      </c>
      <c r="C400" s="3" t="s">
        <v>23</v>
      </c>
      <c r="D400" s="3" t="s">
        <v>24</v>
      </c>
      <c r="E400" s="3" t="s">
        <v>29</v>
      </c>
      <c r="F400" s="3" t="s">
        <v>25</v>
      </c>
      <c r="G400" s="3" t="s">
        <v>25</v>
      </c>
      <c r="H400" s="3" t="s">
        <v>25</v>
      </c>
      <c r="I400" s="6">
        <v>44774</v>
      </c>
      <c r="J400" s="4">
        <v>0</v>
      </c>
      <c r="K400" s="4">
        <v>0</v>
      </c>
      <c r="L400" s="4">
        <v>16.2</v>
      </c>
      <c r="M400" s="4">
        <v>16.2</v>
      </c>
      <c r="N400" s="4">
        <v>16.2</v>
      </c>
      <c r="O400" s="4">
        <v>16.2</v>
      </c>
      <c r="P400" s="4">
        <v>17</v>
      </c>
      <c r="Q400" s="3" t="s">
        <v>26</v>
      </c>
      <c r="R400" s="3">
        <v>0</v>
      </c>
      <c r="S400" s="4">
        <v>0</v>
      </c>
      <c r="T400" s="4">
        <v>21</v>
      </c>
      <c r="U400" s="4">
        <v>36</v>
      </c>
      <c r="V400" s="4">
        <f>IF(ISERROR(VLOOKUP($S$400,'TAR FIN'!$A$1:$O$91,15,0)),0,VLOOKUP($S$400,'TAR FIN'!$A$1:$O$91,15,0))</f>
        <v>0</v>
      </c>
      <c r="W400" s="4">
        <f>IF(ISERROR(VLOOKUP($T$400,'TAR FIN'!$A$1:$O$91,15,0)),0,VLOOKUP($T$400,'TAR FIN'!$A$1:$O$91,15,0))</f>
        <v>85.82</v>
      </c>
      <c r="X400" s="4">
        <f>IF(ISERROR(VLOOKUP($U$400,'TAR FIN'!$A$1:$O$91,15,0)),0,VLOOKUP($U$400,'TAR FIN'!$A$1:$O$91,15,0))</f>
        <v>87.24</v>
      </c>
      <c r="Y400" s="4"/>
      <c r="Z400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400" s="4">
        <f>('TE BE'!$AB$14+'TE BF'!$AB$14+'TE CVA'!$AB$14)*(1-CUSTOS!$M$34)</f>
        <v>71.183959829273348</v>
      </c>
      <c r="AB400" s="4">
        <f>$K$400*$V$400</f>
        <v>0</v>
      </c>
      <c r="AC400" s="4">
        <f>$M$400*$W$400</f>
        <v>1390.2839999999999</v>
      </c>
      <c r="AD400" s="4">
        <f>$O$400*$X$400</f>
        <v>1413.2879999999998</v>
      </c>
      <c r="AE400" s="4">
        <f>$K$400*$Y$400</f>
        <v>0</v>
      </c>
      <c r="AF400" s="4">
        <f ca="1">$M$400*$Z$400</f>
        <v>1586.5178552401849</v>
      </c>
      <c r="AG400" s="4">
        <f>$O$400*$AA$400</f>
        <v>1153.1801492342281</v>
      </c>
    </row>
    <row r="401" spans="1:33" ht="11.25" customHeight="1" x14ac:dyDescent="0.25">
      <c r="A401" s="3" t="s">
        <v>21</v>
      </c>
      <c r="B401" s="3" t="s">
        <v>22</v>
      </c>
      <c r="C401" s="3" t="s">
        <v>23</v>
      </c>
      <c r="D401" s="3" t="s">
        <v>24</v>
      </c>
      <c r="E401" s="3" t="s">
        <v>30</v>
      </c>
      <c r="F401" s="3" t="s">
        <v>25</v>
      </c>
      <c r="G401" s="3" t="s">
        <v>25</v>
      </c>
      <c r="H401" s="3" t="s">
        <v>25</v>
      </c>
      <c r="I401" s="6">
        <v>44440</v>
      </c>
      <c r="J401" s="4">
        <v>0</v>
      </c>
      <c r="K401" s="4">
        <v>0</v>
      </c>
      <c r="L401" s="4">
        <v>25.515000000000001</v>
      </c>
      <c r="M401" s="4">
        <v>25.515000000000001</v>
      </c>
      <c r="N401" s="4">
        <v>25.515000000000001</v>
      </c>
      <c r="O401" s="4">
        <v>25.515000000000001</v>
      </c>
      <c r="P401" s="4">
        <v>49</v>
      </c>
      <c r="Q401" s="3" t="s">
        <v>26</v>
      </c>
      <c r="R401" s="3">
        <v>0</v>
      </c>
      <c r="S401" s="4">
        <v>0</v>
      </c>
      <c r="T401" s="4">
        <v>17</v>
      </c>
      <c r="U401" s="4">
        <v>48</v>
      </c>
      <c r="V401" s="4">
        <f>IF(ISERROR(VLOOKUP($S$401,'TAR FIN'!$A$1:$O$91,15,0)),0,VLOOKUP($S$401,'TAR FIN'!$A$1:$O$91,15,0))</f>
        <v>0</v>
      </c>
      <c r="W401" s="4">
        <f>IF(ISERROR(VLOOKUP($T$401,'TAR FIN'!$A$1:$O$91,15,0)),0,VLOOKUP($T$401,'TAR FIN'!$A$1:$O$91,15,0))</f>
        <v>147.12</v>
      </c>
      <c r="X401" s="4">
        <f>IF(ISERROR(VLOOKUP($U$401,'TAR FIN'!$A$1:$O$91,15,0)),0,VLOOKUP($U$401,'TAR FIN'!$A$1:$O$91,15,0))</f>
        <v>149.55000000000001</v>
      </c>
      <c r="Y401" s="4"/>
      <c r="Z401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1" s="4">
        <f>('TE BE'!$AB$15+'TE BF'!$AB$15+'TE CVA'!$AB$15)*(1-CUSTOS!$M$35)</f>
        <v>122.02964542161146</v>
      </c>
      <c r="AB401" s="4">
        <f>$K$401*$V$401</f>
        <v>0</v>
      </c>
      <c r="AC401" s="4">
        <f>$M$401*$W$401</f>
        <v>3753.7668000000003</v>
      </c>
      <c r="AD401" s="4">
        <f>$O$401*$X$401</f>
        <v>3815.7682500000005</v>
      </c>
      <c r="AE401" s="4">
        <f>$K$401*$Y$401</f>
        <v>0</v>
      </c>
      <c r="AF401" s="4">
        <f ca="1">$M$401*$Z$401</f>
        <v>4283.5982091484993</v>
      </c>
      <c r="AG401" s="4">
        <f>$O$401*$AA$401</f>
        <v>3113.5864029324166</v>
      </c>
    </row>
    <row r="402" spans="1:33" ht="11.25" customHeight="1" x14ac:dyDescent="0.25">
      <c r="A402" s="3" t="s">
        <v>21</v>
      </c>
      <c r="B402" s="3" t="s">
        <v>22</v>
      </c>
      <c r="C402" s="3" t="s">
        <v>23</v>
      </c>
      <c r="D402" s="3" t="s">
        <v>24</v>
      </c>
      <c r="E402" s="3" t="s">
        <v>30</v>
      </c>
      <c r="F402" s="3" t="s">
        <v>25</v>
      </c>
      <c r="G402" s="3" t="s">
        <v>25</v>
      </c>
      <c r="H402" s="3" t="s">
        <v>25</v>
      </c>
      <c r="I402" s="6">
        <v>44470</v>
      </c>
      <c r="J402" s="4">
        <v>0</v>
      </c>
      <c r="K402" s="4">
        <v>0</v>
      </c>
      <c r="L402" s="4">
        <v>25.896000000000001</v>
      </c>
      <c r="M402" s="4">
        <v>25.896000000000001</v>
      </c>
      <c r="N402" s="4">
        <v>25.896000000000001</v>
      </c>
      <c r="O402" s="4">
        <v>25.896000000000001</v>
      </c>
      <c r="P402" s="4">
        <v>45</v>
      </c>
      <c r="Q402" s="3" t="s">
        <v>26</v>
      </c>
      <c r="R402" s="3">
        <v>0</v>
      </c>
      <c r="S402" s="4">
        <v>0</v>
      </c>
      <c r="T402" s="4">
        <v>17</v>
      </c>
      <c r="U402" s="4">
        <v>48</v>
      </c>
      <c r="V402" s="4">
        <f>IF(ISERROR(VLOOKUP($S$402,'TAR FIN'!$A$1:$O$91,15,0)),0,VLOOKUP($S$402,'TAR FIN'!$A$1:$O$91,15,0))</f>
        <v>0</v>
      </c>
      <c r="W402" s="4">
        <f>IF(ISERROR(VLOOKUP($T$402,'TAR FIN'!$A$1:$O$91,15,0)),0,VLOOKUP($T$402,'TAR FIN'!$A$1:$O$91,15,0))</f>
        <v>147.12</v>
      </c>
      <c r="X402" s="4">
        <f>IF(ISERROR(VLOOKUP($U$402,'TAR FIN'!$A$1:$O$91,15,0)),0,VLOOKUP($U$402,'TAR FIN'!$A$1:$O$91,15,0))</f>
        <v>149.55000000000001</v>
      </c>
      <c r="Y402" s="4"/>
      <c r="Z402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2" s="4">
        <f>('TE BE'!$AB$15+'TE BF'!$AB$15+'TE CVA'!$AB$15)*(1-CUSTOS!$M$35)</f>
        <v>122.02964542161146</v>
      </c>
      <c r="AB402" s="4">
        <f>$K$402*$V$402</f>
        <v>0</v>
      </c>
      <c r="AC402" s="4">
        <f>$M$402*$W$402</f>
        <v>3809.81952</v>
      </c>
      <c r="AD402" s="4">
        <f>$O$402*$X$402</f>
        <v>3872.7468000000003</v>
      </c>
      <c r="AE402" s="4">
        <f>$K$402*$Y$402</f>
        <v>0</v>
      </c>
      <c r="AF402" s="4">
        <f ca="1">$M$402*$Z$402</f>
        <v>4347.5625798200872</v>
      </c>
      <c r="AG402" s="4">
        <f>$O$402*$AA$402</f>
        <v>3160.0796978380504</v>
      </c>
    </row>
    <row r="403" spans="1:33" ht="11.25" customHeight="1" x14ac:dyDescent="0.25">
      <c r="A403" s="3" t="s">
        <v>21</v>
      </c>
      <c r="B403" s="3" t="s">
        <v>22</v>
      </c>
      <c r="C403" s="3" t="s">
        <v>23</v>
      </c>
      <c r="D403" s="3" t="s">
        <v>24</v>
      </c>
      <c r="E403" s="3" t="s">
        <v>30</v>
      </c>
      <c r="F403" s="3" t="s">
        <v>25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26.738</v>
      </c>
      <c r="M403" s="4">
        <v>26.738</v>
      </c>
      <c r="N403" s="4">
        <v>26.738</v>
      </c>
      <c r="O403" s="4">
        <v>26.738</v>
      </c>
      <c r="P403" s="4">
        <v>51</v>
      </c>
      <c r="Q403" s="3" t="s">
        <v>26</v>
      </c>
      <c r="R403" s="3">
        <v>0</v>
      </c>
      <c r="S403" s="4">
        <v>0</v>
      </c>
      <c r="T403" s="4">
        <v>17</v>
      </c>
      <c r="U403" s="4">
        <v>48</v>
      </c>
      <c r="V403" s="4">
        <f>IF(ISERROR(VLOOKUP($S$403,'TAR FIN'!$A$1:$O$91,15,0)),0,VLOOKUP($S$403,'TAR FIN'!$A$1:$O$91,15,0))</f>
        <v>0</v>
      </c>
      <c r="W403" s="4">
        <f>IF(ISERROR(VLOOKUP($T$403,'TAR FIN'!$A$1:$O$91,15,0)),0,VLOOKUP($T$403,'TAR FIN'!$A$1:$O$91,15,0))</f>
        <v>147.12</v>
      </c>
      <c r="X403" s="4">
        <f>IF(ISERROR(VLOOKUP($U$403,'TAR FIN'!$A$1:$O$91,15,0)),0,VLOOKUP($U$403,'TAR FIN'!$A$1:$O$91,15,0))</f>
        <v>149.55000000000001</v>
      </c>
      <c r="Y403" s="4"/>
      <c r="Z403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3" s="4">
        <f>('TE BE'!$AB$15+'TE BF'!$AB$15+'TE CVA'!$AB$15)*(1-CUSTOS!$M$35)</f>
        <v>122.02964542161146</v>
      </c>
      <c r="AB403" s="4">
        <f>$K$403*$V$403</f>
        <v>0</v>
      </c>
      <c r="AC403" s="4">
        <f>$M$403*$W$403</f>
        <v>3933.6945599999999</v>
      </c>
      <c r="AD403" s="4">
        <f>$O$403*$X$403</f>
        <v>3998.6679000000004</v>
      </c>
      <c r="AE403" s="4">
        <f>$K$403*$Y$403</f>
        <v>0</v>
      </c>
      <c r="AF403" s="4">
        <f ca="1">$M$403*$Z$403</f>
        <v>4488.9221601494246</v>
      </c>
      <c r="AG403" s="4">
        <f>$O$403*$AA$403</f>
        <v>3262.8286592830473</v>
      </c>
    </row>
    <row r="404" spans="1:33" ht="11.25" customHeight="1" x14ac:dyDescent="0.25">
      <c r="A404" s="3" t="s">
        <v>21</v>
      </c>
      <c r="B404" s="3" t="s">
        <v>22</v>
      </c>
      <c r="C404" s="3" t="s">
        <v>23</v>
      </c>
      <c r="D404" s="3" t="s">
        <v>24</v>
      </c>
      <c r="E404" s="3" t="s">
        <v>30</v>
      </c>
      <c r="F404" s="3" t="s">
        <v>25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26.849</v>
      </c>
      <c r="M404" s="4">
        <v>26.849</v>
      </c>
      <c r="N404" s="4">
        <v>26.849</v>
      </c>
      <c r="O404" s="4">
        <v>26.849</v>
      </c>
      <c r="P404" s="4">
        <v>41</v>
      </c>
      <c r="Q404" s="3" t="s">
        <v>26</v>
      </c>
      <c r="R404" s="3">
        <v>0</v>
      </c>
      <c r="S404" s="4">
        <v>0</v>
      </c>
      <c r="T404" s="4">
        <v>17</v>
      </c>
      <c r="U404" s="4">
        <v>48</v>
      </c>
      <c r="V404" s="4">
        <f>IF(ISERROR(VLOOKUP($S$404,'TAR FIN'!$A$1:$O$91,15,0)),0,VLOOKUP($S$404,'TAR FIN'!$A$1:$O$91,15,0))</f>
        <v>0</v>
      </c>
      <c r="W404" s="4">
        <f>IF(ISERROR(VLOOKUP($T$404,'TAR FIN'!$A$1:$O$91,15,0)),0,VLOOKUP($T$404,'TAR FIN'!$A$1:$O$91,15,0))</f>
        <v>147.12</v>
      </c>
      <c r="X404" s="4">
        <f>IF(ISERROR(VLOOKUP($U$404,'TAR FIN'!$A$1:$O$91,15,0)),0,VLOOKUP($U$404,'TAR FIN'!$A$1:$O$91,15,0))</f>
        <v>149.55000000000001</v>
      </c>
      <c r="Y404" s="4"/>
      <c r="Z404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4" s="4">
        <f>('TE BE'!$AB$15+'TE BF'!$AB$15+'TE CVA'!$AB$15)*(1-CUSTOS!$M$35)</f>
        <v>122.02964542161146</v>
      </c>
      <c r="AB404" s="4">
        <f>$K$404*$V$404</f>
        <v>0</v>
      </c>
      <c r="AC404" s="4">
        <f>$M$404*$W$404</f>
        <v>3950.0248799999999</v>
      </c>
      <c r="AD404" s="4">
        <f>$O$404*$X$404</f>
        <v>4015.2679500000004</v>
      </c>
      <c r="AE404" s="4">
        <f>$K$404*$Y$404</f>
        <v>0</v>
      </c>
      <c r="AF404" s="4">
        <f ca="1">$M$404*$Z$404</f>
        <v>4507.5574492427222</v>
      </c>
      <c r="AG404" s="4">
        <f>$O$404*$AA$404</f>
        <v>3276.3739499248463</v>
      </c>
    </row>
    <row r="405" spans="1:33" ht="11.25" customHeight="1" x14ac:dyDescent="0.25">
      <c r="A405" s="3" t="s">
        <v>21</v>
      </c>
      <c r="B405" s="3" t="s">
        <v>22</v>
      </c>
      <c r="C405" s="3" t="s">
        <v>23</v>
      </c>
      <c r="D405" s="3" t="s">
        <v>24</v>
      </c>
      <c r="E405" s="3" t="s">
        <v>30</v>
      </c>
      <c r="F405" s="3" t="s">
        <v>25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29.689</v>
      </c>
      <c r="M405" s="4">
        <v>29.689</v>
      </c>
      <c r="N405" s="4">
        <v>29.689</v>
      </c>
      <c r="O405" s="4">
        <v>29.689</v>
      </c>
      <c r="P405" s="4">
        <v>32</v>
      </c>
      <c r="Q405" s="3" t="s">
        <v>26</v>
      </c>
      <c r="R405" s="3">
        <v>0</v>
      </c>
      <c r="S405" s="4">
        <v>0</v>
      </c>
      <c r="T405" s="4">
        <v>17</v>
      </c>
      <c r="U405" s="4">
        <v>48</v>
      </c>
      <c r="V405" s="4">
        <f>IF(ISERROR(VLOOKUP($S$405,'TAR FIN'!$A$1:$O$91,15,0)),0,VLOOKUP($S$405,'TAR FIN'!$A$1:$O$91,15,0))</f>
        <v>0</v>
      </c>
      <c r="W405" s="4">
        <f>IF(ISERROR(VLOOKUP($T$405,'TAR FIN'!$A$1:$O$91,15,0)),0,VLOOKUP($T$405,'TAR FIN'!$A$1:$O$91,15,0))</f>
        <v>147.12</v>
      </c>
      <c r="X405" s="4">
        <f>IF(ISERROR(VLOOKUP($U$405,'TAR FIN'!$A$1:$O$91,15,0)),0,VLOOKUP($U$405,'TAR FIN'!$A$1:$O$91,15,0))</f>
        <v>149.55000000000001</v>
      </c>
      <c r="Y405" s="4"/>
      <c r="Z405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5" s="4">
        <f>('TE BE'!$AB$15+'TE BF'!$AB$15+'TE CVA'!$AB$15)*(1-CUSTOS!$M$35)</f>
        <v>122.02964542161146</v>
      </c>
      <c r="AB405" s="4">
        <f>$K$405*$V$405</f>
        <v>0</v>
      </c>
      <c r="AC405" s="4">
        <f>$M$405*$W$405</f>
        <v>4367.8456800000004</v>
      </c>
      <c r="AD405" s="4">
        <f>$O$405*$X$405</f>
        <v>4439.9899500000001</v>
      </c>
      <c r="AE405" s="4">
        <f>$K$405*$Y$405</f>
        <v>0</v>
      </c>
      <c r="AF405" s="4">
        <f ca="1">$M$405*$Z$405</f>
        <v>4984.3522332514121</v>
      </c>
      <c r="AG405" s="4">
        <f>$O$405*$AA$405</f>
        <v>3622.9381429222226</v>
      </c>
    </row>
    <row r="406" spans="1:33" ht="11.25" customHeight="1" x14ac:dyDescent="0.25">
      <c r="A406" s="3" t="s">
        <v>21</v>
      </c>
      <c r="B406" s="3" t="s">
        <v>22</v>
      </c>
      <c r="C406" s="3" t="s">
        <v>23</v>
      </c>
      <c r="D406" s="3" t="s">
        <v>24</v>
      </c>
      <c r="E406" s="3" t="s">
        <v>30</v>
      </c>
      <c r="F406" s="3" t="s">
        <v>25</v>
      </c>
      <c r="G406" s="3" t="s">
        <v>25</v>
      </c>
      <c r="H406" s="3" t="s">
        <v>25</v>
      </c>
      <c r="I406" s="6">
        <v>44593</v>
      </c>
      <c r="J406" s="4">
        <v>0</v>
      </c>
      <c r="K406" s="4">
        <v>0</v>
      </c>
      <c r="L406" s="4">
        <v>35.854999999999997</v>
      </c>
      <c r="M406" s="4">
        <v>35.854999999999997</v>
      </c>
      <c r="N406" s="4">
        <v>35.854999999999997</v>
      </c>
      <c r="O406" s="4">
        <v>35.854999999999997</v>
      </c>
      <c r="P406" s="4">
        <v>37</v>
      </c>
      <c r="Q406" s="3" t="s">
        <v>26</v>
      </c>
      <c r="R406" s="3">
        <v>0</v>
      </c>
      <c r="S406" s="4">
        <v>0</v>
      </c>
      <c r="T406" s="4">
        <v>17</v>
      </c>
      <c r="U406" s="4">
        <v>48</v>
      </c>
      <c r="V406" s="4">
        <f>IF(ISERROR(VLOOKUP($S$406,'TAR FIN'!$A$1:$O$91,15,0)),0,VLOOKUP($S$406,'TAR FIN'!$A$1:$O$91,15,0))</f>
        <v>0</v>
      </c>
      <c r="W406" s="4">
        <f>IF(ISERROR(VLOOKUP($T$406,'TAR FIN'!$A$1:$O$91,15,0)),0,VLOOKUP($T$406,'TAR FIN'!$A$1:$O$91,15,0))</f>
        <v>147.12</v>
      </c>
      <c r="X406" s="4">
        <f>IF(ISERROR(VLOOKUP($U$406,'TAR FIN'!$A$1:$O$91,15,0)),0,VLOOKUP($U$406,'TAR FIN'!$A$1:$O$91,15,0))</f>
        <v>149.55000000000001</v>
      </c>
      <c r="Y406" s="4"/>
      <c r="Z406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6" s="4">
        <f>('TE BE'!$AB$15+'TE BF'!$AB$15+'TE CVA'!$AB$15)*(1-CUSTOS!$M$35)</f>
        <v>122.02964542161146</v>
      </c>
      <c r="AB406" s="4">
        <f>$K$406*$V$406</f>
        <v>0</v>
      </c>
      <c r="AC406" s="4">
        <f>$M$406*$W$406</f>
        <v>5274.9875999999995</v>
      </c>
      <c r="AD406" s="4">
        <f>$O$406*$X$406</f>
        <v>5362.1152499999998</v>
      </c>
      <c r="AE406" s="4">
        <f>$K$406*$Y$406</f>
        <v>0</v>
      </c>
      <c r="AF406" s="4">
        <f ca="1">$M$406*$Z$406</f>
        <v>6019.5341481097166</v>
      </c>
      <c r="AG406" s="4">
        <f>$O$406*$AA$406</f>
        <v>4375.3729365918789</v>
      </c>
    </row>
    <row r="407" spans="1:33" ht="11.25" customHeight="1" x14ac:dyDescent="0.25">
      <c r="A407" s="3" t="s">
        <v>21</v>
      </c>
      <c r="B407" s="3" t="s">
        <v>22</v>
      </c>
      <c r="C407" s="3" t="s">
        <v>23</v>
      </c>
      <c r="D407" s="3" t="s">
        <v>24</v>
      </c>
      <c r="E407" s="3" t="s">
        <v>30</v>
      </c>
      <c r="F407" s="3" t="s">
        <v>25</v>
      </c>
      <c r="G407" s="3" t="s">
        <v>25</v>
      </c>
      <c r="H407" s="3" t="s">
        <v>25</v>
      </c>
      <c r="I407" s="6">
        <v>44621</v>
      </c>
      <c r="J407" s="4">
        <v>0</v>
      </c>
      <c r="K407" s="4">
        <v>0</v>
      </c>
      <c r="L407" s="4">
        <v>37.210999999999999</v>
      </c>
      <c r="M407" s="4">
        <v>37.210999999999999</v>
      </c>
      <c r="N407" s="4">
        <v>37.210999999999999</v>
      </c>
      <c r="O407" s="4">
        <v>37.210999999999999</v>
      </c>
      <c r="P407" s="4">
        <v>42</v>
      </c>
      <c r="Q407" s="3" t="s">
        <v>26</v>
      </c>
      <c r="R407" s="3">
        <v>0</v>
      </c>
      <c r="S407" s="4">
        <v>0</v>
      </c>
      <c r="T407" s="4">
        <v>17</v>
      </c>
      <c r="U407" s="4">
        <v>48</v>
      </c>
      <c r="V407" s="4">
        <f>IF(ISERROR(VLOOKUP($S$407,'TAR FIN'!$A$1:$O$91,15,0)),0,VLOOKUP($S$407,'TAR FIN'!$A$1:$O$91,15,0))</f>
        <v>0</v>
      </c>
      <c r="W407" s="4">
        <f>IF(ISERROR(VLOOKUP($T$407,'TAR FIN'!$A$1:$O$91,15,0)),0,VLOOKUP($T$407,'TAR FIN'!$A$1:$O$91,15,0))</f>
        <v>147.12</v>
      </c>
      <c r="X407" s="4">
        <f>IF(ISERROR(VLOOKUP($U$407,'TAR FIN'!$A$1:$O$91,15,0)),0,VLOOKUP($U$407,'TAR FIN'!$A$1:$O$91,15,0))</f>
        <v>149.55000000000001</v>
      </c>
      <c r="Y407" s="4"/>
      <c r="Z407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7" s="4">
        <f>('TE BE'!$AB$15+'TE BF'!$AB$15+'TE CVA'!$AB$15)*(1-CUSTOS!$M$35)</f>
        <v>122.02964542161146</v>
      </c>
      <c r="AB407" s="4">
        <f>$K$407*$V$407</f>
        <v>0</v>
      </c>
      <c r="AC407" s="4">
        <f>$M$407*$W$407</f>
        <v>5474.4823200000001</v>
      </c>
      <c r="AD407" s="4">
        <f>$O$407*$X$407</f>
        <v>5564.9050500000003</v>
      </c>
      <c r="AE407" s="4">
        <f>$K$407*$Y$407</f>
        <v>0</v>
      </c>
      <c r="AF407" s="4">
        <f ca="1">$M$407*$Z$407</f>
        <v>6247.1868689251341</v>
      </c>
      <c r="AG407" s="4">
        <f>$O$407*$AA$407</f>
        <v>4540.8451357835838</v>
      </c>
    </row>
    <row r="408" spans="1:33" ht="11.25" customHeight="1" x14ac:dyDescent="0.25">
      <c r="A408" s="3" t="s">
        <v>21</v>
      </c>
      <c r="B408" s="3" t="s">
        <v>22</v>
      </c>
      <c r="C408" s="3" t="s">
        <v>23</v>
      </c>
      <c r="D408" s="3" t="s">
        <v>24</v>
      </c>
      <c r="E408" s="3" t="s">
        <v>30</v>
      </c>
      <c r="F408" s="3" t="s">
        <v>25</v>
      </c>
      <c r="G408" s="3" t="s">
        <v>25</v>
      </c>
      <c r="H408" s="3" t="s">
        <v>25</v>
      </c>
      <c r="I408" s="6">
        <v>44652</v>
      </c>
      <c r="J408" s="4">
        <v>0</v>
      </c>
      <c r="K408" s="4">
        <v>0</v>
      </c>
      <c r="L408" s="4">
        <v>36.758000000000003</v>
      </c>
      <c r="M408" s="4">
        <v>36.758000000000003</v>
      </c>
      <c r="N408" s="4">
        <v>36.758000000000003</v>
      </c>
      <c r="O408" s="4">
        <v>36.758000000000003</v>
      </c>
      <c r="P408" s="4">
        <v>65</v>
      </c>
      <c r="Q408" s="3" t="s">
        <v>26</v>
      </c>
      <c r="R408" s="3">
        <v>0</v>
      </c>
      <c r="S408" s="4">
        <v>0</v>
      </c>
      <c r="T408" s="4">
        <v>17</v>
      </c>
      <c r="U408" s="4">
        <v>48</v>
      </c>
      <c r="V408" s="4">
        <f>IF(ISERROR(VLOOKUP($S$408,'TAR FIN'!$A$1:$O$91,15,0)),0,VLOOKUP($S$408,'TAR FIN'!$A$1:$O$91,15,0))</f>
        <v>0</v>
      </c>
      <c r="W408" s="4">
        <f>IF(ISERROR(VLOOKUP($T$408,'TAR FIN'!$A$1:$O$91,15,0)),0,VLOOKUP($T$408,'TAR FIN'!$A$1:$O$91,15,0))</f>
        <v>147.12</v>
      </c>
      <c r="X408" s="4">
        <f>IF(ISERROR(VLOOKUP($U$408,'TAR FIN'!$A$1:$O$91,15,0)),0,VLOOKUP($U$408,'TAR FIN'!$A$1:$O$91,15,0))</f>
        <v>149.55000000000001</v>
      </c>
      <c r="Y408" s="4"/>
      <c r="Z408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8" s="4">
        <f>('TE BE'!$AB$15+'TE BF'!$AB$15+'TE CVA'!$AB$15)*(1-CUSTOS!$M$35)</f>
        <v>122.02964542161146</v>
      </c>
      <c r="AB408" s="4">
        <f>$K$408*$V$408</f>
        <v>0</v>
      </c>
      <c r="AC408" s="4">
        <f>$M$408*$W$408</f>
        <v>5407.8369600000005</v>
      </c>
      <c r="AD408" s="4">
        <f>$O$408*$X$408</f>
        <v>5497.1589000000013</v>
      </c>
      <c r="AE408" s="4">
        <f>$K$408*$Y$408</f>
        <v>0</v>
      </c>
      <c r="AF408" s="4">
        <f ca="1">$M$408*$Z$408</f>
        <v>6171.1347431660024</v>
      </c>
      <c r="AG408" s="4">
        <f>$O$408*$AA$408</f>
        <v>4485.5657064075949</v>
      </c>
    </row>
    <row r="409" spans="1:33" ht="11.25" customHeight="1" x14ac:dyDescent="0.25">
      <c r="A409" s="3" t="s">
        <v>21</v>
      </c>
      <c r="B409" s="3" t="s">
        <v>22</v>
      </c>
      <c r="C409" s="3" t="s">
        <v>23</v>
      </c>
      <c r="D409" s="3" t="s">
        <v>24</v>
      </c>
      <c r="E409" s="3" t="s">
        <v>30</v>
      </c>
      <c r="F409" s="3" t="s">
        <v>25</v>
      </c>
      <c r="G409" s="3" t="s">
        <v>25</v>
      </c>
      <c r="H409" s="3" t="s">
        <v>25</v>
      </c>
      <c r="I409" s="6">
        <v>44682</v>
      </c>
      <c r="J409" s="4">
        <v>0</v>
      </c>
      <c r="K409" s="4">
        <v>0</v>
      </c>
      <c r="L409" s="4">
        <v>36.078000000000003</v>
      </c>
      <c r="M409" s="4">
        <v>36.078000000000003</v>
      </c>
      <c r="N409" s="4">
        <v>36.078000000000003</v>
      </c>
      <c r="O409" s="4">
        <v>36.078000000000003</v>
      </c>
      <c r="P409" s="4">
        <v>88</v>
      </c>
      <c r="Q409" s="3" t="s">
        <v>26</v>
      </c>
      <c r="R409" s="3">
        <v>0</v>
      </c>
      <c r="S409" s="4">
        <v>0</v>
      </c>
      <c r="T409" s="4">
        <v>17</v>
      </c>
      <c r="U409" s="4">
        <v>48</v>
      </c>
      <c r="V409" s="4">
        <f>IF(ISERROR(VLOOKUP($S$409,'TAR FIN'!$A$1:$O$91,15,0)),0,VLOOKUP($S$409,'TAR FIN'!$A$1:$O$91,15,0))</f>
        <v>0</v>
      </c>
      <c r="W409" s="4">
        <f>IF(ISERROR(VLOOKUP($T$409,'TAR FIN'!$A$1:$O$91,15,0)),0,VLOOKUP($T$409,'TAR FIN'!$A$1:$O$91,15,0))</f>
        <v>147.12</v>
      </c>
      <c r="X409" s="4">
        <f>IF(ISERROR(VLOOKUP($U$409,'TAR FIN'!$A$1:$O$91,15,0)),0,VLOOKUP($U$409,'TAR FIN'!$A$1:$O$91,15,0))</f>
        <v>149.55000000000001</v>
      </c>
      <c r="Y409" s="4"/>
      <c r="Z409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09" s="4">
        <f>('TE BE'!$AB$15+'TE BF'!$AB$15+'TE CVA'!$AB$15)*(1-CUSTOS!$M$35)</f>
        <v>122.02964542161146</v>
      </c>
      <c r="AB409" s="4">
        <f>$K$409*$V$409</f>
        <v>0</v>
      </c>
      <c r="AC409" s="4">
        <f>$M$409*$W$409</f>
        <v>5307.795360000001</v>
      </c>
      <c r="AD409" s="4">
        <f>$O$409*$X$409</f>
        <v>5395.4649000000009</v>
      </c>
      <c r="AE409" s="4">
        <f>$K$409*$Y$409</f>
        <v>0</v>
      </c>
      <c r="AF409" s="4">
        <f ca="1">$M$409*$Z$409</f>
        <v>6056.9726117836399</v>
      </c>
      <c r="AG409" s="4">
        <f>$O$409*$AA$409</f>
        <v>4402.5855475208991</v>
      </c>
    </row>
    <row r="410" spans="1:33" ht="11.25" customHeight="1" x14ac:dyDescent="0.25">
      <c r="A410" s="3" t="s">
        <v>28</v>
      </c>
      <c r="B410" s="3" t="s">
        <v>22</v>
      </c>
      <c r="C410" s="3" t="s">
        <v>23</v>
      </c>
      <c r="D410" s="3" t="s">
        <v>24</v>
      </c>
      <c r="E410" s="3" t="s">
        <v>30</v>
      </c>
      <c r="F410" s="3" t="s">
        <v>25</v>
      </c>
      <c r="G410" s="3" t="s">
        <v>25</v>
      </c>
      <c r="H410" s="3" t="s">
        <v>25</v>
      </c>
      <c r="I410" s="6">
        <v>44682</v>
      </c>
      <c r="J410" s="4">
        <v>0</v>
      </c>
      <c r="K410" s="4">
        <v>0</v>
      </c>
      <c r="L410" s="4">
        <v>7.0000000000000007E-2</v>
      </c>
      <c r="M410" s="4">
        <v>4.2000000000000003E-2</v>
      </c>
      <c r="N410" s="4">
        <v>7.0000000000000007E-2</v>
      </c>
      <c r="O410" s="4">
        <v>4.2000000000000003E-2</v>
      </c>
      <c r="P410" s="4">
        <v>0</v>
      </c>
      <c r="Q410" s="3" t="s">
        <v>26</v>
      </c>
      <c r="R410" s="3">
        <v>0</v>
      </c>
      <c r="S410" s="4">
        <v>0</v>
      </c>
      <c r="T410" s="4">
        <v>17</v>
      </c>
      <c r="U410" s="4">
        <v>48</v>
      </c>
      <c r="V410" s="4">
        <f>IF(ISERROR(VLOOKUP($S$410,'TAR FIN'!$A$1:$O$91,15,0)),0,VLOOKUP($S$410,'TAR FIN'!$A$1:$O$91,15,0))</f>
        <v>0</v>
      </c>
      <c r="W410" s="4">
        <f>IF(ISERROR(VLOOKUP($T$410,'TAR FIN'!$A$1:$O$91,15,0)),0,VLOOKUP($T$410,'TAR FIN'!$A$1:$O$91,15,0))</f>
        <v>147.12</v>
      </c>
      <c r="X410" s="4">
        <f>IF(ISERROR(VLOOKUP($U$410,'TAR FIN'!$A$1:$O$91,15,0)),0,VLOOKUP($U$410,'TAR FIN'!$A$1:$O$91,15,0))</f>
        <v>149.55000000000001</v>
      </c>
      <c r="Y410" s="4"/>
      <c r="Z410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10" s="4">
        <f>('TE BE'!$AB$15+'TE BF'!$AB$15+'TE CVA'!$AB$15)*(1-CUSTOS!$M$35)</f>
        <v>122.02964542161146</v>
      </c>
      <c r="AB410" s="4">
        <f>$K$410*$V$410</f>
        <v>0</v>
      </c>
      <c r="AC410" s="4">
        <f>$M$410*$W$410</f>
        <v>6.1790400000000005</v>
      </c>
      <c r="AD410" s="4">
        <f>$O$410*$X$410</f>
        <v>6.2811000000000012</v>
      </c>
      <c r="AE410" s="4">
        <f>$K$410*$Y$410</f>
        <v>0</v>
      </c>
      <c r="AF410" s="4">
        <f ca="1">$M$410*$Z$410</f>
        <v>7.0511904677341555</v>
      </c>
      <c r="AG410" s="4">
        <f>$O$410*$AA$410</f>
        <v>5.1252451077076815</v>
      </c>
    </row>
    <row r="411" spans="1:33" ht="11.25" customHeight="1" x14ac:dyDescent="0.25">
      <c r="A411" s="3" t="s">
        <v>21</v>
      </c>
      <c r="B411" s="3" t="s">
        <v>22</v>
      </c>
      <c r="C411" s="3" t="s">
        <v>23</v>
      </c>
      <c r="D411" s="3" t="s">
        <v>24</v>
      </c>
      <c r="E411" s="3" t="s">
        <v>30</v>
      </c>
      <c r="F411" s="3" t="s">
        <v>25</v>
      </c>
      <c r="G411" s="3" t="s">
        <v>25</v>
      </c>
      <c r="H411" s="3" t="s">
        <v>25</v>
      </c>
      <c r="I411" s="6">
        <v>44713</v>
      </c>
      <c r="J411" s="4">
        <v>0</v>
      </c>
      <c r="K411" s="4">
        <v>0</v>
      </c>
      <c r="L411" s="4">
        <v>32.643999999999998</v>
      </c>
      <c r="M411" s="4">
        <v>32.643999999999998</v>
      </c>
      <c r="N411" s="4">
        <v>32.643999999999998</v>
      </c>
      <c r="O411" s="4">
        <v>32.643999999999998</v>
      </c>
      <c r="P411" s="4">
        <v>62</v>
      </c>
      <c r="Q411" s="3" t="s">
        <v>26</v>
      </c>
      <c r="R411" s="3">
        <v>0</v>
      </c>
      <c r="S411" s="4">
        <v>0</v>
      </c>
      <c r="T411" s="4">
        <v>17</v>
      </c>
      <c r="U411" s="4">
        <v>48</v>
      </c>
      <c r="V411" s="4">
        <f>IF(ISERROR(VLOOKUP($S$411,'TAR FIN'!$A$1:$O$91,15,0)),0,VLOOKUP($S$411,'TAR FIN'!$A$1:$O$91,15,0))</f>
        <v>0</v>
      </c>
      <c r="W411" s="4">
        <f>IF(ISERROR(VLOOKUP($T$411,'TAR FIN'!$A$1:$O$91,15,0)),0,VLOOKUP($T$411,'TAR FIN'!$A$1:$O$91,15,0))</f>
        <v>147.12</v>
      </c>
      <c r="X411" s="4">
        <f>IF(ISERROR(VLOOKUP($U$411,'TAR FIN'!$A$1:$O$91,15,0)),0,VLOOKUP($U$411,'TAR FIN'!$A$1:$O$91,15,0))</f>
        <v>149.55000000000001</v>
      </c>
      <c r="Y411" s="4"/>
      <c r="Z411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11" s="4">
        <f>('TE BE'!$AB$15+'TE BF'!$AB$15+'TE CVA'!$AB$15)*(1-CUSTOS!$M$35)</f>
        <v>122.02964542161146</v>
      </c>
      <c r="AB411" s="4">
        <f>$K$411*$V$411</f>
        <v>0</v>
      </c>
      <c r="AC411" s="4">
        <f>$M$411*$W$411</f>
        <v>4802.5852800000002</v>
      </c>
      <c r="AD411" s="4">
        <f>$O$411*$X$411</f>
        <v>4881.9102000000003</v>
      </c>
      <c r="AE411" s="4">
        <f>$K$411*$Y$411</f>
        <v>0</v>
      </c>
      <c r="AF411" s="4">
        <f ca="1">$M$411*$Z$411</f>
        <v>5480.4538483027081</v>
      </c>
      <c r="AG411" s="4">
        <f>$O$411*$AA$411</f>
        <v>3983.5357451430846</v>
      </c>
    </row>
    <row r="412" spans="1:33" ht="11.25" customHeight="1" x14ac:dyDescent="0.25">
      <c r="A412" s="3" t="s">
        <v>21</v>
      </c>
      <c r="B412" s="3" t="s">
        <v>22</v>
      </c>
      <c r="C412" s="3" t="s">
        <v>23</v>
      </c>
      <c r="D412" s="3" t="s">
        <v>24</v>
      </c>
      <c r="E412" s="3" t="s">
        <v>30</v>
      </c>
      <c r="F412" s="3" t="s">
        <v>25</v>
      </c>
      <c r="G412" s="3" t="s">
        <v>25</v>
      </c>
      <c r="H412" s="3" t="s">
        <v>25</v>
      </c>
      <c r="I412" s="6">
        <v>44743</v>
      </c>
      <c r="J412" s="4">
        <v>0</v>
      </c>
      <c r="K412" s="4">
        <v>0</v>
      </c>
      <c r="L412" s="4">
        <v>32.027999999999999</v>
      </c>
      <c r="M412" s="4">
        <v>32.027999999999999</v>
      </c>
      <c r="N412" s="4">
        <v>32.027999999999999</v>
      </c>
      <c r="O412" s="4">
        <v>32.027999999999999</v>
      </c>
      <c r="P412" s="4">
        <v>66</v>
      </c>
      <c r="Q412" s="3" t="s">
        <v>26</v>
      </c>
      <c r="R412" s="3">
        <v>0</v>
      </c>
      <c r="S412" s="4">
        <v>0</v>
      </c>
      <c r="T412" s="4">
        <v>17</v>
      </c>
      <c r="U412" s="4">
        <v>48</v>
      </c>
      <c r="V412" s="4">
        <f>IF(ISERROR(VLOOKUP($S$412,'TAR FIN'!$A$1:$O$91,15,0)),0,VLOOKUP($S$412,'TAR FIN'!$A$1:$O$91,15,0))</f>
        <v>0</v>
      </c>
      <c r="W412" s="4">
        <f>IF(ISERROR(VLOOKUP($T$412,'TAR FIN'!$A$1:$O$91,15,0)),0,VLOOKUP($T$412,'TAR FIN'!$A$1:$O$91,15,0))</f>
        <v>147.12</v>
      </c>
      <c r="X412" s="4">
        <f>IF(ISERROR(VLOOKUP($U$412,'TAR FIN'!$A$1:$O$91,15,0)),0,VLOOKUP($U$412,'TAR FIN'!$A$1:$O$91,15,0))</f>
        <v>149.55000000000001</v>
      </c>
      <c r="Y412" s="4"/>
      <c r="Z412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12" s="4">
        <f>('TE BE'!$AB$15+'TE BF'!$AB$15+'TE CVA'!$AB$15)*(1-CUSTOS!$M$35)</f>
        <v>122.02964542161146</v>
      </c>
      <c r="AB412" s="4">
        <f>$K$412*$V$412</f>
        <v>0</v>
      </c>
      <c r="AC412" s="4">
        <f>$M$412*$W$412</f>
        <v>4711.9593599999998</v>
      </c>
      <c r="AD412" s="4">
        <f>$O$412*$X$412</f>
        <v>4789.7874000000002</v>
      </c>
      <c r="AE412" s="4">
        <f>$K$412*$Y$412</f>
        <v>0</v>
      </c>
      <c r="AF412" s="4">
        <f ca="1">$M$412*$Z$412</f>
        <v>5377.0363881092735</v>
      </c>
      <c r="AG412" s="4">
        <f>$O$412*$AA$412</f>
        <v>3908.365483563372</v>
      </c>
    </row>
    <row r="413" spans="1:33" ht="11.25" customHeight="1" x14ac:dyDescent="0.25">
      <c r="A413" s="3" t="s">
        <v>21</v>
      </c>
      <c r="B413" s="3" t="s">
        <v>22</v>
      </c>
      <c r="C413" s="3" t="s">
        <v>23</v>
      </c>
      <c r="D413" s="3" t="s">
        <v>24</v>
      </c>
      <c r="E413" s="3" t="s">
        <v>30</v>
      </c>
      <c r="F413" s="3" t="s">
        <v>25</v>
      </c>
      <c r="G413" s="3" t="s">
        <v>25</v>
      </c>
      <c r="H413" s="3" t="s">
        <v>25</v>
      </c>
      <c r="I413" s="6">
        <v>44774</v>
      </c>
      <c r="J413" s="4">
        <v>0</v>
      </c>
      <c r="K413" s="4">
        <v>0</v>
      </c>
      <c r="L413" s="4">
        <v>36.630000000000003</v>
      </c>
      <c r="M413" s="4">
        <v>36.630000000000003</v>
      </c>
      <c r="N413" s="4">
        <v>36.630000000000003</v>
      </c>
      <c r="O413" s="4">
        <v>36.630000000000003</v>
      </c>
      <c r="P413" s="4">
        <v>60</v>
      </c>
      <c r="Q413" s="3" t="s">
        <v>26</v>
      </c>
      <c r="R413" s="3">
        <v>0</v>
      </c>
      <c r="S413" s="4">
        <v>0</v>
      </c>
      <c r="T413" s="4">
        <v>17</v>
      </c>
      <c r="U413" s="4">
        <v>48</v>
      </c>
      <c r="V413" s="4">
        <f>IF(ISERROR(VLOOKUP($S$413,'TAR FIN'!$A$1:$O$91,15,0)),0,VLOOKUP($S$413,'TAR FIN'!$A$1:$O$91,15,0))</f>
        <v>0</v>
      </c>
      <c r="W413" s="4">
        <f>IF(ISERROR(VLOOKUP($T$413,'TAR FIN'!$A$1:$O$91,15,0)),0,VLOOKUP($T$413,'TAR FIN'!$A$1:$O$91,15,0))</f>
        <v>147.12</v>
      </c>
      <c r="X413" s="4">
        <f>IF(ISERROR(VLOOKUP($U$413,'TAR FIN'!$A$1:$O$91,15,0)),0,VLOOKUP($U$413,'TAR FIN'!$A$1:$O$91,15,0))</f>
        <v>149.55000000000001</v>
      </c>
      <c r="Y413" s="4"/>
      <c r="Z413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413" s="4">
        <f>('TE BE'!$AB$15+'TE BF'!$AB$15+'TE CVA'!$AB$15)*(1-CUSTOS!$M$35)</f>
        <v>122.02964542161146</v>
      </c>
      <c r="AB413" s="4">
        <f>$K$413*$V$413</f>
        <v>0</v>
      </c>
      <c r="AC413" s="4">
        <f>$M$413*$W$413</f>
        <v>5389.0056000000004</v>
      </c>
      <c r="AD413" s="4">
        <f>$O$413*$X$413</f>
        <v>5478.0165000000006</v>
      </c>
      <c r="AE413" s="4">
        <f>$K$413*$Y$413</f>
        <v>0</v>
      </c>
      <c r="AF413" s="4">
        <f ca="1">$M$413*$Z$413</f>
        <v>6149.6454007881457</v>
      </c>
      <c r="AG413" s="4">
        <f>$O$413*$AA$413</f>
        <v>4469.9459117936285</v>
      </c>
    </row>
    <row r="414" spans="1:33" ht="11.25" customHeight="1" x14ac:dyDescent="0.25">
      <c r="A414" s="3" t="s">
        <v>21</v>
      </c>
      <c r="B414" s="3" t="s">
        <v>22</v>
      </c>
      <c r="C414" s="3" t="s">
        <v>23</v>
      </c>
      <c r="D414" s="3" t="s">
        <v>24</v>
      </c>
      <c r="E414" s="3" t="s">
        <v>31</v>
      </c>
      <c r="F414" s="3" t="s">
        <v>25</v>
      </c>
      <c r="G414" s="3" t="s">
        <v>25</v>
      </c>
      <c r="H414" s="3" t="s">
        <v>25</v>
      </c>
      <c r="I414" s="6">
        <v>44440</v>
      </c>
      <c r="J414" s="4">
        <v>0</v>
      </c>
      <c r="K414" s="4">
        <v>0</v>
      </c>
      <c r="L414" s="4">
        <v>30.728999999999999</v>
      </c>
      <c r="M414" s="4">
        <v>30.728999999999999</v>
      </c>
      <c r="N414" s="4">
        <v>30.728999999999999</v>
      </c>
      <c r="O414" s="4">
        <v>30.728999999999999</v>
      </c>
      <c r="P414" s="4">
        <v>178</v>
      </c>
      <c r="Q414" s="3" t="s">
        <v>26</v>
      </c>
      <c r="R414" s="3">
        <v>0</v>
      </c>
      <c r="S414" s="4">
        <v>0</v>
      </c>
      <c r="T414" s="4">
        <v>18</v>
      </c>
      <c r="U414" s="4">
        <v>55</v>
      </c>
      <c r="V414" s="4">
        <f>IF(ISERROR(VLOOKUP($S$414,'TAR FIN'!$A$1:$O$91,15,0)),0,VLOOKUP($S$414,'TAR FIN'!$A$1:$O$91,15,0))</f>
        <v>0</v>
      </c>
      <c r="W414" s="4">
        <f>IF(ISERROR(VLOOKUP($T$414,'TAR FIN'!$A$1:$O$91,15,0)),0,VLOOKUP($T$414,'TAR FIN'!$A$1:$O$91,15,0))</f>
        <v>220.68</v>
      </c>
      <c r="X414" s="4">
        <f>IF(ISERROR(VLOOKUP($U$414,'TAR FIN'!$A$1:$O$91,15,0)),0,VLOOKUP($U$414,'TAR FIN'!$A$1:$O$91,15,0))</f>
        <v>224.33</v>
      </c>
      <c r="Y414" s="4"/>
      <c r="Z414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4" s="4">
        <f>('TE BE'!$AB$16+'TE BF'!$AB$16+'TE CVA'!$AB$16)*(1-CUSTOS!$M$36)</f>
        <v>183.04446813241722</v>
      </c>
      <c r="AB414" s="4">
        <f>$K$414*$V$414</f>
        <v>0</v>
      </c>
      <c r="AC414" s="4">
        <f>$M$414*$W$414</f>
        <v>6781.2757199999996</v>
      </c>
      <c r="AD414" s="4">
        <f>$O$414*$X$414</f>
        <v>6893.4365699999998</v>
      </c>
      <c r="AE414" s="4">
        <f>$K$414*$Y$414</f>
        <v>0</v>
      </c>
      <c r="AF414" s="4">
        <f ca="1">$M$414*$Z$414</f>
        <v>7738.4297101072452</v>
      </c>
      <c r="AG414" s="4">
        <f>$O$414*$AA$414</f>
        <v>5624.7734612410486</v>
      </c>
    </row>
    <row r="415" spans="1:33" ht="11.25" customHeight="1" x14ac:dyDescent="0.25">
      <c r="A415" s="3" t="s">
        <v>21</v>
      </c>
      <c r="B415" s="3" t="s">
        <v>22</v>
      </c>
      <c r="C415" s="3" t="s">
        <v>23</v>
      </c>
      <c r="D415" s="3" t="s">
        <v>24</v>
      </c>
      <c r="E415" s="3" t="s">
        <v>31</v>
      </c>
      <c r="F415" s="3" t="s">
        <v>25</v>
      </c>
      <c r="G415" s="3" t="s">
        <v>25</v>
      </c>
      <c r="H415" s="3" t="s">
        <v>25</v>
      </c>
      <c r="I415" s="6">
        <v>44470</v>
      </c>
      <c r="J415" s="4">
        <v>0</v>
      </c>
      <c r="K415" s="4">
        <v>0</v>
      </c>
      <c r="L415" s="4">
        <v>31.2</v>
      </c>
      <c r="M415" s="4">
        <v>31.2</v>
      </c>
      <c r="N415" s="4">
        <v>31.2</v>
      </c>
      <c r="O415" s="4">
        <v>31.2</v>
      </c>
      <c r="P415" s="4">
        <v>172</v>
      </c>
      <c r="Q415" s="3" t="s">
        <v>26</v>
      </c>
      <c r="R415" s="3">
        <v>0</v>
      </c>
      <c r="S415" s="4">
        <v>0</v>
      </c>
      <c r="T415" s="4">
        <v>18</v>
      </c>
      <c r="U415" s="4">
        <v>55</v>
      </c>
      <c r="V415" s="4">
        <f>IF(ISERROR(VLOOKUP($S$415,'TAR FIN'!$A$1:$O$91,15,0)),0,VLOOKUP($S$415,'TAR FIN'!$A$1:$O$91,15,0))</f>
        <v>0</v>
      </c>
      <c r="W415" s="4">
        <f>IF(ISERROR(VLOOKUP($T$415,'TAR FIN'!$A$1:$O$91,15,0)),0,VLOOKUP($T$415,'TAR FIN'!$A$1:$O$91,15,0))</f>
        <v>220.68</v>
      </c>
      <c r="X415" s="4">
        <f>IF(ISERROR(VLOOKUP($U$415,'TAR FIN'!$A$1:$O$91,15,0)),0,VLOOKUP($U$415,'TAR FIN'!$A$1:$O$91,15,0))</f>
        <v>224.33</v>
      </c>
      <c r="Y415" s="4"/>
      <c r="Z415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5" s="4">
        <f>('TE BE'!$AB$16+'TE BF'!$AB$16+'TE CVA'!$AB$16)*(1-CUSTOS!$M$36)</f>
        <v>183.04446813241722</v>
      </c>
      <c r="AB415" s="4">
        <f>$K$415*$V$415</f>
        <v>0</v>
      </c>
      <c r="AC415" s="4">
        <f>$M$415*$W$415</f>
        <v>6885.2160000000003</v>
      </c>
      <c r="AD415" s="4">
        <f>$O$415*$X$415</f>
        <v>6999.0960000000005</v>
      </c>
      <c r="AE415" s="4">
        <f>$K$415*$Y$415</f>
        <v>0</v>
      </c>
      <c r="AF415" s="4">
        <f ca="1">$M$415*$Z$415</f>
        <v>7857.040806903774</v>
      </c>
      <c r="AG415" s="4">
        <f>$O$415*$AA$415</f>
        <v>5710.9874057314173</v>
      </c>
    </row>
    <row r="416" spans="1:33" ht="11.25" customHeight="1" x14ac:dyDescent="0.25">
      <c r="A416" s="3" t="s">
        <v>21</v>
      </c>
      <c r="B416" s="3" t="s">
        <v>22</v>
      </c>
      <c r="C416" s="3" t="s">
        <v>23</v>
      </c>
      <c r="D416" s="3" t="s">
        <v>24</v>
      </c>
      <c r="E416" s="3" t="s">
        <v>31</v>
      </c>
      <c r="F416" s="3" t="s">
        <v>25</v>
      </c>
      <c r="G416" s="3" t="s">
        <v>25</v>
      </c>
      <c r="H416" s="3" t="s">
        <v>25</v>
      </c>
      <c r="I416" s="6">
        <v>44501</v>
      </c>
      <c r="J416" s="4">
        <v>0</v>
      </c>
      <c r="K416" s="4">
        <v>0</v>
      </c>
      <c r="L416" s="4">
        <v>32.558</v>
      </c>
      <c r="M416" s="4">
        <v>32.558</v>
      </c>
      <c r="N416" s="4">
        <v>32.558</v>
      </c>
      <c r="O416" s="4">
        <v>32.558</v>
      </c>
      <c r="P416" s="4">
        <v>175</v>
      </c>
      <c r="Q416" s="3" t="s">
        <v>26</v>
      </c>
      <c r="R416" s="3">
        <v>0</v>
      </c>
      <c r="S416" s="4">
        <v>0</v>
      </c>
      <c r="T416" s="4">
        <v>18</v>
      </c>
      <c r="U416" s="4">
        <v>55</v>
      </c>
      <c r="V416" s="4">
        <f>IF(ISERROR(VLOOKUP($S$416,'TAR FIN'!$A$1:$O$91,15,0)),0,VLOOKUP($S$416,'TAR FIN'!$A$1:$O$91,15,0))</f>
        <v>0</v>
      </c>
      <c r="W416" s="4">
        <f>IF(ISERROR(VLOOKUP($T$416,'TAR FIN'!$A$1:$O$91,15,0)),0,VLOOKUP($T$416,'TAR FIN'!$A$1:$O$91,15,0))</f>
        <v>220.68</v>
      </c>
      <c r="X416" s="4">
        <f>IF(ISERROR(VLOOKUP($U$416,'TAR FIN'!$A$1:$O$91,15,0)),0,VLOOKUP($U$416,'TAR FIN'!$A$1:$O$91,15,0))</f>
        <v>224.33</v>
      </c>
      <c r="Y416" s="4"/>
      <c r="Z416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6" s="4">
        <f>('TE BE'!$AB$16+'TE BF'!$AB$16+'TE CVA'!$AB$16)*(1-CUSTOS!$M$36)</f>
        <v>183.04446813241722</v>
      </c>
      <c r="AB416" s="4">
        <f>$K$416*$V$416</f>
        <v>0</v>
      </c>
      <c r="AC416" s="4">
        <f>$M$416*$W$416</f>
        <v>7184.8994400000001</v>
      </c>
      <c r="AD416" s="4">
        <f>$O$416*$X$416</f>
        <v>7303.73614</v>
      </c>
      <c r="AE416" s="4">
        <f>$K$416*$Y$416</f>
        <v>0</v>
      </c>
      <c r="AF416" s="4">
        <f ca="1">$M$416*$Z$416</f>
        <v>8199.0235445888811</v>
      </c>
      <c r="AG416" s="4">
        <f>$O$416*$AA$416</f>
        <v>5959.5617934552401</v>
      </c>
    </row>
    <row r="417" spans="1:33" ht="11.25" customHeight="1" x14ac:dyDescent="0.25">
      <c r="A417" s="3" t="s">
        <v>21</v>
      </c>
      <c r="B417" s="3" t="s">
        <v>22</v>
      </c>
      <c r="C417" s="3" t="s">
        <v>23</v>
      </c>
      <c r="D417" s="3" t="s">
        <v>24</v>
      </c>
      <c r="E417" s="3" t="s">
        <v>31</v>
      </c>
      <c r="F417" s="3" t="s">
        <v>25</v>
      </c>
      <c r="G417" s="3" t="s">
        <v>25</v>
      </c>
      <c r="H417" s="3" t="s">
        <v>25</v>
      </c>
      <c r="I417" s="6">
        <v>44531</v>
      </c>
      <c r="J417" s="4">
        <v>0</v>
      </c>
      <c r="K417" s="4">
        <v>0</v>
      </c>
      <c r="L417" s="4">
        <v>33.174999999999997</v>
      </c>
      <c r="M417" s="4">
        <v>33.174999999999997</v>
      </c>
      <c r="N417" s="4">
        <v>33.174999999999997</v>
      </c>
      <c r="O417" s="4">
        <v>33.174999999999997</v>
      </c>
      <c r="P417" s="4">
        <v>170</v>
      </c>
      <c r="Q417" s="3" t="s">
        <v>26</v>
      </c>
      <c r="R417" s="3">
        <v>0</v>
      </c>
      <c r="S417" s="4">
        <v>0</v>
      </c>
      <c r="T417" s="4">
        <v>18</v>
      </c>
      <c r="U417" s="4">
        <v>55</v>
      </c>
      <c r="V417" s="4">
        <f>IF(ISERROR(VLOOKUP($S$417,'TAR FIN'!$A$1:$O$91,15,0)),0,VLOOKUP($S$417,'TAR FIN'!$A$1:$O$91,15,0))</f>
        <v>0</v>
      </c>
      <c r="W417" s="4">
        <f>IF(ISERROR(VLOOKUP($T$417,'TAR FIN'!$A$1:$O$91,15,0)),0,VLOOKUP($T$417,'TAR FIN'!$A$1:$O$91,15,0))</f>
        <v>220.68</v>
      </c>
      <c r="X417" s="4">
        <f>IF(ISERROR(VLOOKUP($U$417,'TAR FIN'!$A$1:$O$91,15,0)),0,VLOOKUP($U$417,'TAR FIN'!$A$1:$O$91,15,0))</f>
        <v>224.33</v>
      </c>
      <c r="Y417" s="4"/>
      <c r="Z417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7" s="4">
        <f>('TE BE'!$AB$16+'TE BF'!$AB$16+'TE CVA'!$AB$16)*(1-CUSTOS!$M$36)</f>
        <v>183.04446813241722</v>
      </c>
      <c r="AB417" s="4">
        <f>$K$417*$V$417</f>
        <v>0</v>
      </c>
      <c r="AC417" s="4">
        <f>$M$417*$W$417</f>
        <v>7321.0589999999993</v>
      </c>
      <c r="AD417" s="4">
        <f>$O$417*$X$417</f>
        <v>7442.1477500000001</v>
      </c>
      <c r="AE417" s="4">
        <f>$K$417*$Y$417</f>
        <v>0</v>
      </c>
      <c r="AF417" s="4">
        <f ca="1">$M$417*$Z$417</f>
        <v>8354.401563110021</v>
      </c>
      <c r="AG417" s="4">
        <f>$O$417*$AA$417</f>
        <v>6072.5002302929406</v>
      </c>
    </row>
    <row r="418" spans="1:33" ht="11.25" customHeight="1" x14ac:dyDescent="0.25">
      <c r="A418" s="3" t="s">
        <v>21</v>
      </c>
      <c r="B418" s="3" t="s">
        <v>22</v>
      </c>
      <c r="C418" s="3" t="s">
        <v>23</v>
      </c>
      <c r="D418" s="3" t="s">
        <v>24</v>
      </c>
      <c r="E418" s="3" t="s">
        <v>31</v>
      </c>
      <c r="F418" s="3" t="s">
        <v>25</v>
      </c>
      <c r="G418" s="3" t="s">
        <v>25</v>
      </c>
      <c r="H418" s="3" t="s">
        <v>25</v>
      </c>
      <c r="I418" s="6">
        <v>44562</v>
      </c>
      <c r="J418" s="4">
        <v>0</v>
      </c>
      <c r="K418" s="4">
        <v>0</v>
      </c>
      <c r="L418" s="4">
        <v>40.127000000000002</v>
      </c>
      <c r="M418" s="4">
        <v>40.127000000000002</v>
      </c>
      <c r="N418" s="4">
        <v>40.127000000000002</v>
      </c>
      <c r="O418" s="4">
        <v>40.127000000000002</v>
      </c>
      <c r="P418" s="4">
        <v>154</v>
      </c>
      <c r="Q418" s="3" t="s">
        <v>26</v>
      </c>
      <c r="R418" s="3">
        <v>0</v>
      </c>
      <c r="S418" s="4">
        <v>0</v>
      </c>
      <c r="T418" s="4">
        <v>18</v>
      </c>
      <c r="U418" s="4">
        <v>55</v>
      </c>
      <c r="V418" s="4">
        <f>IF(ISERROR(VLOOKUP($S$418,'TAR FIN'!$A$1:$O$91,15,0)),0,VLOOKUP($S$418,'TAR FIN'!$A$1:$O$91,15,0))</f>
        <v>0</v>
      </c>
      <c r="W418" s="4">
        <f>IF(ISERROR(VLOOKUP($T$418,'TAR FIN'!$A$1:$O$91,15,0)),0,VLOOKUP($T$418,'TAR FIN'!$A$1:$O$91,15,0))</f>
        <v>220.68</v>
      </c>
      <c r="X418" s="4">
        <f>IF(ISERROR(VLOOKUP($U$418,'TAR FIN'!$A$1:$O$91,15,0)),0,VLOOKUP($U$418,'TAR FIN'!$A$1:$O$91,15,0))</f>
        <v>224.33</v>
      </c>
      <c r="Y418" s="4"/>
      <c r="Z418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8" s="4">
        <f>('TE BE'!$AB$16+'TE BF'!$AB$16+'TE CVA'!$AB$16)*(1-CUSTOS!$M$36)</f>
        <v>183.04446813241722</v>
      </c>
      <c r="AB418" s="4">
        <f>$K$418*$V$418</f>
        <v>0</v>
      </c>
      <c r="AC418" s="4">
        <f>$M$418*$W$418</f>
        <v>8855.2263600000006</v>
      </c>
      <c r="AD418" s="4">
        <f>$O$418*$X$418</f>
        <v>9001.689910000001</v>
      </c>
      <c r="AE418" s="4">
        <f>$K$418*$Y$418</f>
        <v>0</v>
      </c>
      <c r="AF418" s="4">
        <f ca="1">$M$418*$Z$418</f>
        <v>10105.111424956018</v>
      </c>
      <c r="AG418" s="4">
        <f>$O$418*$AA$418</f>
        <v>7345.0253727495065</v>
      </c>
    </row>
    <row r="419" spans="1:33" ht="11.25" customHeight="1" x14ac:dyDescent="0.25">
      <c r="A419" s="3" t="s">
        <v>21</v>
      </c>
      <c r="B419" s="3" t="s">
        <v>22</v>
      </c>
      <c r="C419" s="3" t="s">
        <v>23</v>
      </c>
      <c r="D419" s="3" t="s">
        <v>24</v>
      </c>
      <c r="E419" s="3" t="s">
        <v>31</v>
      </c>
      <c r="F419" s="3" t="s">
        <v>25</v>
      </c>
      <c r="G419" s="3" t="s">
        <v>25</v>
      </c>
      <c r="H419" s="3" t="s">
        <v>25</v>
      </c>
      <c r="I419" s="6">
        <v>44593</v>
      </c>
      <c r="J419" s="4">
        <v>0</v>
      </c>
      <c r="K419" s="4">
        <v>0</v>
      </c>
      <c r="L419" s="4">
        <v>48.387</v>
      </c>
      <c r="M419" s="4">
        <v>48.387</v>
      </c>
      <c r="N419" s="4">
        <v>48.387</v>
      </c>
      <c r="O419" s="4">
        <v>48.387</v>
      </c>
      <c r="P419" s="4">
        <v>172</v>
      </c>
      <c r="Q419" s="3" t="s">
        <v>26</v>
      </c>
      <c r="R419" s="3">
        <v>0</v>
      </c>
      <c r="S419" s="4">
        <v>0</v>
      </c>
      <c r="T419" s="4">
        <v>18</v>
      </c>
      <c r="U419" s="4">
        <v>55</v>
      </c>
      <c r="V419" s="4">
        <f>IF(ISERROR(VLOOKUP($S$419,'TAR FIN'!$A$1:$O$91,15,0)),0,VLOOKUP($S$419,'TAR FIN'!$A$1:$O$91,15,0))</f>
        <v>0</v>
      </c>
      <c r="W419" s="4">
        <f>IF(ISERROR(VLOOKUP($T$419,'TAR FIN'!$A$1:$O$91,15,0)),0,VLOOKUP($T$419,'TAR FIN'!$A$1:$O$91,15,0))</f>
        <v>220.68</v>
      </c>
      <c r="X419" s="4">
        <f>IF(ISERROR(VLOOKUP($U$419,'TAR FIN'!$A$1:$O$91,15,0)),0,VLOOKUP($U$419,'TAR FIN'!$A$1:$O$91,15,0))</f>
        <v>224.33</v>
      </c>
      <c r="Y419" s="4"/>
      <c r="Z419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19" s="4">
        <f>('TE BE'!$AB$16+'TE BF'!$AB$16+'TE CVA'!$AB$16)*(1-CUSTOS!$M$36)</f>
        <v>183.04446813241722</v>
      </c>
      <c r="AB419" s="4">
        <f>$K$419*$V$419</f>
        <v>0</v>
      </c>
      <c r="AC419" s="4">
        <f>$M$419*$W$419</f>
        <v>10678.043160000001</v>
      </c>
      <c r="AD419" s="4">
        <f>$O$419*$X$419</f>
        <v>10854.655710000001</v>
      </c>
      <c r="AE419" s="4">
        <f>$K$419*$Y$419</f>
        <v>0</v>
      </c>
      <c r="AF419" s="4">
        <f ca="1">$M$419*$Z$419</f>
        <v>12185.212612937594</v>
      </c>
      <c r="AG419" s="4">
        <f>$O$419*$AA$419</f>
        <v>8856.9726795232727</v>
      </c>
    </row>
    <row r="420" spans="1:33" ht="11.25" customHeight="1" x14ac:dyDescent="0.25">
      <c r="A420" s="3" t="s">
        <v>21</v>
      </c>
      <c r="B420" s="3" t="s">
        <v>22</v>
      </c>
      <c r="C420" s="3" t="s">
        <v>23</v>
      </c>
      <c r="D420" s="3" t="s">
        <v>24</v>
      </c>
      <c r="E420" s="3" t="s">
        <v>31</v>
      </c>
      <c r="F420" s="3" t="s">
        <v>25</v>
      </c>
      <c r="G420" s="3" t="s">
        <v>25</v>
      </c>
      <c r="H420" s="3" t="s">
        <v>25</v>
      </c>
      <c r="I420" s="6">
        <v>44621</v>
      </c>
      <c r="J420" s="4">
        <v>0</v>
      </c>
      <c r="K420" s="4">
        <v>0</v>
      </c>
      <c r="L420" s="4">
        <v>48.087000000000003</v>
      </c>
      <c r="M420" s="4">
        <v>48.087000000000003</v>
      </c>
      <c r="N420" s="4">
        <v>48.087000000000003</v>
      </c>
      <c r="O420" s="4">
        <v>48.087000000000003</v>
      </c>
      <c r="P420" s="4">
        <v>204</v>
      </c>
      <c r="Q420" s="3" t="s">
        <v>26</v>
      </c>
      <c r="R420" s="3">
        <v>0</v>
      </c>
      <c r="S420" s="4">
        <v>0</v>
      </c>
      <c r="T420" s="4">
        <v>18</v>
      </c>
      <c r="U420" s="4">
        <v>55</v>
      </c>
      <c r="V420" s="4">
        <f>IF(ISERROR(VLOOKUP($S$420,'TAR FIN'!$A$1:$O$91,15,0)),0,VLOOKUP($S$420,'TAR FIN'!$A$1:$O$91,15,0))</f>
        <v>0</v>
      </c>
      <c r="W420" s="4">
        <f>IF(ISERROR(VLOOKUP($T$420,'TAR FIN'!$A$1:$O$91,15,0)),0,VLOOKUP($T$420,'TAR FIN'!$A$1:$O$91,15,0))</f>
        <v>220.68</v>
      </c>
      <c r="X420" s="4">
        <f>IF(ISERROR(VLOOKUP($U$420,'TAR FIN'!$A$1:$O$91,15,0)),0,VLOOKUP($U$420,'TAR FIN'!$A$1:$O$91,15,0))</f>
        <v>224.33</v>
      </c>
      <c r="Y420" s="4"/>
      <c r="Z420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0" s="4">
        <f>('TE BE'!$AB$16+'TE BF'!$AB$16+'TE CVA'!$AB$16)*(1-CUSTOS!$M$36)</f>
        <v>183.04446813241722</v>
      </c>
      <c r="AB420" s="4">
        <f>$K$420*$V$420</f>
        <v>0</v>
      </c>
      <c r="AC420" s="4">
        <f>$M$420*$W$420</f>
        <v>10611.839160000001</v>
      </c>
      <c r="AD420" s="4">
        <f>$O$420*$X$420</f>
        <v>10787.356710000002</v>
      </c>
      <c r="AE420" s="4">
        <f>$K$420*$Y$420</f>
        <v>0</v>
      </c>
      <c r="AF420" s="4">
        <f ca="1">$M$420*$Z$420</f>
        <v>12109.664143640442</v>
      </c>
      <c r="AG420" s="4">
        <f>$O$420*$AA$420</f>
        <v>8802.0593390835475</v>
      </c>
    </row>
    <row r="421" spans="1:33" ht="11.25" customHeight="1" x14ac:dyDescent="0.25">
      <c r="A421" s="3" t="s">
        <v>21</v>
      </c>
      <c r="B421" s="3" t="s">
        <v>22</v>
      </c>
      <c r="C421" s="3" t="s">
        <v>23</v>
      </c>
      <c r="D421" s="3" t="s">
        <v>24</v>
      </c>
      <c r="E421" s="3" t="s">
        <v>31</v>
      </c>
      <c r="F421" s="3" t="s">
        <v>25</v>
      </c>
      <c r="G421" s="3" t="s">
        <v>25</v>
      </c>
      <c r="H421" s="3" t="s">
        <v>25</v>
      </c>
      <c r="I421" s="6">
        <v>44652</v>
      </c>
      <c r="J421" s="4">
        <v>0</v>
      </c>
      <c r="K421" s="4">
        <v>0</v>
      </c>
      <c r="L421" s="4">
        <v>44.235999999999997</v>
      </c>
      <c r="M421" s="4">
        <v>44.235999999999997</v>
      </c>
      <c r="N421" s="4">
        <v>44.235999999999997</v>
      </c>
      <c r="O421" s="4">
        <v>44.235999999999997</v>
      </c>
      <c r="P421" s="4">
        <v>242</v>
      </c>
      <c r="Q421" s="3" t="s">
        <v>26</v>
      </c>
      <c r="R421" s="3">
        <v>0</v>
      </c>
      <c r="S421" s="4">
        <v>0</v>
      </c>
      <c r="T421" s="4">
        <v>18</v>
      </c>
      <c r="U421" s="4">
        <v>55</v>
      </c>
      <c r="V421" s="4">
        <f>IF(ISERROR(VLOOKUP($S$421,'TAR FIN'!$A$1:$O$91,15,0)),0,VLOOKUP($S$421,'TAR FIN'!$A$1:$O$91,15,0))</f>
        <v>0</v>
      </c>
      <c r="W421" s="4">
        <f>IF(ISERROR(VLOOKUP($T$421,'TAR FIN'!$A$1:$O$91,15,0)),0,VLOOKUP($T$421,'TAR FIN'!$A$1:$O$91,15,0))</f>
        <v>220.68</v>
      </c>
      <c r="X421" s="4">
        <f>IF(ISERROR(VLOOKUP($U$421,'TAR FIN'!$A$1:$O$91,15,0)),0,VLOOKUP($U$421,'TAR FIN'!$A$1:$O$91,15,0))</f>
        <v>224.33</v>
      </c>
      <c r="Y421" s="4"/>
      <c r="Z421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1" s="4">
        <f>('TE BE'!$AB$16+'TE BF'!$AB$16+'TE CVA'!$AB$16)*(1-CUSTOS!$M$36)</f>
        <v>183.04446813241722</v>
      </c>
      <c r="AB421" s="4">
        <f>$K$421*$V$421</f>
        <v>0</v>
      </c>
      <c r="AC421" s="4">
        <f>$M$421*$W$421</f>
        <v>9762.0004799999988</v>
      </c>
      <c r="AD421" s="4">
        <f>$O$421*$X$421</f>
        <v>9923.4618800000007</v>
      </c>
      <c r="AE421" s="4">
        <f>$K$421*$Y$421</f>
        <v>0</v>
      </c>
      <c r="AF421" s="4">
        <f ca="1">$M$421*$Z$421</f>
        <v>11139.873626096003</v>
      </c>
      <c r="AG421" s="4">
        <f>$O$421*$AA$421</f>
        <v>8097.1550923056075</v>
      </c>
    </row>
    <row r="422" spans="1:33" ht="11.25" customHeight="1" x14ac:dyDescent="0.25">
      <c r="A422" s="3" t="s">
        <v>21</v>
      </c>
      <c r="B422" s="3" t="s">
        <v>22</v>
      </c>
      <c r="C422" s="3" t="s">
        <v>23</v>
      </c>
      <c r="D422" s="3" t="s">
        <v>24</v>
      </c>
      <c r="E422" s="3" t="s">
        <v>31</v>
      </c>
      <c r="F422" s="3" t="s">
        <v>25</v>
      </c>
      <c r="G422" s="3" t="s">
        <v>25</v>
      </c>
      <c r="H422" s="3" t="s">
        <v>25</v>
      </c>
      <c r="I422" s="6">
        <v>44682</v>
      </c>
      <c r="J422" s="4">
        <v>0</v>
      </c>
      <c r="K422" s="4">
        <v>0</v>
      </c>
      <c r="L422" s="4">
        <v>39.134999999999998</v>
      </c>
      <c r="M422" s="4">
        <v>39.134999999999998</v>
      </c>
      <c r="N422" s="4">
        <v>39.134999999999998</v>
      </c>
      <c r="O422" s="4">
        <v>39.134999999999998</v>
      </c>
      <c r="P422" s="4">
        <v>259</v>
      </c>
      <c r="Q422" s="3" t="s">
        <v>26</v>
      </c>
      <c r="R422" s="3">
        <v>0</v>
      </c>
      <c r="S422" s="4">
        <v>0</v>
      </c>
      <c r="T422" s="4">
        <v>18</v>
      </c>
      <c r="U422" s="4">
        <v>55</v>
      </c>
      <c r="V422" s="4">
        <f>IF(ISERROR(VLOOKUP($S$422,'TAR FIN'!$A$1:$O$91,15,0)),0,VLOOKUP($S$422,'TAR FIN'!$A$1:$O$91,15,0))</f>
        <v>0</v>
      </c>
      <c r="W422" s="4">
        <f>IF(ISERROR(VLOOKUP($T$422,'TAR FIN'!$A$1:$O$91,15,0)),0,VLOOKUP($T$422,'TAR FIN'!$A$1:$O$91,15,0))</f>
        <v>220.68</v>
      </c>
      <c r="X422" s="4">
        <f>IF(ISERROR(VLOOKUP($U$422,'TAR FIN'!$A$1:$O$91,15,0)),0,VLOOKUP($U$422,'TAR FIN'!$A$1:$O$91,15,0))</f>
        <v>224.33</v>
      </c>
      <c r="Y422" s="4"/>
      <c r="Z422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2" s="4">
        <f>('TE BE'!$AB$16+'TE BF'!$AB$16+'TE CVA'!$AB$16)*(1-CUSTOS!$M$36)</f>
        <v>183.04446813241722</v>
      </c>
      <c r="AB422" s="4">
        <f>$K$422*$V$422</f>
        <v>0</v>
      </c>
      <c r="AC422" s="4">
        <f>$M$422*$W$422</f>
        <v>8636.3117999999995</v>
      </c>
      <c r="AD422" s="4">
        <f>$O$422*$X$422</f>
        <v>8779.1545499999993</v>
      </c>
      <c r="AE422" s="4">
        <f>$K$422*$Y$422</f>
        <v>0</v>
      </c>
      <c r="AF422" s="4">
        <f ca="1">$M$422*$Z$422</f>
        <v>9855.2978198134351</v>
      </c>
      <c r="AG422" s="4">
        <f>$O$422*$AA$422</f>
        <v>7163.4452603621476</v>
      </c>
    </row>
    <row r="423" spans="1:33" ht="11.25" customHeight="1" x14ac:dyDescent="0.25">
      <c r="A423" s="3" t="s">
        <v>28</v>
      </c>
      <c r="B423" s="3" t="s">
        <v>22</v>
      </c>
      <c r="C423" s="3" t="s">
        <v>23</v>
      </c>
      <c r="D423" s="3" t="s">
        <v>24</v>
      </c>
      <c r="E423" s="3" t="s">
        <v>31</v>
      </c>
      <c r="F423" s="3" t="s">
        <v>25</v>
      </c>
      <c r="G423" s="3" t="s">
        <v>25</v>
      </c>
      <c r="H423" s="3" t="s">
        <v>25</v>
      </c>
      <c r="I423" s="6">
        <v>44682</v>
      </c>
      <c r="J423" s="4">
        <v>0</v>
      </c>
      <c r="K423" s="4">
        <v>0</v>
      </c>
      <c r="L423" s="4">
        <v>3.3000000000000002E-2</v>
      </c>
      <c r="M423" s="4">
        <v>2.9700000000000001E-2</v>
      </c>
      <c r="N423" s="4">
        <v>3.3000000000000002E-2</v>
      </c>
      <c r="O423" s="4">
        <v>2.9700000000000001E-2</v>
      </c>
      <c r="P423" s="4">
        <v>1</v>
      </c>
      <c r="Q423" s="3" t="s">
        <v>26</v>
      </c>
      <c r="R423" s="3">
        <v>0</v>
      </c>
      <c r="S423" s="4">
        <v>0</v>
      </c>
      <c r="T423" s="4">
        <v>18</v>
      </c>
      <c r="U423" s="4">
        <v>55</v>
      </c>
      <c r="V423" s="4">
        <f>IF(ISERROR(VLOOKUP($S$423,'TAR FIN'!$A$1:$O$91,15,0)),0,VLOOKUP($S$423,'TAR FIN'!$A$1:$O$91,15,0))</f>
        <v>0</v>
      </c>
      <c r="W423" s="4">
        <f>IF(ISERROR(VLOOKUP($T$423,'TAR FIN'!$A$1:$O$91,15,0)),0,VLOOKUP($T$423,'TAR FIN'!$A$1:$O$91,15,0))</f>
        <v>220.68</v>
      </c>
      <c r="X423" s="4">
        <f>IF(ISERROR(VLOOKUP($U$423,'TAR FIN'!$A$1:$O$91,15,0)),0,VLOOKUP($U$423,'TAR FIN'!$A$1:$O$91,15,0))</f>
        <v>224.33</v>
      </c>
      <c r="Y423" s="4"/>
      <c r="Z423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3" s="4">
        <f>('TE BE'!$AB$16+'TE BF'!$AB$16+'TE CVA'!$AB$16)*(1-CUSTOS!$M$36)</f>
        <v>183.04446813241722</v>
      </c>
      <c r="AB423" s="4">
        <f>$K$423*$V$423</f>
        <v>0</v>
      </c>
      <c r="AC423" s="4">
        <f>$M$423*$W$423</f>
        <v>6.5541960000000001</v>
      </c>
      <c r="AD423" s="4">
        <f>$O$423*$X$423</f>
        <v>6.6626010000000004</v>
      </c>
      <c r="AE423" s="4">
        <f>$K$423*$Y$423</f>
        <v>0</v>
      </c>
      <c r="AF423" s="4">
        <f ca="1">$M$423*$Z$423</f>
        <v>7.4792984604180157</v>
      </c>
      <c r="AG423" s="4">
        <f>$O$423*$AA$423</f>
        <v>5.4364207035327921</v>
      </c>
    </row>
    <row r="424" spans="1:33" ht="11.25" customHeight="1" x14ac:dyDescent="0.25">
      <c r="A424" s="3" t="s">
        <v>21</v>
      </c>
      <c r="B424" s="3" t="s">
        <v>22</v>
      </c>
      <c r="C424" s="3" t="s">
        <v>23</v>
      </c>
      <c r="D424" s="3" t="s">
        <v>24</v>
      </c>
      <c r="E424" s="3" t="s">
        <v>31</v>
      </c>
      <c r="F424" s="3" t="s">
        <v>25</v>
      </c>
      <c r="G424" s="3" t="s">
        <v>25</v>
      </c>
      <c r="H424" s="3" t="s">
        <v>25</v>
      </c>
      <c r="I424" s="6">
        <v>44713</v>
      </c>
      <c r="J424" s="4">
        <v>0</v>
      </c>
      <c r="K424" s="4">
        <v>0</v>
      </c>
      <c r="L424" s="4">
        <v>39.506</v>
      </c>
      <c r="M424" s="4">
        <v>39.506</v>
      </c>
      <c r="N424" s="4">
        <v>39.506</v>
      </c>
      <c r="O424" s="4">
        <v>39.506</v>
      </c>
      <c r="P424" s="4">
        <v>198</v>
      </c>
      <c r="Q424" s="3" t="s">
        <v>26</v>
      </c>
      <c r="R424" s="3">
        <v>0</v>
      </c>
      <c r="S424" s="4">
        <v>0</v>
      </c>
      <c r="T424" s="4">
        <v>18</v>
      </c>
      <c r="U424" s="4">
        <v>55</v>
      </c>
      <c r="V424" s="4">
        <f>IF(ISERROR(VLOOKUP($S$424,'TAR FIN'!$A$1:$O$91,15,0)),0,VLOOKUP($S$424,'TAR FIN'!$A$1:$O$91,15,0))</f>
        <v>0</v>
      </c>
      <c r="W424" s="4">
        <f>IF(ISERROR(VLOOKUP($T$424,'TAR FIN'!$A$1:$O$91,15,0)),0,VLOOKUP($T$424,'TAR FIN'!$A$1:$O$91,15,0))</f>
        <v>220.68</v>
      </c>
      <c r="X424" s="4">
        <f>IF(ISERROR(VLOOKUP($U$424,'TAR FIN'!$A$1:$O$91,15,0)),0,VLOOKUP($U$424,'TAR FIN'!$A$1:$O$91,15,0))</f>
        <v>224.33</v>
      </c>
      <c r="Y424" s="4"/>
      <c r="Z424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4" s="4">
        <f>('TE BE'!$AB$16+'TE BF'!$AB$16+'TE CVA'!$AB$16)*(1-CUSTOS!$M$36)</f>
        <v>183.04446813241722</v>
      </c>
      <c r="AB424" s="4">
        <f>$K$424*$V$424</f>
        <v>0</v>
      </c>
      <c r="AC424" s="4">
        <f>$M$424*$W$424</f>
        <v>8718.1840800000009</v>
      </c>
      <c r="AD424" s="4">
        <f>$O$424*$X$424</f>
        <v>8862.3809799999999</v>
      </c>
      <c r="AE424" s="4">
        <f>$K$424*$Y$424</f>
        <v>0</v>
      </c>
      <c r="AF424" s="4">
        <f ca="1">$M$424*$Z$424</f>
        <v>9948.7260935109134</v>
      </c>
      <c r="AG424" s="4">
        <f>$O$424*$AA$424</f>
        <v>7231.3547580392751</v>
      </c>
    </row>
    <row r="425" spans="1:33" ht="11.25" customHeight="1" x14ac:dyDescent="0.25">
      <c r="A425" s="3" t="s">
        <v>21</v>
      </c>
      <c r="B425" s="3" t="s">
        <v>22</v>
      </c>
      <c r="C425" s="3" t="s">
        <v>23</v>
      </c>
      <c r="D425" s="3" t="s">
        <v>24</v>
      </c>
      <c r="E425" s="3" t="s">
        <v>31</v>
      </c>
      <c r="F425" s="3" t="s">
        <v>25</v>
      </c>
      <c r="G425" s="3" t="s">
        <v>25</v>
      </c>
      <c r="H425" s="3" t="s">
        <v>25</v>
      </c>
      <c r="I425" s="6">
        <v>44743</v>
      </c>
      <c r="J425" s="4">
        <v>0</v>
      </c>
      <c r="K425" s="4">
        <v>0</v>
      </c>
      <c r="L425" s="4">
        <v>37.194000000000003</v>
      </c>
      <c r="M425" s="4">
        <v>37.194000000000003</v>
      </c>
      <c r="N425" s="4">
        <v>37.194000000000003</v>
      </c>
      <c r="O425" s="4">
        <v>37.194000000000003</v>
      </c>
      <c r="P425" s="4">
        <v>198</v>
      </c>
      <c r="Q425" s="3" t="s">
        <v>26</v>
      </c>
      <c r="R425" s="3">
        <v>0</v>
      </c>
      <c r="S425" s="4">
        <v>0</v>
      </c>
      <c r="T425" s="4">
        <v>18</v>
      </c>
      <c r="U425" s="4">
        <v>55</v>
      </c>
      <c r="V425" s="4">
        <f>IF(ISERROR(VLOOKUP($S$425,'TAR FIN'!$A$1:$O$91,15,0)),0,VLOOKUP($S$425,'TAR FIN'!$A$1:$O$91,15,0))</f>
        <v>0</v>
      </c>
      <c r="W425" s="4">
        <f>IF(ISERROR(VLOOKUP($T$425,'TAR FIN'!$A$1:$O$91,15,0)),0,VLOOKUP($T$425,'TAR FIN'!$A$1:$O$91,15,0))</f>
        <v>220.68</v>
      </c>
      <c r="X425" s="4">
        <f>IF(ISERROR(VLOOKUP($U$425,'TAR FIN'!$A$1:$O$91,15,0)),0,VLOOKUP($U$425,'TAR FIN'!$A$1:$O$91,15,0))</f>
        <v>224.33</v>
      </c>
      <c r="Y425" s="4"/>
      <c r="Z425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5" s="4">
        <f>('TE BE'!$AB$16+'TE BF'!$AB$16+'TE CVA'!$AB$16)*(1-CUSTOS!$M$36)</f>
        <v>183.04446813241722</v>
      </c>
      <c r="AB425" s="4">
        <f>$K$425*$V$425</f>
        <v>0</v>
      </c>
      <c r="AC425" s="4">
        <f>$M$425*$W$425</f>
        <v>8207.97192</v>
      </c>
      <c r="AD425" s="4">
        <f>$O$425*$X$425</f>
        <v>8343.7300200000009</v>
      </c>
      <c r="AE425" s="4">
        <f>$K$425*$Y$425</f>
        <v>0</v>
      </c>
      <c r="AF425" s="4">
        <f ca="1">$M$425*$Z$425</f>
        <v>9366.4992234608653</v>
      </c>
      <c r="AG425" s="4">
        <f>$O$425*$AA$425</f>
        <v>6808.1559477171268</v>
      </c>
    </row>
    <row r="426" spans="1:33" ht="11.25" customHeight="1" x14ac:dyDescent="0.25">
      <c r="A426" s="3" t="s">
        <v>21</v>
      </c>
      <c r="B426" s="3" t="s">
        <v>22</v>
      </c>
      <c r="C426" s="3" t="s">
        <v>23</v>
      </c>
      <c r="D426" s="3" t="s">
        <v>24</v>
      </c>
      <c r="E426" s="3" t="s">
        <v>31</v>
      </c>
      <c r="F426" s="3" t="s">
        <v>25</v>
      </c>
      <c r="G426" s="3" t="s">
        <v>25</v>
      </c>
      <c r="H426" s="3" t="s">
        <v>25</v>
      </c>
      <c r="I426" s="6">
        <v>44774</v>
      </c>
      <c r="J426" s="4">
        <v>0</v>
      </c>
      <c r="K426" s="4">
        <v>0</v>
      </c>
      <c r="L426" s="4">
        <v>41.235999999999997</v>
      </c>
      <c r="M426" s="4">
        <v>41.235999999999997</v>
      </c>
      <c r="N426" s="4">
        <v>41.235999999999997</v>
      </c>
      <c r="O426" s="4">
        <v>41.235999999999997</v>
      </c>
      <c r="P426" s="4">
        <v>222</v>
      </c>
      <c r="Q426" s="3" t="s">
        <v>26</v>
      </c>
      <c r="R426" s="3">
        <v>0</v>
      </c>
      <c r="S426" s="4">
        <v>0</v>
      </c>
      <c r="T426" s="4">
        <v>18</v>
      </c>
      <c r="U426" s="4">
        <v>55</v>
      </c>
      <c r="V426" s="4">
        <f>IF(ISERROR(VLOOKUP($S$426,'TAR FIN'!$A$1:$O$91,15,0)),0,VLOOKUP($S$426,'TAR FIN'!$A$1:$O$91,15,0))</f>
        <v>0</v>
      </c>
      <c r="W426" s="4">
        <f>IF(ISERROR(VLOOKUP($T$426,'TAR FIN'!$A$1:$O$91,15,0)),0,VLOOKUP($T$426,'TAR FIN'!$A$1:$O$91,15,0))</f>
        <v>220.68</v>
      </c>
      <c r="X426" s="4">
        <f>IF(ISERROR(VLOOKUP($U$426,'TAR FIN'!$A$1:$O$91,15,0)),0,VLOOKUP($U$426,'TAR FIN'!$A$1:$O$91,15,0))</f>
        <v>224.33</v>
      </c>
      <c r="Y426" s="4"/>
      <c r="Z426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426" s="4">
        <f>('TE BE'!$AB$16+'TE BF'!$AB$16+'TE CVA'!$AB$16)*(1-CUSTOS!$M$36)</f>
        <v>183.04446813241722</v>
      </c>
      <c r="AB426" s="4">
        <f>$K$426*$V$426</f>
        <v>0</v>
      </c>
      <c r="AC426" s="4">
        <f>$M$426*$W$426</f>
        <v>9099.9604799999997</v>
      </c>
      <c r="AD426" s="4">
        <f>$O$426*$X$426</f>
        <v>9250.4718799999991</v>
      </c>
      <c r="AE426" s="4">
        <f>$K$426*$Y$426</f>
        <v>0</v>
      </c>
      <c r="AF426" s="4">
        <f ca="1">$M$426*$Z$426</f>
        <v>10384.388933124486</v>
      </c>
      <c r="AG426" s="4">
        <f>$O$426*$AA$426</f>
        <v>7548.0216879083564</v>
      </c>
    </row>
    <row r="427" spans="1:33" ht="11.25" customHeight="1" x14ac:dyDescent="0.25">
      <c r="A427" s="3" t="s">
        <v>21</v>
      </c>
      <c r="B427" s="3" t="s">
        <v>22</v>
      </c>
      <c r="C427" s="3" t="s">
        <v>23</v>
      </c>
      <c r="D427" s="3" t="s">
        <v>24</v>
      </c>
      <c r="E427" s="3" t="s">
        <v>32</v>
      </c>
      <c r="F427" s="3" t="s">
        <v>25</v>
      </c>
      <c r="G427" s="3" t="s">
        <v>25</v>
      </c>
      <c r="H427" s="3" t="s">
        <v>25</v>
      </c>
      <c r="I427" s="6">
        <v>44440</v>
      </c>
      <c r="J427" s="4">
        <v>0</v>
      </c>
      <c r="K427" s="4">
        <v>0</v>
      </c>
      <c r="L427" s="4">
        <v>16.521999999999998</v>
      </c>
      <c r="M427" s="4">
        <v>16.521999999999998</v>
      </c>
      <c r="N427" s="4">
        <v>16.521999999999998</v>
      </c>
      <c r="O427" s="4">
        <v>16.521999999999998</v>
      </c>
      <c r="P427" s="4">
        <v>157</v>
      </c>
      <c r="Q427" s="3" t="s">
        <v>26</v>
      </c>
      <c r="R427" s="3">
        <v>0</v>
      </c>
      <c r="S427" s="4">
        <v>0</v>
      </c>
      <c r="T427" s="4">
        <v>44</v>
      </c>
      <c r="U427" s="4">
        <v>60</v>
      </c>
      <c r="V427" s="4">
        <f>IF(ISERROR(VLOOKUP($S$427,'TAR FIN'!$A$1:$O$91,15,0)),0,VLOOKUP($S$427,'TAR FIN'!$A$1:$O$91,15,0))</f>
        <v>0</v>
      </c>
      <c r="W427" s="4">
        <f>IF(ISERROR(VLOOKUP($T$427,'TAR FIN'!$A$1:$O$91,15,0)),0,VLOOKUP($T$427,'TAR FIN'!$A$1:$O$91,15,0))</f>
        <v>245.2</v>
      </c>
      <c r="X427" s="4">
        <f>IF(ISERROR(VLOOKUP($U$427,'TAR FIN'!$A$1:$O$91,15,0)),0,VLOOKUP($U$427,'TAR FIN'!$A$1:$O$91,15,0))</f>
        <v>249.25</v>
      </c>
      <c r="Y427" s="4"/>
      <c r="Z427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27" s="4">
        <f>('TE BE'!$AB$17+'TE BF'!$AB$17+'TE CVA'!$AB$17)*(1-CUSTOS!$M$37)</f>
        <v>203.38274236935246</v>
      </c>
      <c r="AB427" s="4">
        <f>$K$427*$V$427</f>
        <v>0</v>
      </c>
      <c r="AC427" s="4">
        <f>$M$427*$W$427</f>
        <v>4051.1943999999994</v>
      </c>
      <c r="AD427" s="4">
        <f>$O$427*$X$427</f>
        <v>4118.1084999999994</v>
      </c>
      <c r="AE427" s="4">
        <f>$K$427*$Y$427</f>
        <v>0</v>
      </c>
      <c r="AF427" s="4">
        <f ca="1">$M$427*$Z$427</f>
        <v>4623.0067026945917</v>
      </c>
      <c r="AG427" s="4">
        <f>$O$427*$AA$427</f>
        <v>3360.2896694264409</v>
      </c>
    </row>
    <row r="428" spans="1:33" ht="11.25" customHeight="1" x14ac:dyDescent="0.25">
      <c r="A428" s="3" t="s">
        <v>21</v>
      </c>
      <c r="B428" s="3" t="s">
        <v>22</v>
      </c>
      <c r="C428" s="3" t="s">
        <v>23</v>
      </c>
      <c r="D428" s="3" t="s">
        <v>24</v>
      </c>
      <c r="E428" s="3" t="s">
        <v>32</v>
      </c>
      <c r="F428" s="3" t="s">
        <v>25</v>
      </c>
      <c r="G428" s="3" t="s">
        <v>25</v>
      </c>
      <c r="H428" s="3" t="s">
        <v>25</v>
      </c>
      <c r="I428" s="6">
        <v>44470</v>
      </c>
      <c r="J428" s="4">
        <v>0</v>
      </c>
      <c r="K428" s="4">
        <v>0</v>
      </c>
      <c r="L428" s="4">
        <v>17.109000000000002</v>
      </c>
      <c r="M428" s="4">
        <v>17.109000000000002</v>
      </c>
      <c r="N428" s="4">
        <v>17.109000000000002</v>
      </c>
      <c r="O428" s="4">
        <v>17.109000000000002</v>
      </c>
      <c r="P428" s="4">
        <v>171</v>
      </c>
      <c r="Q428" s="3" t="s">
        <v>26</v>
      </c>
      <c r="R428" s="3">
        <v>0</v>
      </c>
      <c r="S428" s="4">
        <v>0</v>
      </c>
      <c r="T428" s="4">
        <v>44</v>
      </c>
      <c r="U428" s="4">
        <v>60</v>
      </c>
      <c r="V428" s="4">
        <f>IF(ISERROR(VLOOKUP($S$428,'TAR FIN'!$A$1:$O$91,15,0)),0,VLOOKUP($S$428,'TAR FIN'!$A$1:$O$91,15,0))</f>
        <v>0</v>
      </c>
      <c r="W428" s="4">
        <f>IF(ISERROR(VLOOKUP($T$428,'TAR FIN'!$A$1:$O$91,15,0)),0,VLOOKUP($T$428,'TAR FIN'!$A$1:$O$91,15,0))</f>
        <v>245.2</v>
      </c>
      <c r="X428" s="4">
        <f>IF(ISERROR(VLOOKUP($U$428,'TAR FIN'!$A$1:$O$91,15,0)),0,VLOOKUP($U$428,'TAR FIN'!$A$1:$O$91,15,0))</f>
        <v>249.25</v>
      </c>
      <c r="Y428" s="4"/>
      <c r="Z428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28" s="4">
        <f>('TE BE'!$AB$17+'TE BF'!$AB$17+'TE CVA'!$AB$17)*(1-CUSTOS!$M$37)</f>
        <v>203.38274236935246</v>
      </c>
      <c r="AB428" s="4">
        <f>$K$428*$V$428</f>
        <v>0</v>
      </c>
      <c r="AC428" s="4">
        <f>$M$428*$W$428</f>
        <v>4195.1268</v>
      </c>
      <c r="AD428" s="4">
        <f>$O$428*$X$428</f>
        <v>4264.4182500000006</v>
      </c>
      <c r="AE428" s="4">
        <f>$K$428*$Y$428</f>
        <v>0</v>
      </c>
      <c r="AF428" s="4">
        <f ca="1">$M$428*$Z$428</f>
        <v>4787.2546711295108</v>
      </c>
      <c r="AG428" s="4">
        <f>$O$428*$AA$428</f>
        <v>3479.6753391972516</v>
      </c>
    </row>
    <row r="429" spans="1:33" ht="11.25" customHeight="1" x14ac:dyDescent="0.25">
      <c r="A429" s="3" t="s">
        <v>21</v>
      </c>
      <c r="B429" s="3" t="s">
        <v>22</v>
      </c>
      <c r="C429" s="3" t="s">
        <v>23</v>
      </c>
      <c r="D429" s="3" t="s">
        <v>24</v>
      </c>
      <c r="E429" s="3" t="s">
        <v>32</v>
      </c>
      <c r="F429" s="3" t="s">
        <v>25</v>
      </c>
      <c r="G429" s="3" t="s">
        <v>25</v>
      </c>
      <c r="H429" s="3" t="s">
        <v>25</v>
      </c>
      <c r="I429" s="6">
        <v>44501</v>
      </c>
      <c r="J429" s="4">
        <v>0</v>
      </c>
      <c r="K429" s="4">
        <v>0</v>
      </c>
      <c r="L429" s="4">
        <v>18.899000000000001</v>
      </c>
      <c r="M429" s="4">
        <v>18.899000000000001</v>
      </c>
      <c r="N429" s="4">
        <v>18.899000000000001</v>
      </c>
      <c r="O429" s="4">
        <v>18.899000000000001</v>
      </c>
      <c r="P429" s="4">
        <v>173</v>
      </c>
      <c r="Q429" s="3" t="s">
        <v>26</v>
      </c>
      <c r="R429" s="3">
        <v>0</v>
      </c>
      <c r="S429" s="4">
        <v>0</v>
      </c>
      <c r="T429" s="4">
        <v>44</v>
      </c>
      <c r="U429" s="4">
        <v>60</v>
      </c>
      <c r="V429" s="4">
        <f>IF(ISERROR(VLOOKUP($S$429,'TAR FIN'!$A$1:$O$91,15,0)),0,VLOOKUP($S$429,'TAR FIN'!$A$1:$O$91,15,0))</f>
        <v>0</v>
      </c>
      <c r="W429" s="4">
        <f>IF(ISERROR(VLOOKUP($T$429,'TAR FIN'!$A$1:$O$91,15,0)),0,VLOOKUP($T$429,'TAR FIN'!$A$1:$O$91,15,0))</f>
        <v>245.2</v>
      </c>
      <c r="X429" s="4">
        <f>IF(ISERROR(VLOOKUP($U$429,'TAR FIN'!$A$1:$O$91,15,0)),0,VLOOKUP($U$429,'TAR FIN'!$A$1:$O$91,15,0))</f>
        <v>249.25</v>
      </c>
      <c r="Y429" s="4"/>
      <c r="Z429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29" s="4">
        <f>('TE BE'!$AB$17+'TE BF'!$AB$17+'TE CVA'!$AB$17)*(1-CUSTOS!$M$37)</f>
        <v>203.38274236935246</v>
      </c>
      <c r="AB429" s="4">
        <f>$K$429*$V$429</f>
        <v>0</v>
      </c>
      <c r="AC429" s="4">
        <f>$M$429*$W$429</f>
        <v>4634.0348000000004</v>
      </c>
      <c r="AD429" s="4">
        <f>$O$429*$X$429</f>
        <v>4710.57575</v>
      </c>
      <c r="AE429" s="4">
        <f>$K$429*$Y$429</f>
        <v>0</v>
      </c>
      <c r="AF429" s="4">
        <f ca="1">$M$429*$Z$429</f>
        <v>5288.1130416550723</v>
      </c>
      <c r="AG429" s="4">
        <f>$O$429*$AA$429</f>
        <v>3843.7304480383923</v>
      </c>
    </row>
    <row r="430" spans="1:33" ht="11.25" customHeight="1" x14ac:dyDescent="0.25">
      <c r="A430" s="3" t="s">
        <v>21</v>
      </c>
      <c r="B430" s="3" t="s">
        <v>22</v>
      </c>
      <c r="C430" s="3" t="s">
        <v>23</v>
      </c>
      <c r="D430" s="3" t="s">
        <v>24</v>
      </c>
      <c r="E430" s="3" t="s">
        <v>32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21.431000000000001</v>
      </c>
      <c r="M430" s="4">
        <v>21.431000000000001</v>
      </c>
      <c r="N430" s="4">
        <v>21.431000000000001</v>
      </c>
      <c r="O430" s="4">
        <v>21.431000000000001</v>
      </c>
      <c r="P430" s="4">
        <v>188</v>
      </c>
      <c r="Q430" s="3" t="s">
        <v>26</v>
      </c>
      <c r="R430" s="3">
        <v>0</v>
      </c>
      <c r="S430" s="4">
        <v>0</v>
      </c>
      <c r="T430" s="4">
        <v>44</v>
      </c>
      <c r="U430" s="4">
        <v>60</v>
      </c>
      <c r="V430" s="4">
        <f>IF(ISERROR(VLOOKUP($S$430,'TAR FIN'!$A$1:$O$91,15,0)),0,VLOOKUP($S$430,'TAR FIN'!$A$1:$O$91,15,0))</f>
        <v>0</v>
      </c>
      <c r="W430" s="4">
        <f>IF(ISERROR(VLOOKUP($T$430,'TAR FIN'!$A$1:$O$91,15,0)),0,VLOOKUP($T$430,'TAR FIN'!$A$1:$O$91,15,0))</f>
        <v>245.2</v>
      </c>
      <c r="X430" s="4">
        <f>IF(ISERROR(VLOOKUP($U$430,'TAR FIN'!$A$1:$O$91,15,0)),0,VLOOKUP($U$430,'TAR FIN'!$A$1:$O$91,15,0))</f>
        <v>249.25</v>
      </c>
      <c r="Y430" s="4"/>
      <c r="Z430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0" s="4">
        <f>('TE BE'!$AB$17+'TE BF'!$AB$17+'TE CVA'!$AB$17)*(1-CUSTOS!$M$37)</f>
        <v>203.38274236935246</v>
      </c>
      <c r="AB430" s="4">
        <f>$K$430*$V$430</f>
        <v>0</v>
      </c>
      <c r="AC430" s="4">
        <f>$M$430*$W$430</f>
        <v>5254.8811999999998</v>
      </c>
      <c r="AD430" s="4">
        <f>$O$430*$X$430</f>
        <v>5341.6767500000005</v>
      </c>
      <c r="AE430" s="4">
        <f>$K$430*$Y$430</f>
        <v>0</v>
      </c>
      <c r="AF430" s="4">
        <f ca="1">$M$430*$Z$430</f>
        <v>5996.5897981750277</v>
      </c>
      <c r="AG430" s="4">
        <f>$O$430*$AA$430</f>
        <v>4358.6955517175929</v>
      </c>
    </row>
    <row r="431" spans="1:33" ht="11.25" customHeight="1" x14ac:dyDescent="0.25">
      <c r="A431" s="3" t="s">
        <v>21</v>
      </c>
      <c r="B431" s="3" t="s">
        <v>22</v>
      </c>
      <c r="C431" s="3" t="s">
        <v>23</v>
      </c>
      <c r="D431" s="3" t="s">
        <v>24</v>
      </c>
      <c r="E431" s="3" t="s">
        <v>32</v>
      </c>
      <c r="F431" s="3" t="s">
        <v>25</v>
      </c>
      <c r="G431" s="3" t="s">
        <v>25</v>
      </c>
      <c r="H431" s="3" t="s">
        <v>25</v>
      </c>
      <c r="I431" s="6">
        <v>44562</v>
      </c>
      <c r="J431" s="4">
        <v>0</v>
      </c>
      <c r="K431" s="4">
        <v>0</v>
      </c>
      <c r="L431" s="4">
        <v>33.978999999999999</v>
      </c>
      <c r="M431" s="4">
        <v>33.978999999999999</v>
      </c>
      <c r="N431" s="4">
        <v>33.978999999999999</v>
      </c>
      <c r="O431" s="4">
        <v>33.978999999999999</v>
      </c>
      <c r="P431" s="4">
        <v>248</v>
      </c>
      <c r="Q431" s="3" t="s">
        <v>26</v>
      </c>
      <c r="R431" s="3">
        <v>0</v>
      </c>
      <c r="S431" s="4">
        <v>0</v>
      </c>
      <c r="T431" s="4">
        <v>44</v>
      </c>
      <c r="U431" s="4">
        <v>60</v>
      </c>
      <c r="V431" s="4">
        <f>IF(ISERROR(VLOOKUP($S$431,'TAR FIN'!$A$1:$O$91,15,0)),0,VLOOKUP($S$431,'TAR FIN'!$A$1:$O$91,15,0))</f>
        <v>0</v>
      </c>
      <c r="W431" s="4">
        <f>IF(ISERROR(VLOOKUP($T$431,'TAR FIN'!$A$1:$O$91,15,0)),0,VLOOKUP($T$431,'TAR FIN'!$A$1:$O$91,15,0))</f>
        <v>245.2</v>
      </c>
      <c r="X431" s="4">
        <f>IF(ISERROR(VLOOKUP($U$431,'TAR FIN'!$A$1:$O$91,15,0)),0,VLOOKUP($U$431,'TAR FIN'!$A$1:$O$91,15,0))</f>
        <v>249.25</v>
      </c>
      <c r="Y431" s="4"/>
      <c r="Z431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1" s="4">
        <f>('TE BE'!$AB$17+'TE BF'!$AB$17+'TE CVA'!$AB$17)*(1-CUSTOS!$M$37)</f>
        <v>203.38274236935246</v>
      </c>
      <c r="AB431" s="4">
        <f>$K$431*$V$431</f>
        <v>0</v>
      </c>
      <c r="AC431" s="4">
        <f>$M$431*$W$431</f>
        <v>8331.6507999999994</v>
      </c>
      <c r="AD431" s="4">
        <f>$O$431*$X$431</f>
        <v>8469.2657500000005</v>
      </c>
      <c r="AE431" s="4">
        <f>$K$431*$Y$431</f>
        <v>0</v>
      </c>
      <c r="AF431" s="4">
        <f ca="1">$M$431*$Z$431</f>
        <v>9507.6349564737648</v>
      </c>
      <c r="AG431" s="4">
        <f>$O$431*$AA$431</f>
        <v>6910.7422029682266</v>
      </c>
    </row>
    <row r="432" spans="1:33" ht="11.25" customHeight="1" x14ac:dyDescent="0.25">
      <c r="A432" s="3" t="s">
        <v>21</v>
      </c>
      <c r="B432" s="3" t="s">
        <v>22</v>
      </c>
      <c r="C432" s="3" t="s">
        <v>23</v>
      </c>
      <c r="D432" s="3" t="s">
        <v>24</v>
      </c>
      <c r="E432" s="3" t="s">
        <v>32</v>
      </c>
      <c r="F432" s="3" t="s">
        <v>25</v>
      </c>
      <c r="G432" s="3" t="s">
        <v>25</v>
      </c>
      <c r="H432" s="3" t="s">
        <v>25</v>
      </c>
      <c r="I432" s="6">
        <v>44593</v>
      </c>
      <c r="J432" s="4">
        <v>0</v>
      </c>
      <c r="K432" s="4">
        <v>0</v>
      </c>
      <c r="L432" s="4">
        <v>50.307000000000002</v>
      </c>
      <c r="M432" s="4">
        <v>50.307000000000002</v>
      </c>
      <c r="N432" s="4">
        <v>50.307000000000002</v>
      </c>
      <c r="O432" s="4">
        <v>50.307000000000002</v>
      </c>
      <c r="P432" s="4">
        <v>315</v>
      </c>
      <c r="Q432" s="3" t="s">
        <v>26</v>
      </c>
      <c r="R432" s="3">
        <v>0</v>
      </c>
      <c r="S432" s="4">
        <v>0</v>
      </c>
      <c r="T432" s="4">
        <v>44</v>
      </c>
      <c r="U432" s="4">
        <v>60</v>
      </c>
      <c r="V432" s="4">
        <f>IF(ISERROR(VLOOKUP($S$432,'TAR FIN'!$A$1:$O$91,15,0)),0,VLOOKUP($S$432,'TAR FIN'!$A$1:$O$91,15,0))</f>
        <v>0</v>
      </c>
      <c r="W432" s="4">
        <f>IF(ISERROR(VLOOKUP($T$432,'TAR FIN'!$A$1:$O$91,15,0)),0,VLOOKUP($T$432,'TAR FIN'!$A$1:$O$91,15,0))</f>
        <v>245.2</v>
      </c>
      <c r="X432" s="4">
        <f>IF(ISERROR(VLOOKUP($U$432,'TAR FIN'!$A$1:$O$91,15,0)),0,VLOOKUP($U$432,'TAR FIN'!$A$1:$O$91,15,0))</f>
        <v>249.25</v>
      </c>
      <c r="Y432" s="4"/>
      <c r="Z432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2" s="4">
        <f>('TE BE'!$AB$17+'TE BF'!$AB$17+'TE CVA'!$AB$17)*(1-CUSTOS!$M$37)</f>
        <v>203.38274236935246</v>
      </c>
      <c r="AB432" s="4">
        <f>$K$432*$V$432</f>
        <v>0</v>
      </c>
      <c r="AC432" s="4">
        <f>$M$432*$W$432</f>
        <v>12335.276400000001</v>
      </c>
      <c r="AD432" s="4">
        <f>$O$432*$X$432</f>
        <v>12539.019750000001</v>
      </c>
      <c r="AE432" s="4">
        <f>$K$432*$Y$432</f>
        <v>0</v>
      </c>
      <c r="AF432" s="4">
        <f ca="1">$M$432*$Z$432</f>
        <v>14076.358684932626</v>
      </c>
      <c r="AG432" s="4">
        <f>$O$432*$AA$432</f>
        <v>10231.575620375015</v>
      </c>
    </row>
    <row r="433" spans="1:33" ht="11.25" customHeight="1" x14ac:dyDescent="0.25">
      <c r="A433" s="3" t="s">
        <v>21</v>
      </c>
      <c r="B433" s="3" t="s">
        <v>22</v>
      </c>
      <c r="C433" s="3" t="s">
        <v>23</v>
      </c>
      <c r="D433" s="3" t="s">
        <v>24</v>
      </c>
      <c r="E433" s="3" t="s">
        <v>32</v>
      </c>
      <c r="F433" s="3" t="s">
        <v>25</v>
      </c>
      <c r="G433" s="3" t="s">
        <v>25</v>
      </c>
      <c r="H433" s="3" t="s">
        <v>25</v>
      </c>
      <c r="I433" s="6">
        <v>44621</v>
      </c>
      <c r="J433" s="4">
        <v>0</v>
      </c>
      <c r="K433" s="4">
        <v>0</v>
      </c>
      <c r="L433" s="4">
        <v>38.713999999999999</v>
      </c>
      <c r="M433" s="4">
        <v>38.713999999999999</v>
      </c>
      <c r="N433" s="4">
        <v>38.713999999999999</v>
      </c>
      <c r="O433" s="4">
        <v>38.713999999999999</v>
      </c>
      <c r="P433" s="4">
        <v>299</v>
      </c>
      <c r="Q433" s="3" t="s">
        <v>26</v>
      </c>
      <c r="R433" s="3">
        <v>0</v>
      </c>
      <c r="S433" s="4">
        <v>0</v>
      </c>
      <c r="T433" s="4">
        <v>44</v>
      </c>
      <c r="U433" s="4">
        <v>60</v>
      </c>
      <c r="V433" s="4">
        <f>IF(ISERROR(VLOOKUP($S$433,'TAR FIN'!$A$1:$O$91,15,0)),0,VLOOKUP($S$433,'TAR FIN'!$A$1:$O$91,15,0))</f>
        <v>0</v>
      </c>
      <c r="W433" s="4">
        <f>IF(ISERROR(VLOOKUP($T$433,'TAR FIN'!$A$1:$O$91,15,0)),0,VLOOKUP($T$433,'TAR FIN'!$A$1:$O$91,15,0))</f>
        <v>245.2</v>
      </c>
      <c r="X433" s="4">
        <f>IF(ISERROR(VLOOKUP($U$433,'TAR FIN'!$A$1:$O$91,15,0)),0,VLOOKUP($U$433,'TAR FIN'!$A$1:$O$91,15,0))</f>
        <v>249.25</v>
      </c>
      <c r="Y433" s="4"/>
      <c r="Z433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3" s="4">
        <f>('TE BE'!$AB$17+'TE BF'!$AB$17+'TE CVA'!$AB$17)*(1-CUSTOS!$M$37)</f>
        <v>203.38274236935246</v>
      </c>
      <c r="AB433" s="4">
        <f>$K$433*$V$433</f>
        <v>0</v>
      </c>
      <c r="AC433" s="4">
        <f>$M$433*$W$433</f>
        <v>9492.6727999999985</v>
      </c>
      <c r="AD433" s="4">
        <f>$O$433*$X$433</f>
        <v>9649.4645</v>
      </c>
      <c r="AE433" s="4">
        <f>$K$433*$Y$433</f>
        <v>0</v>
      </c>
      <c r="AF433" s="4">
        <f ca="1">$M$433*$Z$433</f>
        <v>10832.531260629368</v>
      </c>
      <c r="AG433" s="4">
        <f>$O$433*$AA$433</f>
        <v>7873.7594880871111</v>
      </c>
    </row>
    <row r="434" spans="1:33" ht="11.25" customHeight="1" x14ac:dyDescent="0.25">
      <c r="A434" s="3" t="s">
        <v>21</v>
      </c>
      <c r="B434" s="3" t="s">
        <v>22</v>
      </c>
      <c r="C434" s="3" t="s">
        <v>23</v>
      </c>
      <c r="D434" s="3" t="s">
        <v>24</v>
      </c>
      <c r="E434" s="3" t="s">
        <v>32</v>
      </c>
      <c r="F434" s="3" t="s">
        <v>25</v>
      </c>
      <c r="G434" s="3" t="s">
        <v>25</v>
      </c>
      <c r="H434" s="3" t="s">
        <v>25</v>
      </c>
      <c r="I434" s="6">
        <v>44652</v>
      </c>
      <c r="J434" s="4">
        <v>0</v>
      </c>
      <c r="K434" s="4">
        <v>0</v>
      </c>
      <c r="L434" s="4">
        <v>23.859000000000002</v>
      </c>
      <c r="M434" s="4">
        <v>23.859000000000002</v>
      </c>
      <c r="N434" s="4">
        <v>23.859000000000002</v>
      </c>
      <c r="O434" s="4">
        <v>23.859000000000002</v>
      </c>
      <c r="P434" s="4">
        <v>241</v>
      </c>
      <c r="Q434" s="3" t="s">
        <v>26</v>
      </c>
      <c r="R434" s="3">
        <v>0</v>
      </c>
      <c r="S434" s="4">
        <v>0</v>
      </c>
      <c r="T434" s="4">
        <v>44</v>
      </c>
      <c r="U434" s="4">
        <v>60</v>
      </c>
      <c r="V434" s="4">
        <f>IF(ISERROR(VLOOKUP($S$434,'TAR FIN'!$A$1:$O$91,15,0)),0,VLOOKUP($S$434,'TAR FIN'!$A$1:$O$91,15,0))</f>
        <v>0</v>
      </c>
      <c r="W434" s="4">
        <f>IF(ISERROR(VLOOKUP($T$434,'TAR FIN'!$A$1:$O$91,15,0)),0,VLOOKUP($T$434,'TAR FIN'!$A$1:$O$91,15,0))</f>
        <v>245.2</v>
      </c>
      <c r="X434" s="4">
        <f>IF(ISERROR(VLOOKUP($U$434,'TAR FIN'!$A$1:$O$91,15,0)),0,VLOOKUP($U$434,'TAR FIN'!$A$1:$O$91,15,0))</f>
        <v>249.25</v>
      </c>
      <c r="Y434" s="4"/>
      <c r="Z434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4" s="4">
        <f>('TE BE'!$AB$17+'TE BF'!$AB$17+'TE CVA'!$AB$17)*(1-CUSTOS!$M$37)</f>
        <v>203.38274236935246</v>
      </c>
      <c r="AB434" s="4">
        <f>$K$434*$V$434</f>
        <v>0</v>
      </c>
      <c r="AC434" s="4">
        <f>$M$434*$W$434</f>
        <v>5850.2268000000004</v>
      </c>
      <c r="AD434" s="4">
        <f>$O$434*$X$434</f>
        <v>5946.8557500000006</v>
      </c>
      <c r="AE434" s="4">
        <f>$K$434*$Y$434</f>
        <v>0</v>
      </c>
      <c r="AF434" s="4">
        <f ca="1">$M$434*$Z$434</f>
        <v>6675.9664035583028</v>
      </c>
      <c r="AG434" s="4">
        <f>$O$434*$AA$434</f>
        <v>4852.5088501903811</v>
      </c>
    </row>
    <row r="435" spans="1:33" ht="11.25" customHeight="1" x14ac:dyDescent="0.25">
      <c r="A435" s="3" t="s">
        <v>21</v>
      </c>
      <c r="B435" s="3" t="s">
        <v>22</v>
      </c>
      <c r="C435" s="3" t="s">
        <v>23</v>
      </c>
      <c r="D435" s="3" t="s">
        <v>24</v>
      </c>
      <c r="E435" s="3" t="s">
        <v>32</v>
      </c>
      <c r="F435" s="3" t="s">
        <v>25</v>
      </c>
      <c r="G435" s="3" t="s">
        <v>25</v>
      </c>
      <c r="H435" s="3" t="s">
        <v>25</v>
      </c>
      <c r="I435" s="6">
        <v>44682</v>
      </c>
      <c r="J435" s="4">
        <v>0</v>
      </c>
      <c r="K435" s="4">
        <v>0</v>
      </c>
      <c r="L435" s="4">
        <v>18.257999999999999</v>
      </c>
      <c r="M435" s="4">
        <v>18.257999999999999</v>
      </c>
      <c r="N435" s="4">
        <v>18.257999999999999</v>
      </c>
      <c r="O435" s="4">
        <v>18.257999999999999</v>
      </c>
      <c r="P435" s="4">
        <v>198</v>
      </c>
      <c r="Q435" s="3" t="s">
        <v>26</v>
      </c>
      <c r="R435" s="3">
        <v>0</v>
      </c>
      <c r="S435" s="4">
        <v>0</v>
      </c>
      <c r="T435" s="4">
        <v>44</v>
      </c>
      <c r="U435" s="4">
        <v>60</v>
      </c>
      <c r="V435" s="4">
        <f>IF(ISERROR(VLOOKUP($S$435,'TAR FIN'!$A$1:$O$91,15,0)),0,VLOOKUP($S$435,'TAR FIN'!$A$1:$O$91,15,0))</f>
        <v>0</v>
      </c>
      <c r="W435" s="4">
        <f>IF(ISERROR(VLOOKUP($T$435,'TAR FIN'!$A$1:$O$91,15,0)),0,VLOOKUP($T$435,'TAR FIN'!$A$1:$O$91,15,0))</f>
        <v>245.2</v>
      </c>
      <c r="X435" s="4">
        <f>IF(ISERROR(VLOOKUP($U$435,'TAR FIN'!$A$1:$O$91,15,0)),0,VLOOKUP($U$435,'TAR FIN'!$A$1:$O$91,15,0))</f>
        <v>249.25</v>
      </c>
      <c r="Y435" s="4"/>
      <c r="Z435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5" s="4">
        <f>('TE BE'!$AB$17+'TE BF'!$AB$17+'TE CVA'!$AB$17)*(1-CUSTOS!$M$37)</f>
        <v>203.38274236935246</v>
      </c>
      <c r="AB435" s="4">
        <f>$K$435*$V$435</f>
        <v>0</v>
      </c>
      <c r="AC435" s="4">
        <f>$M$435*$W$435</f>
        <v>4476.8615999999993</v>
      </c>
      <c r="AD435" s="4">
        <f>$O$435*$X$435</f>
        <v>4550.8064999999997</v>
      </c>
      <c r="AE435" s="4">
        <f>$K$435*$Y$435</f>
        <v>0</v>
      </c>
      <c r="AF435" s="4">
        <f ca="1">$M$435*$Z$435</f>
        <v>5108.7553793607221</v>
      </c>
      <c r="AG435" s="4">
        <f>$O$435*$AA$435</f>
        <v>3713.3621101796371</v>
      </c>
    </row>
    <row r="436" spans="1:33" ht="11.25" customHeight="1" x14ac:dyDescent="0.25">
      <c r="A436" s="3" t="s">
        <v>21</v>
      </c>
      <c r="B436" s="3" t="s">
        <v>22</v>
      </c>
      <c r="C436" s="3" t="s">
        <v>23</v>
      </c>
      <c r="D436" s="3" t="s">
        <v>24</v>
      </c>
      <c r="E436" s="3" t="s">
        <v>32</v>
      </c>
      <c r="F436" s="3" t="s">
        <v>25</v>
      </c>
      <c r="G436" s="3" t="s">
        <v>25</v>
      </c>
      <c r="H436" s="3" t="s">
        <v>25</v>
      </c>
      <c r="I436" s="6">
        <v>44713</v>
      </c>
      <c r="J436" s="4">
        <v>0</v>
      </c>
      <c r="K436" s="4">
        <v>0</v>
      </c>
      <c r="L436" s="4">
        <v>26.19</v>
      </c>
      <c r="M436" s="4">
        <v>26.19</v>
      </c>
      <c r="N436" s="4">
        <v>26.19</v>
      </c>
      <c r="O436" s="4">
        <v>26.19</v>
      </c>
      <c r="P436" s="4">
        <v>230</v>
      </c>
      <c r="Q436" s="3" t="s">
        <v>26</v>
      </c>
      <c r="R436" s="3">
        <v>0</v>
      </c>
      <c r="S436" s="4">
        <v>0</v>
      </c>
      <c r="T436" s="4">
        <v>44</v>
      </c>
      <c r="U436" s="4">
        <v>60</v>
      </c>
      <c r="V436" s="4">
        <f>IF(ISERROR(VLOOKUP($S$436,'TAR FIN'!$A$1:$O$91,15,0)),0,VLOOKUP($S$436,'TAR FIN'!$A$1:$O$91,15,0))</f>
        <v>0</v>
      </c>
      <c r="W436" s="4">
        <f>IF(ISERROR(VLOOKUP($T$436,'TAR FIN'!$A$1:$O$91,15,0)),0,VLOOKUP($T$436,'TAR FIN'!$A$1:$O$91,15,0))</f>
        <v>245.2</v>
      </c>
      <c r="X436" s="4">
        <f>IF(ISERROR(VLOOKUP($U$436,'TAR FIN'!$A$1:$O$91,15,0)),0,VLOOKUP($U$436,'TAR FIN'!$A$1:$O$91,15,0))</f>
        <v>249.25</v>
      </c>
      <c r="Y436" s="4"/>
      <c r="Z436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6" s="4">
        <f>('TE BE'!$AB$17+'TE BF'!$AB$17+'TE CVA'!$AB$17)*(1-CUSTOS!$M$37)</f>
        <v>203.38274236935246</v>
      </c>
      <c r="AB436" s="4">
        <f>$K$436*$V$436</f>
        <v>0</v>
      </c>
      <c r="AC436" s="4">
        <f>$M$436*$W$436</f>
        <v>6421.7880000000005</v>
      </c>
      <c r="AD436" s="4">
        <f>$O$436*$X$436</f>
        <v>6527.8575000000001</v>
      </c>
      <c r="AE436" s="4">
        <f>$K$436*$Y$436</f>
        <v>0</v>
      </c>
      <c r="AF436" s="4">
        <f ca="1">$M$436*$Z$436</f>
        <v>7328.201521823712</v>
      </c>
      <c r="AG436" s="4">
        <f>$O$436*$AA$436</f>
        <v>5326.5940226533412</v>
      </c>
    </row>
    <row r="437" spans="1:33" ht="11.25" customHeight="1" x14ac:dyDescent="0.25">
      <c r="A437" s="3" t="s">
        <v>21</v>
      </c>
      <c r="B437" s="3" t="s">
        <v>22</v>
      </c>
      <c r="C437" s="3" t="s">
        <v>23</v>
      </c>
      <c r="D437" s="3" t="s">
        <v>24</v>
      </c>
      <c r="E437" s="3" t="s">
        <v>32</v>
      </c>
      <c r="F437" s="3" t="s">
        <v>25</v>
      </c>
      <c r="G437" s="3" t="s">
        <v>25</v>
      </c>
      <c r="H437" s="3" t="s">
        <v>25</v>
      </c>
      <c r="I437" s="6">
        <v>44743</v>
      </c>
      <c r="J437" s="4">
        <v>0</v>
      </c>
      <c r="K437" s="4">
        <v>0</v>
      </c>
      <c r="L437" s="4">
        <v>23.417000000000002</v>
      </c>
      <c r="M437" s="4">
        <v>23.417000000000002</v>
      </c>
      <c r="N437" s="4">
        <v>23.417000000000002</v>
      </c>
      <c r="O437" s="4">
        <v>23.417000000000002</v>
      </c>
      <c r="P437" s="4">
        <v>215</v>
      </c>
      <c r="Q437" s="3" t="s">
        <v>26</v>
      </c>
      <c r="R437" s="3">
        <v>0</v>
      </c>
      <c r="S437" s="4">
        <v>0</v>
      </c>
      <c r="T437" s="4">
        <v>44</v>
      </c>
      <c r="U437" s="4">
        <v>60</v>
      </c>
      <c r="V437" s="4">
        <f>IF(ISERROR(VLOOKUP($S$437,'TAR FIN'!$A$1:$O$91,15,0)),0,VLOOKUP($S$437,'TAR FIN'!$A$1:$O$91,15,0))</f>
        <v>0</v>
      </c>
      <c r="W437" s="4">
        <f>IF(ISERROR(VLOOKUP($T$437,'TAR FIN'!$A$1:$O$91,15,0)),0,VLOOKUP($T$437,'TAR FIN'!$A$1:$O$91,15,0))</f>
        <v>245.2</v>
      </c>
      <c r="X437" s="4">
        <f>IF(ISERROR(VLOOKUP($U$437,'TAR FIN'!$A$1:$O$91,15,0)),0,VLOOKUP($U$437,'TAR FIN'!$A$1:$O$91,15,0))</f>
        <v>249.25</v>
      </c>
      <c r="Y437" s="4"/>
      <c r="Z437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7" s="4">
        <f>('TE BE'!$AB$17+'TE BF'!$AB$17+'TE CVA'!$AB$17)*(1-CUSTOS!$M$37)</f>
        <v>203.38274236935246</v>
      </c>
      <c r="AB437" s="4">
        <f>$K$437*$V$437</f>
        <v>0</v>
      </c>
      <c r="AC437" s="4">
        <f>$M$437*$W$437</f>
        <v>5741.8483999999999</v>
      </c>
      <c r="AD437" s="4">
        <f>$O$437*$X$437</f>
        <v>5836.6872499999999</v>
      </c>
      <c r="AE437" s="4">
        <f>$K$437*$Y$437</f>
        <v>0</v>
      </c>
      <c r="AF437" s="4">
        <f ca="1">$M$437*$Z$437</f>
        <v>6552.2907612274103</v>
      </c>
      <c r="AG437" s="4">
        <f>$O$437*$AA$437</f>
        <v>4762.6136780631268</v>
      </c>
    </row>
    <row r="438" spans="1:33" ht="11.25" customHeight="1" x14ac:dyDescent="0.25">
      <c r="A438" s="3" t="s">
        <v>21</v>
      </c>
      <c r="B438" s="3" t="s">
        <v>22</v>
      </c>
      <c r="C438" s="3" t="s">
        <v>23</v>
      </c>
      <c r="D438" s="3" t="s">
        <v>24</v>
      </c>
      <c r="E438" s="3" t="s">
        <v>32</v>
      </c>
      <c r="F438" s="3" t="s">
        <v>25</v>
      </c>
      <c r="G438" s="3" t="s">
        <v>25</v>
      </c>
      <c r="H438" s="3" t="s">
        <v>25</v>
      </c>
      <c r="I438" s="6">
        <v>44774</v>
      </c>
      <c r="J438" s="4">
        <v>0</v>
      </c>
      <c r="K438" s="4">
        <v>0</v>
      </c>
      <c r="L438" s="4">
        <v>28.462</v>
      </c>
      <c r="M438" s="4">
        <v>28.462</v>
      </c>
      <c r="N438" s="4">
        <v>28.462</v>
      </c>
      <c r="O438" s="4">
        <v>28.462</v>
      </c>
      <c r="P438" s="4">
        <v>236</v>
      </c>
      <c r="Q438" s="3" t="s">
        <v>26</v>
      </c>
      <c r="R438" s="3">
        <v>0</v>
      </c>
      <c r="S438" s="4">
        <v>0</v>
      </c>
      <c r="T438" s="4">
        <v>44</v>
      </c>
      <c r="U438" s="4">
        <v>60</v>
      </c>
      <c r="V438" s="4">
        <f>IF(ISERROR(VLOOKUP($S$438,'TAR FIN'!$A$1:$O$91,15,0)),0,VLOOKUP($S$438,'TAR FIN'!$A$1:$O$91,15,0))</f>
        <v>0</v>
      </c>
      <c r="W438" s="4">
        <f>IF(ISERROR(VLOOKUP($T$438,'TAR FIN'!$A$1:$O$91,15,0)),0,VLOOKUP($T$438,'TAR FIN'!$A$1:$O$91,15,0))</f>
        <v>245.2</v>
      </c>
      <c r="X438" s="4">
        <f>IF(ISERROR(VLOOKUP($U$438,'TAR FIN'!$A$1:$O$91,15,0)),0,VLOOKUP($U$438,'TAR FIN'!$A$1:$O$91,15,0))</f>
        <v>249.25</v>
      </c>
      <c r="Y438" s="4"/>
      <c r="Z438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438" s="4">
        <f>('TE BE'!$AB$17+'TE BF'!$AB$17+'TE CVA'!$AB$17)*(1-CUSTOS!$M$37)</f>
        <v>203.38274236935246</v>
      </c>
      <c r="AB438" s="4">
        <f>$K$438*$V$438</f>
        <v>0</v>
      </c>
      <c r="AC438" s="4">
        <f>$M$438*$W$438</f>
        <v>6978.8823999999995</v>
      </c>
      <c r="AD438" s="4">
        <f>$O$438*$X$438</f>
        <v>7094.1535000000003</v>
      </c>
      <c r="AE438" s="4">
        <f>$K$438*$Y$438</f>
        <v>0</v>
      </c>
      <c r="AF438" s="4">
        <f ca="1">$M$438*$Z$438</f>
        <v>7963.9279005019653</v>
      </c>
      <c r="AG438" s="4">
        <f>$O$438*$AA$438</f>
        <v>5788.6796133165099</v>
      </c>
    </row>
    <row r="439" spans="1:33" ht="11.25" customHeight="1" x14ac:dyDescent="0.25">
      <c r="A439" s="3" t="s">
        <v>21</v>
      </c>
      <c r="B439" s="3" t="s">
        <v>40</v>
      </c>
      <c r="C439" s="3" t="s">
        <v>23</v>
      </c>
      <c r="D439" s="3" t="s">
        <v>41</v>
      </c>
      <c r="E439" s="3" t="s">
        <v>50</v>
      </c>
      <c r="F439" s="3" t="s">
        <v>51</v>
      </c>
      <c r="G439" s="3" t="s">
        <v>25</v>
      </c>
      <c r="H439" s="3" t="s">
        <v>25</v>
      </c>
      <c r="I439" s="6">
        <v>44440</v>
      </c>
      <c r="J439" s="4">
        <v>0</v>
      </c>
      <c r="K439" s="4">
        <v>0</v>
      </c>
      <c r="L439" s="4">
        <v>0.73099999999999998</v>
      </c>
      <c r="M439" s="4">
        <v>0.73099999999999998</v>
      </c>
      <c r="N439" s="4">
        <v>0.73099999999999998</v>
      </c>
      <c r="O439" s="4">
        <v>0.73099999999999998</v>
      </c>
      <c r="P439" s="4">
        <v>0</v>
      </c>
      <c r="Q439" s="3" t="s">
        <v>26</v>
      </c>
      <c r="R439" s="3">
        <v>0</v>
      </c>
      <c r="S439" s="4">
        <v>0</v>
      </c>
      <c r="T439" s="4">
        <v>24</v>
      </c>
      <c r="U439" s="4">
        <v>63</v>
      </c>
      <c r="V439" s="4">
        <f>IF(ISERROR(VLOOKUP($S$439,'TAR FIN'!$A$1:$O$91,15,0)),0,VLOOKUP($S$439,'TAR FIN'!$A$1:$O$91,15,0))</f>
        <v>0</v>
      </c>
      <c r="W439" s="4">
        <f>IF(ISERROR(VLOOKUP($T$439,'TAR FIN'!$A$1:$O$91,15,0)),0,VLOOKUP($T$439,'TAR FIN'!$A$1:$O$91,15,0))</f>
        <v>275.13</v>
      </c>
      <c r="X439" s="4">
        <f>IF(ISERROR(VLOOKUP($U$439,'TAR FIN'!$A$1:$O$91,15,0)),0,VLOOKUP($U$439,'TAR FIN'!$A$1:$O$91,15,0))</f>
        <v>219.34</v>
      </c>
      <c r="Y439" s="4"/>
      <c r="Z439" s="4">
        <f ca="1">('TUSD BE'!$AM$36+'TUSD BF'!$AM$36+'TUSD CVA'!$AM$36)*(1-CUSTOS!$M$38)</f>
        <v>364.4729686309102</v>
      </c>
      <c r="AA439" s="4">
        <f>('TE BE'!$AB$26+'TE BF'!$AB$26+'TE CVA'!$AB$26)*(1-CUSTOS!$M$38)</f>
        <v>191.17977782719129</v>
      </c>
      <c r="AB439" s="4">
        <f>$K$439*$V$439</f>
        <v>0</v>
      </c>
      <c r="AC439" s="4">
        <f>$M$439*$W$439</f>
        <v>201.12002999999999</v>
      </c>
      <c r="AD439" s="4">
        <f>$O$439*$X$439</f>
        <v>160.33753999999999</v>
      </c>
      <c r="AE439" s="4">
        <f>$K$439*$Y$439</f>
        <v>0</v>
      </c>
      <c r="AF439" s="4">
        <f ca="1">$M$439*$Z$439</f>
        <v>266.42974006919536</v>
      </c>
      <c r="AG439" s="4">
        <f>$O$439*$AA$439</f>
        <v>139.75241759167682</v>
      </c>
    </row>
    <row r="440" spans="1:33" ht="11.25" customHeight="1" x14ac:dyDescent="0.25">
      <c r="A440" s="3" t="s">
        <v>21</v>
      </c>
      <c r="B440" s="3" t="s">
        <v>40</v>
      </c>
      <c r="C440" s="3" t="s">
        <v>23</v>
      </c>
      <c r="D440" s="3" t="s">
        <v>41</v>
      </c>
      <c r="E440" s="3" t="s">
        <v>50</v>
      </c>
      <c r="F440" s="3" t="s">
        <v>51</v>
      </c>
      <c r="G440" s="3" t="s">
        <v>25</v>
      </c>
      <c r="H440" s="3" t="s">
        <v>25</v>
      </c>
      <c r="I440" s="6">
        <v>44470</v>
      </c>
      <c r="J440" s="4">
        <v>0</v>
      </c>
      <c r="K440" s="4">
        <v>0</v>
      </c>
      <c r="L440" s="4">
        <v>0.50800000000000001</v>
      </c>
      <c r="M440" s="4">
        <v>0.50800000000000001</v>
      </c>
      <c r="N440" s="4">
        <v>0.50800000000000001</v>
      </c>
      <c r="O440" s="4">
        <v>0.50800000000000001</v>
      </c>
      <c r="P440" s="4">
        <v>0</v>
      </c>
      <c r="Q440" s="3" t="s">
        <v>26</v>
      </c>
      <c r="R440" s="3">
        <v>0</v>
      </c>
      <c r="S440" s="4">
        <v>0</v>
      </c>
      <c r="T440" s="4">
        <v>24</v>
      </c>
      <c r="U440" s="4">
        <v>63</v>
      </c>
      <c r="V440" s="4">
        <f>IF(ISERROR(VLOOKUP($S$440,'TAR FIN'!$A$1:$O$91,15,0)),0,VLOOKUP($S$440,'TAR FIN'!$A$1:$O$91,15,0))</f>
        <v>0</v>
      </c>
      <c r="W440" s="4">
        <f>IF(ISERROR(VLOOKUP($T$440,'TAR FIN'!$A$1:$O$91,15,0)),0,VLOOKUP($T$440,'TAR FIN'!$A$1:$O$91,15,0))</f>
        <v>275.13</v>
      </c>
      <c r="X440" s="4">
        <f>IF(ISERROR(VLOOKUP($U$440,'TAR FIN'!$A$1:$O$91,15,0)),0,VLOOKUP($U$440,'TAR FIN'!$A$1:$O$91,15,0))</f>
        <v>219.34</v>
      </c>
      <c r="Y440" s="4"/>
      <c r="Z440" s="4">
        <f ca="1">('TUSD BE'!$AM$36+'TUSD BF'!$AM$36+'TUSD CVA'!$AM$36)*(1-CUSTOS!$M$38)</f>
        <v>364.4729686309102</v>
      </c>
      <c r="AA440" s="4">
        <f>('TE BE'!$AB$26+'TE BF'!$AB$26+'TE CVA'!$AB$26)*(1-CUSTOS!$M$38)</f>
        <v>191.17977782719129</v>
      </c>
      <c r="AB440" s="4">
        <f>$K$440*$V$440</f>
        <v>0</v>
      </c>
      <c r="AC440" s="4">
        <f>$M$440*$W$440</f>
        <v>139.76604</v>
      </c>
      <c r="AD440" s="4">
        <f>$O$440*$X$440</f>
        <v>111.42472000000001</v>
      </c>
      <c r="AE440" s="4">
        <f>$K$440*$Y$440</f>
        <v>0</v>
      </c>
      <c r="AF440" s="4">
        <f ca="1">$M$440*$Z$440</f>
        <v>185.15226806450238</v>
      </c>
      <c r="AG440" s="4">
        <f>$O$440*$AA$440</f>
        <v>97.119327136213172</v>
      </c>
    </row>
    <row r="441" spans="1:33" ht="11.25" customHeight="1" x14ac:dyDescent="0.25">
      <c r="A441" s="3" t="s">
        <v>21</v>
      </c>
      <c r="B441" s="3" t="s">
        <v>40</v>
      </c>
      <c r="C441" s="3" t="s">
        <v>23</v>
      </c>
      <c r="D441" s="3" t="s">
        <v>41</v>
      </c>
      <c r="E441" s="3" t="s">
        <v>50</v>
      </c>
      <c r="F441" s="3" t="s">
        <v>51</v>
      </c>
      <c r="G441" s="3" t="s">
        <v>25</v>
      </c>
      <c r="H441" s="3" t="s">
        <v>25</v>
      </c>
      <c r="I441" s="6">
        <v>44501</v>
      </c>
      <c r="J441" s="4">
        <v>0</v>
      </c>
      <c r="K441" s="4">
        <v>0</v>
      </c>
      <c r="L441" s="4">
        <v>1.038</v>
      </c>
      <c r="M441" s="4">
        <v>1.038</v>
      </c>
      <c r="N441" s="4">
        <v>1.038</v>
      </c>
      <c r="O441" s="4">
        <v>1.038</v>
      </c>
      <c r="P441" s="4">
        <v>0</v>
      </c>
      <c r="Q441" s="3" t="s">
        <v>26</v>
      </c>
      <c r="R441" s="3">
        <v>0</v>
      </c>
      <c r="S441" s="4">
        <v>0</v>
      </c>
      <c r="T441" s="4">
        <v>24</v>
      </c>
      <c r="U441" s="4">
        <v>63</v>
      </c>
      <c r="V441" s="4">
        <f>IF(ISERROR(VLOOKUP($S$441,'TAR FIN'!$A$1:$O$91,15,0)),0,VLOOKUP($S$441,'TAR FIN'!$A$1:$O$91,15,0))</f>
        <v>0</v>
      </c>
      <c r="W441" s="4">
        <f>IF(ISERROR(VLOOKUP($T$441,'TAR FIN'!$A$1:$O$91,15,0)),0,VLOOKUP($T$441,'TAR FIN'!$A$1:$O$91,15,0))</f>
        <v>275.13</v>
      </c>
      <c r="X441" s="4">
        <f>IF(ISERROR(VLOOKUP($U$441,'TAR FIN'!$A$1:$O$91,15,0)),0,VLOOKUP($U$441,'TAR FIN'!$A$1:$O$91,15,0))</f>
        <v>219.34</v>
      </c>
      <c r="Y441" s="4"/>
      <c r="Z441" s="4">
        <f ca="1">('TUSD BE'!$AM$36+'TUSD BF'!$AM$36+'TUSD CVA'!$AM$36)*(1-CUSTOS!$M$38)</f>
        <v>364.4729686309102</v>
      </c>
      <c r="AA441" s="4">
        <f>('TE BE'!$AB$26+'TE BF'!$AB$26+'TE CVA'!$AB$26)*(1-CUSTOS!$M$38)</f>
        <v>191.17977782719129</v>
      </c>
      <c r="AB441" s="4">
        <f>$K$441*$V$441</f>
        <v>0</v>
      </c>
      <c r="AC441" s="4">
        <f>$M$441*$W$441</f>
        <v>285.58494000000002</v>
      </c>
      <c r="AD441" s="4">
        <f>$O$441*$X$441</f>
        <v>227.67492000000001</v>
      </c>
      <c r="AE441" s="4">
        <f>$K$441*$Y$441</f>
        <v>0</v>
      </c>
      <c r="AF441" s="4">
        <f ca="1">$M$441*$Z$441</f>
        <v>378.32294143888481</v>
      </c>
      <c r="AG441" s="4">
        <f>$O$441*$AA$441</f>
        <v>198.44460938462456</v>
      </c>
    </row>
    <row r="442" spans="1:33" ht="11.25" customHeight="1" x14ac:dyDescent="0.25">
      <c r="A442" s="3" t="s">
        <v>21</v>
      </c>
      <c r="B442" s="3" t="s">
        <v>40</v>
      </c>
      <c r="C442" s="3" t="s">
        <v>23</v>
      </c>
      <c r="D442" s="3" t="s">
        <v>41</v>
      </c>
      <c r="E442" s="3" t="s">
        <v>50</v>
      </c>
      <c r="F442" s="3" t="s">
        <v>51</v>
      </c>
      <c r="G442" s="3" t="s">
        <v>25</v>
      </c>
      <c r="H442" s="3" t="s">
        <v>25</v>
      </c>
      <c r="I442" s="6">
        <v>44531</v>
      </c>
      <c r="J442" s="4">
        <v>0</v>
      </c>
      <c r="K442" s="4">
        <v>0</v>
      </c>
      <c r="L442" s="4">
        <v>1.57</v>
      </c>
      <c r="M442" s="4">
        <v>1.57</v>
      </c>
      <c r="N442" s="4">
        <v>1.57</v>
      </c>
      <c r="O442" s="4">
        <v>1.57</v>
      </c>
      <c r="P442" s="4">
        <v>0</v>
      </c>
      <c r="Q442" s="3" t="s">
        <v>26</v>
      </c>
      <c r="R442" s="3">
        <v>0</v>
      </c>
      <c r="S442" s="4">
        <v>0</v>
      </c>
      <c r="T442" s="4">
        <v>24</v>
      </c>
      <c r="U442" s="4">
        <v>63</v>
      </c>
      <c r="V442" s="4">
        <f>IF(ISERROR(VLOOKUP($S$442,'TAR FIN'!$A$1:$O$91,15,0)),0,VLOOKUP($S$442,'TAR FIN'!$A$1:$O$91,15,0))</f>
        <v>0</v>
      </c>
      <c r="W442" s="4">
        <f>IF(ISERROR(VLOOKUP($T$442,'TAR FIN'!$A$1:$O$91,15,0)),0,VLOOKUP($T$442,'TAR FIN'!$A$1:$O$91,15,0))</f>
        <v>275.13</v>
      </c>
      <c r="X442" s="4">
        <f>IF(ISERROR(VLOOKUP($U$442,'TAR FIN'!$A$1:$O$91,15,0)),0,VLOOKUP($U$442,'TAR FIN'!$A$1:$O$91,15,0))</f>
        <v>219.34</v>
      </c>
      <c r="Y442" s="4"/>
      <c r="Z442" s="4">
        <f ca="1">('TUSD BE'!$AM$36+'TUSD BF'!$AM$36+'TUSD CVA'!$AM$36)*(1-CUSTOS!$M$38)</f>
        <v>364.4729686309102</v>
      </c>
      <c r="AA442" s="4">
        <f>('TE BE'!$AB$26+'TE BF'!$AB$26+'TE CVA'!$AB$26)*(1-CUSTOS!$M$38)</f>
        <v>191.17977782719129</v>
      </c>
      <c r="AB442" s="4">
        <f>$K$442*$V$442</f>
        <v>0</v>
      </c>
      <c r="AC442" s="4">
        <f>$M$442*$W$442</f>
        <v>431.95409999999998</v>
      </c>
      <c r="AD442" s="4">
        <f>$O$442*$X$442</f>
        <v>344.36380000000003</v>
      </c>
      <c r="AE442" s="4">
        <f>$K$442*$Y$442</f>
        <v>0</v>
      </c>
      <c r="AF442" s="4">
        <f ca="1">$M$442*$Z$442</f>
        <v>572.22256075052906</v>
      </c>
      <c r="AG442" s="4">
        <f>$O$442*$AA$442</f>
        <v>300.15225118869034</v>
      </c>
    </row>
    <row r="443" spans="1:33" ht="11.25" customHeight="1" x14ac:dyDescent="0.25">
      <c r="A443" s="3" t="s">
        <v>21</v>
      </c>
      <c r="B443" s="3" t="s">
        <v>40</v>
      </c>
      <c r="C443" s="3" t="s">
        <v>23</v>
      </c>
      <c r="D443" s="3" t="s">
        <v>41</v>
      </c>
      <c r="E443" s="3" t="s">
        <v>50</v>
      </c>
      <c r="F443" s="3" t="s">
        <v>51</v>
      </c>
      <c r="G443" s="3" t="s">
        <v>25</v>
      </c>
      <c r="H443" s="3" t="s">
        <v>25</v>
      </c>
      <c r="I443" s="6">
        <v>44562</v>
      </c>
      <c r="J443" s="4">
        <v>0</v>
      </c>
      <c r="K443" s="4">
        <v>0</v>
      </c>
      <c r="L443" s="4">
        <v>2.165</v>
      </c>
      <c r="M443" s="4">
        <v>2.165</v>
      </c>
      <c r="N443" s="4">
        <v>2.165</v>
      </c>
      <c r="O443" s="4">
        <v>2.165</v>
      </c>
      <c r="P443" s="4">
        <v>0</v>
      </c>
      <c r="Q443" s="3" t="s">
        <v>26</v>
      </c>
      <c r="R443" s="3">
        <v>0</v>
      </c>
      <c r="S443" s="4">
        <v>0</v>
      </c>
      <c r="T443" s="4">
        <v>24</v>
      </c>
      <c r="U443" s="4">
        <v>63</v>
      </c>
      <c r="V443" s="4">
        <f>IF(ISERROR(VLOOKUP($S$443,'TAR FIN'!$A$1:$O$91,15,0)),0,VLOOKUP($S$443,'TAR FIN'!$A$1:$O$91,15,0))</f>
        <v>0</v>
      </c>
      <c r="W443" s="4">
        <f>IF(ISERROR(VLOOKUP($T$443,'TAR FIN'!$A$1:$O$91,15,0)),0,VLOOKUP($T$443,'TAR FIN'!$A$1:$O$91,15,0))</f>
        <v>275.13</v>
      </c>
      <c r="X443" s="4">
        <f>IF(ISERROR(VLOOKUP($U$443,'TAR FIN'!$A$1:$O$91,15,0)),0,VLOOKUP($U$443,'TAR FIN'!$A$1:$O$91,15,0))</f>
        <v>219.34</v>
      </c>
      <c r="Y443" s="4"/>
      <c r="Z443" s="4">
        <f ca="1">('TUSD BE'!$AM$36+'TUSD BF'!$AM$36+'TUSD CVA'!$AM$36)*(1-CUSTOS!$M$38)</f>
        <v>364.4729686309102</v>
      </c>
      <c r="AA443" s="4">
        <f>('TE BE'!$AB$26+'TE BF'!$AB$26+'TE CVA'!$AB$26)*(1-CUSTOS!$M$38)</f>
        <v>191.17977782719129</v>
      </c>
      <c r="AB443" s="4">
        <f>$K$443*$V$443</f>
        <v>0</v>
      </c>
      <c r="AC443" s="4">
        <f>$M$443*$W$443</f>
        <v>595.65644999999995</v>
      </c>
      <c r="AD443" s="4">
        <f>$O$443*$X$443</f>
        <v>474.87110000000001</v>
      </c>
      <c r="AE443" s="4">
        <f>$K$443*$Y$443</f>
        <v>0</v>
      </c>
      <c r="AF443" s="4">
        <f ca="1">$M$443*$Z$443</f>
        <v>789.08397708592065</v>
      </c>
      <c r="AG443" s="4">
        <f>$O$443*$AA$443</f>
        <v>413.90421899586914</v>
      </c>
    </row>
    <row r="444" spans="1:33" ht="11.25" customHeight="1" x14ac:dyDescent="0.25">
      <c r="A444" s="3" t="s">
        <v>21</v>
      </c>
      <c r="B444" s="3" t="s">
        <v>40</v>
      </c>
      <c r="C444" s="3" t="s">
        <v>23</v>
      </c>
      <c r="D444" s="3" t="s">
        <v>41</v>
      </c>
      <c r="E444" s="3" t="s">
        <v>50</v>
      </c>
      <c r="F444" s="3" t="s">
        <v>51</v>
      </c>
      <c r="G444" s="3" t="s">
        <v>25</v>
      </c>
      <c r="H444" s="3" t="s">
        <v>25</v>
      </c>
      <c r="I444" s="6">
        <v>44593</v>
      </c>
      <c r="J444" s="4">
        <v>0</v>
      </c>
      <c r="K444" s="4">
        <v>0</v>
      </c>
      <c r="L444" s="4">
        <v>1.4279999999999999</v>
      </c>
      <c r="M444" s="4">
        <v>1.4279999999999999</v>
      </c>
      <c r="N444" s="4">
        <v>1.4279999999999999</v>
      </c>
      <c r="O444" s="4">
        <v>1.4279999999999999</v>
      </c>
      <c r="P444" s="4">
        <v>0</v>
      </c>
      <c r="Q444" s="3" t="s">
        <v>26</v>
      </c>
      <c r="R444" s="3">
        <v>0</v>
      </c>
      <c r="S444" s="4">
        <v>0</v>
      </c>
      <c r="T444" s="4">
        <v>24</v>
      </c>
      <c r="U444" s="4">
        <v>63</v>
      </c>
      <c r="V444" s="4">
        <f>IF(ISERROR(VLOOKUP($S$444,'TAR FIN'!$A$1:$O$91,15,0)),0,VLOOKUP($S$444,'TAR FIN'!$A$1:$O$91,15,0))</f>
        <v>0</v>
      </c>
      <c r="W444" s="4">
        <f>IF(ISERROR(VLOOKUP($T$444,'TAR FIN'!$A$1:$O$91,15,0)),0,VLOOKUP($T$444,'TAR FIN'!$A$1:$O$91,15,0))</f>
        <v>275.13</v>
      </c>
      <c r="X444" s="4">
        <f>IF(ISERROR(VLOOKUP($U$444,'TAR FIN'!$A$1:$O$91,15,0)),0,VLOOKUP($U$444,'TAR FIN'!$A$1:$O$91,15,0))</f>
        <v>219.34</v>
      </c>
      <c r="Y444" s="4"/>
      <c r="Z444" s="4">
        <f ca="1">('TUSD BE'!$AM$36+'TUSD BF'!$AM$36+'TUSD CVA'!$AM$36)*(1-CUSTOS!$M$38)</f>
        <v>364.4729686309102</v>
      </c>
      <c r="AA444" s="4">
        <f>('TE BE'!$AB$26+'TE BF'!$AB$26+'TE CVA'!$AB$26)*(1-CUSTOS!$M$38)</f>
        <v>191.17977782719129</v>
      </c>
      <c r="AB444" s="4">
        <f>$K$444*$V$444</f>
        <v>0</v>
      </c>
      <c r="AC444" s="4">
        <f>$M$444*$W$444</f>
        <v>392.88563999999997</v>
      </c>
      <c r="AD444" s="4">
        <f>$O$444*$X$444</f>
        <v>313.21751999999998</v>
      </c>
      <c r="AE444" s="4">
        <f>$K$444*$Y$444</f>
        <v>0</v>
      </c>
      <c r="AF444" s="4">
        <f ca="1">$M$444*$Z$444</f>
        <v>520.46739920493974</v>
      </c>
      <c r="AG444" s="4">
        <f>$O$444*$AA$444</f>
        <v>273.00472273722914</v>
      </c>
    </row>
    <row r="445" spans="1:33" ht="11.25" customHeight="1" x14ac:dyDescent="0.25">
      <c r="A445" s="3" t="s">
        <v>21</v>
      </c>
      <c r="B445" s="3" t="s">
        <v>40</v>
      </c>
      <c r="C445" s="3" t="s">
        <v>23</v>
      </c>
      <c r="D445" s="3" t="s">
        <v>41</v>
      </c>
      <c r="E445" s="3" t="s">
        <v>50</v>
      </c>
      <c r="F445" s="3" t="s">
        <v>51</v>
      </c>
      <c r="G445" s="3" t="s">
        <v>25</v>
      </c>
      <c r="H445" s="3" t="s">
        <v>25</v>
      </c>
      <c r="I445" s="6">
        <v>44621</v>
      </c>
      <c r="J445" s="4">
        <v>0</v>
      </c>
      <c r="K445" s="4">
        <v>0</v>
      </c>
      <c r="L445" s="4">
        <v>0.57299999999999995</v>
      </c>
      <c r="M445" s="4">
        <v>0.57299999999999995</v>
      </c>
      <c r="N445" s="4">
        <v>0.57299999999999995</v>
      </c>
      <c r="O445" s="4">
        <v>0.57299999999999995</v>
      </c>
      <c r="P445" s="4">
        <v>0</v>
      </c>
      <c r="Q445" s="3" t="s">
        <v>26</v>
      </c>
      <c r="R445" s="3">
        <v>0</v>
      </c>
      <c r="S445" s="4">
        <v>0</v>
      </c>
      <c r="T445" s="4">
        <v>24</v>
      </c>
      <c r="U445" s="4">
        <v>63</v>
      </c>
      <c r="V445" s="4">
        <f>IF(ISERROR(VLOOKUP($S$445,'TAR FIN'!$A$1:$O$91,15,0)),0,VLOOKUP($S$445,'TAR FIN'!$A$1:$O$91,15,0))</f>
        <v>0</v>
      </c>
      <c r="W445" s="4">
        <f>IF(ISERROR(VLOOKUP($T$445,'TAR FIN'!$A$1:$O$91,15,0)),0,VLOOKUP($T$445,'TAR FIN'!$A$1:$O$91,15,0))</f>
        <v>275.13</v>
      </c>
      <c r="X445" s="4">
        <f>IF(ISERROR(VLOOKUP($U$445,'TAR FIN'!$A$1:$O$91,15,0)),0,VLOOKUP($U$445,'TAR FIN'!$A$1:$O$91,15,0))</f>
        <v>219.34</v>
      </c>
      <c r="Y445" s="4"/>
      <c r="Z445" s="4">
        <f ca="1">('TUSD BE'!$AM$36+'TUSD BF'!$AM$36+'TUSD CVA'!$AM$36)*(1-CUSTOS!$M$38)</f>
        <v>364.4729686309102</v>
      </c>
      <c r="AA445" s="4">
        <f>('TE BE'!$AB$26+'TE BF'!$AB$26+'TE CVA'!$AB$26)*(1-CUSTOS!$M$38)</f>
        <v>191.17977782719129</v>
      </c>
      <c r="AB445" s="4">
        <f>$K$445*$V$445</f>
        <v>0</v>
      </c>
      <c r="AC445" s="4">
        <f>$M$445*$W$445</f>
        <v>157.64948999999999</v>
      </c>
      <c r="AD445" s="4">
        <f>$O$445*$X$445</f>
        <v>125.68181999999999</v>
      </c>
      <c r="AE445" s="4">
        <f>$K$445*$Y$445</f>
        <v>0</v>
      </c>
      <c r="AF445" s="4">
        <f ca="1">$M$445*$Z$445</f>
        <v>208.84301102551152</v>
      </c>
      <c r="AG445" s="4">
        <f>$O$445*$AA$445</f>
        <v>109.5460126949806</v>
      </c>
    </row>
    <row r="446" spans="1:33" ht="11.25" customHeight="1" x14ac:dyDescent="0.25">
      <c r="A446" s="3" t="s">
        <v>21</v>
      </c>
      <c r="B446" s="3" t="s">
        <v>40</v>
      </c>
      <c r="C446" s="3" t="s">
        <v>23</v>
      </c>
      <c r="D446" s="3" t="s">
        <v>41</v>
      </c>
      <c r="E446" s="3" t="s">
        <v>50</v>
      </c>
      <c r="F446" s="3" t="s">
        <v>51</v>
      </c>
      <c r="G446" s="3" t="s">
        <v>25</v>
      </c>
      <c r="H446" s="3" t="s">
        <v>25</v>
      </c>
      <c r="I446" s="6">
        <v>44652</v>
      </c>
      <c r="J446" s="4">
        <v>0</v>
      </c>
      <c r="K446" s="4">
        <v>0</v>
      </c>
      <c r="L446" s="4">
        <v>0.623</v>
      </c>
      <c r="M446" s="4">
        <v>0.623</v>
      </c>
      <c r="N446" s="4">
        <v>0.623</v>
      </c>
      <c r="O446" s="4">
        <v>0.623</v>
      </c>
      <c r="P446" s="4">
        <v>0</v>
      </c>
      <c r="Q446" s="3" t="s">
        <v>26</v>
      </c>
      <c r="R446" s="3">
        <v>0</v>
      </c>
      <c r="S446" s="4">
        <v>0</v>
      </c>
      <c r="T446" s="4">
        <v>24</v>
      </c>
      <c r="U446" s="4">
        <v>63</v>
      </c>
      <c r="V446" s="4">
        <f>IF(ISERROR(VLOOKUP($S$446,'TAR FIN'!$A$1:$O$91,15,0)),0,VLOOKUP($S$446,'TAR FIN'!$A$1:$O$91,15,0))</f>
        <v>0</v>
      </c>
      <c r="W446" s="4">
        <f>IF(ISERROR(VLOOKUP($T$446,'TAR FIN'!$A$1:$O$91,15,0)),0,VLOOKUP($T$446,'TAR FIN'!$A$1:$O$91,15,0))</f>
        <v>275.13</v>
      </c>
      <c r="X446" s="4">
        <f>IF(ISERROR(VLOOKUP($U$446,'TAR FIN'!$A$1:$O$91,15,0)),0,VLOOKUP($U$446,'TAR FIN'!$A$1:$O$91,15,0))</f>
        <v>219.34</v>
      </c>
      <c r="Y446" s="4"/>
      <c r="Z446" s="4">
        <f ca="1">('TUSD BE'!$AM$36+'TUSD BF'!$AM$36+'TUSD CVA'!$AM$36)*(1-CUSTOS!$M$38)</f>
        <v>364.4729686309102</v>
      </c>
      <c r="AA446" s="4">
        <f>('TE BE'!$AB$26+'TE BF'!$AB$26+'TE CVA'!$AB$26)*(1-CUSTOS!$M$38)</f>
        <v>191.17977782719129</v>
      </c>
      <c r="AB446" s="4">
        <f>$K$446*$V$446</f>
        <v>0</v>
      </c>
      <c r="AC446" s="4">
        <f>$M$446*$W$446</f>
        <v>171.40599</v>
      </c>
      <c r="AD446" s="4">
        <f>$O$446*$X$446</f>
        <v>136.64882</v>
      </c>
      <c r="AE446" s="4">
        <f>$K$446*$Y$446</f>
        <v>0</v>
      </c>
      <c r="AF446" s="4">
        <f ca="1">$M$446*$Z$446</f>
        <v>227.06665945705706</v>
      </c>
      <c r="AG446" s="4">
        <f>$O$446*$AA$446</f>
        <v>119.10500158634017</v>
      </c>
    </row>
    <row r="447" spans="1:33" ht="11.25" customHeight="1" x14ac:dyDescent="0.25">
      <c r="A447" s="3" t="s">
        <v>21</v>
      </c>
      <c r="B447" s="3" t="s">
        <v>40</v>
      </c>
      <c r="C447" s="3" t="s">
        <v>23</v>
      </c>
      <c r="D447" s="3" t="s">
        <v>41</v>
      </c>
      <c r="E447" s="3" t="s">
        <v>50</v>
      </c>
      <c r="F447" s="3" t="s">
        <v>51</v>
      </c>
      <c r="G447" s="3" t="s">
        <v>25</v>
      </c>
      <c r="H447" s="3" t="s">
        <v>25</v>
      </c>
      <c r="I447" s="6">
        <v>44682</v>
      </c>
      <c r="J447" s="4">
        <v>0</v>
      </c>
      <c r="K447" s="4">
        <v>0</v>
      </c>
      <c r="L447" s="4">
        <v>0.71699999999999997</v>
      </c>
      <c r="M447" s="4">
        <v>0.71699999999999997</v>
      </c>
      <c r="N447" s="4">
        <v>0.71699999999999997</v>
      </c>
      <c r="O447" s="4">
        <v>0.71699999999999997</v>
      </c>
      <c r="P447" s="4">
        <v>0</v>
      </c>
      <c r="Q447" s="3" t="s">
        <v>26</v>
      </c>
      <c r="R447" s="3">
        <v>0</v>
      </c>
      <c r="S447" s="4">
        <v>0</v>
      </c>
      <c r="T447" s="4">
        <v>24</v>
      </c>
      <c r="U447" s="4">
        <v>63</v>
      </c>
      <c r="V447" s="4">
        <f>IF(ISERROR(VLOOKUP($S$447,'TAR FIN'!$A$1:$O$91,15,0)),0,VLOOKUP($S$447,'TAR FIN'!$A$1:$O$91,15,0))</f>
        <v>0</v>
      </c>
      <c r="W447" s="4">
        <f>IF(ISERROR(VLOOKUP($T$447,'TAR FIN'!$A$1:$O$91,15,0)),0,VLOOKUP($T$447,'TAR FIN'!$A$1:$O$91,15,0))</f>
        <v>275.13</v>
      </c>
      <c r="X447" s="4">
        <f>IF(ISERROR(VLOOKUP($U$447,'TAR FIN'!$A$1:$O$91,15,0)),0,VLOOKUP($U$447,'TAR FIN'!$A$1:$O$91,15,0))</f>
        <v>219.34</v>
      </c>
      <c r="Y447" s="4"/>
      <c r="Z447" s="4">
        <f ca="1">('TUSD BE'!$AM$36+'TUSD BF'!$AM$36+'TUSD CVA'!$AM$36)*(1-CUSTOS!$M$38)</f>
        <v>364.4729686309102</v>
      </c>
      <c r="AA447" s="4">
        <f>('TE BE'!$AB$26+'TE BF'!$AB$26+'TE CVA'!$AB$26)*(1-CUSTOS!$M$38)</f>
        <v>191.17977782719129</v>
      </c>
      <c r="AB447" s="4">
        <f>$K$447*$V$447</f>
        <v>0</v>
      </c>
      <c r="AC447" s="4">
        <f>$M$447*$W$447</f>
        <v>197.26820999999998</v>
      </c>
      <c r="AD447" s="4">
        <f>$O$447*$X$447</f>
        <v>157.26677999999998</v>
      </c>
      <c r="AE447" s="4">
        <f>$K$447*$Y$447</f>
        <v>0</v>
      </c>
      <c r="AF447" s="4">
        <f ca="1">$M$447*$Z$447</f>
        <v>261.32711850836262</v>
      </c>
      <c r="AG447" s="4">
        <f>$O$447*$AA$447</f>
        <v>137.07590070209613</v>
      </c>
    </row>
    <row r="448" spans="1:33" ht="11.25" customHeight="1" x14ac:dyDescent="0.25">
      <c r="A448" s="3" t="s">
        <v>21</v>
      </c>
      <c r="B448" s="3" t="s">
        <v>40</v>
      </c>
      <c r="C448" s="3" t="s">
        <v>23</v>
      </c>
      <c r="D448" s="3" t="s">
        <v>41</v>
      </c>
      <c r="E448" s="3" t="s">
        <v>50</v>
      </c>
      <c r="F448" s="3" t="s">
        <v>51</v>
      </c>
      <c r="G448" s="3" t="s">
        <v>25</v>
      </c>
      <c r="H448" s="3" t="s">
        <v>25</v>
      </c>
      <c r="I448" s="6">
        <v>44713</v>
      </c>
      <c r="J448" s="4">
        <v>0</v>
      </c>
      <c r="K448" s="4">
        <v>0</v>
      </c>
      <c r="L448" s="4">
        <v>0.83799999999999997</v>
      </c>
      <c r="M448" s="4">
        <v>0.83799999999999997</v>
      </c>
      <c r="N448" s="4">
        <v>0.83799999999999997</v>
      </c>
      <c r="O448" s="4">
        <v>0.83799999999999997</v>
      </c>
      <c r="P448" s="4">
        <v>0</v>
      </c>
      <c r="Q448" s="3" t="s">
        <v>26</v>
      </c>
      <c r="R448" s="3">
        <v>0</v>
      </c>
      <c r="S448" s="4">
        <v>0</v>
      </c>
      <c r="T448" s="4">
        <v>24</v>
      </c>
      <c r="U448" s="4">
        <v>63</v>
      </c>
      <c r="V448" s="4">
        <f>IF(ISERROR(VLOOKUP($S$448,'TAR FIN'!$A$1:$O$91,15,0)),0,VLOOKUP($S$448,'TAR FIN'!$A$1:$O$91,15,0))</f>
        <v>0</v>
      </c>
      <c r="W448" s="4">
        <f>IF(ISERROR(VLOOKUP($T$448,'TAR FIN'!$A$1:$O$91,15,0)),0,VLOOKUP($T$448,'TAR FIN'!$A$1:$O$91,15,0))</f>
        <v>275.13</v>
      </c>
      <c r="X448" s="4">
        <f>IF(ISERROR(VLOOKUP($U$448,'TAR FIN'!$A$1:$O$91,15,0)),0,VLOOKUP($U$448,'TAR FIN'!$A$1:$O$91,15,0))</f>
        <v>219.34</v>
      </c>
      <c r="Y448" s="4"/>
      <c r="Z448" s="4">
        <f ca="1">('TUSD BE'!$AM$36+'TUSD BF'!$AM$36+'TUSD CVA'!$AM$36)*(1-CUSTOS!$M$38)</f>
        <v>364.4729686309102</v>
      </c>
      <c r="AA448" s="4">
        <f>('TE BE'!$AB$26+'TE BF'!$AB$26+'TE CVA'!$AB$26)*(1-CUSTOS!$M$38)</f>
        <v>191.17977782719129</v>
      </c>
      <c r="AB448" s="4">
        <f>$K$448*$V$448</f>
        <v>0</v>
      </c>
      <c r="AC448" s="4">
        <f>$M$448*$W$448</f>
        <v>230.55893999999998</v>
      </c>
      <c r="AD448" s="4">
        <f>$O$448*$X$448</f>
        <v>183.80691999999999</v>
      </c>
      <c r="AE448" s="4">
        <f>$K$448*$Y$448</f>
        <v>0</v>
      </c>
      <c r="AF448" s="4">
        <f ca="1">$M$448*$Z$448</f>
        <v>305.42834771270276</v>
      </c>
      <c r="AG448" s="4">
        <f>$O$448*$AA$448</f>
        <v>160.20865381918628</v>
      </c>
    </row>
    <row r="449" spans="1:33" ht="11.25" customHeight="1" x14ac:dyDescent="0.25">
      <c r="A449" s="3" t="s">
        <v>21</v>
      </c>
      <c r="B449" s="3" t="s">
        <v>40</v>
      </c>
      <c r="C449" s="3" t="s">
        <v>23</v>
      </c>
      <c r="D449" s="3" t="s">
        <v>41</v>
      </c>
      <c r="E449" s="3" t="s">
        <v>50</v>
      </c>
      <c r="F449" s="3" t="s">
        <v>51</v>
      </c>
      <c r="G449" s="3" t="s">
        <v>25</v>
      </c>
      <c r="H449" s="3" t="s">
        <v>25</v>
      </c>
      <c r="I449" s="6">
        <v>44743</v>
      </c>
      <c r="J449" s="4">
        <v>0</v>
      </c>
      <c r="K449" s="4">
        <v>0</v>
      </c>
      <c r="L449" s="4">
        <v>0.749</v>
      </c>
      <c r="M449" s="4">
        <v>0.749</v>
      </c>
      <c r="N449" s="4">
        <v>0.749</v>
      </c>
      <c r="O449" s="4">
        <v>0.749</v>
      </c>
      <c r="P449" s="4">
        <v>0</v>
      </c>
      <c r="Q449" s="3" t="s">
        <v>26</v>
      </c>
      <c r="R449" s="3">
        <v>0</v>
      </c>
      <c r="S449" s="4">
        <v>0</v>
      </c>
      <c r="T449" s="4">
        <v>24</v>
      </c>
      <c r="U449" s="4">
        <v>63</v>
      </c>
      <c r="V449" s="4">
        <f>IF(ISERROR(VLOOKUP($S$449,'TAR FIN'!$A$1:$O$91,15,0)),0,VLOOKUP($S$449,'TAR FIN'!$A$1:$O$91,15,0))</f>
        <v>0</v>
      </c>
      <c r="W449" s="4">
        <f>IF(ISERROR(VLOOKUP($T$449,'TAR FIN'!$A$1:$O$91,15,0)),0,VLOOKUP($T$449,'TAR FIN'!$A$1:$O$91,15,0))</f>
        <v>275.13</v>
      </c>
      <c r="X449" s="4">
        <f>IF(ISERROR(VLOOKUP($U$449,'TAR FIN'!$A$1:$O$91,15,0)),0,VLOOKUP($U$449,'TAR FIN'!$A$1:$O$91,15,0))</f>
        <v>219.34</v>
      </c>
      <c r="Y449" s="4"/>
      <c r="Z449" s="4">
        <f ca="1">('TUSD BE'!$AM$36+'TUSD BF'!$AM$36+'TUSD CVA'!$AM$36)*(1-CUSTOS!$M$38)</f>
        <v>364.4729686309102</v>
      </c>
      <c r="AA449" s="4">
        <f>('TE BE'!$AB$26+'TE BF'!$AB$26+'TE CVA'!$AB$26)*(1-CUSTOS!$M$38)</f>
        <v>191.17977782719129</v>
      </c>
      <c r="AB449" s="4">
        <f>$K$449*$V$449</f>
        <v>0</v>
      </c>
      <c r="AC449" s="4">
        <f>$M$449*$W$449</f>
        <v>206.07237000000001</v>
      </c>
      <c r="AD449" s="4">
        <f>$O$449*$X$449</f>
        <v>164.28566000000001</v>
      </c>
      <c r="AE449" s="4">
        <f>$K$449*$Y$449</f>
        <v>0</v>
      </c>
      <c r="AF449" s="4">
        <f ca="1">$M$449*$Z$449</f>
        <v>272.99025350455173</v>
      </c>
      <c r="AG449" s="4">
        <f>$O$449*$AA$449</f>
        <v>143.19365359256628</v>
      </c>
    </row>
    <row r="450" spans="1:33" ht="11.25" customHeight="1" x14ac:dyDescent="0.25">
      <c r="A450" s="3" t="s">
        <v>21</v>
      </c>
      <c r="B450" s="3" t="s">
        <v>40</v>
      </c>
      <c r="C450" s="3" t="s">
        <v>23</v>
      </c>
      <c r="D450" s="3" t="s">
        <v>41</v>
      </c>
      <c r="E450" s="3" t="s">
        <v>50</v>
      </c>
      <c r="F450" s="3" t="s">
        <v>51</v>
      </c>
      <c r="G450" s="3" t="s">
        <v>25</v>
      </c>
      <c r="H450" s="3" t="s">
        <v>25</v>
      </c>
      <c r="I450" s="6">
        <v>44774</v>
      </c>
      <c r="J450" s="4">
        <v>0</v>
      </c>
      <c r="K450" s="4">
        <v>0</v>
      </c>
      <c r="L450" s="4">
        <v>0.90300000000000002</v>
      </c>
      <c r="M450" s="4">
        <v>0.90300000000000002</v>
      </c>
      <c r="N450" s="4">
        <v>0.90300000000000002</v>
      </c>
      <c r="O450" s="4">
        <v>0.90300000000000002</v>
      </c>
      <c r="P450" s="4">
        <v>0</v>
      </c>
      <c r="Q450" s="3" t="s">
        <v>26</v>
      </c>
      <c r="R450" s="3">
        <v>0</v>
      </c>
      <c r="S450" s="4">
        <v>0</v>
      </c>
      <c r="T450" s="4">
        <v>24</v>
      </c>
      <c r="U450" s="4">
        <v>63</v>
      </c>
      <c r="V450" s="4">
        <f>IF(ISERROR(VLOOKUP($S$450,'TAR FIN'!$A$1:$O$91,15,0)),0,VLOOKUP($S$450,'TAR FIN'!$A$1:$O$91,15,0))</f>
        <v>0</v>
      </c>
      <c r="W450" s="4">
        <f>IF(ISERROR(VLOOKUP($T$450,'TAR FIN'!$A$1:$O$91,15,0)),0,VLOOKUP($T$450,'TAR FIN'!$A$1:$O$91,15,0))</f>
        <v>275.13</v>
      </c>
      <c r="X450" s="4">
        <f>IF(ISERROR(VLOOKUP($U$450,'TAR FIN'!$A$1:$O$91,15,0)),0,VLOOKUP($U$450,'TAR FIN'!$A$1:$O$91,15,0))</f>
        <v>219.34</v>
      </c>
      <c r="Y450" s="4"/>
      <c r="Z450" s="4">
        <f ca="1">('TUSD BE'!$AM$36+'TUSD BF'!$AM$36+'TUSD CVA'!$AM$36)*(1-CUSTOS!$M$38)</f>
        <v>364.4729686309102</v>
      </c>
      <c r="AA450" s="4">
        <f>('TE BE'!$AB$26+'TE BF'!$AB$26+'TE CVA'!$AB$26)*(1-CUSTOS!$M$38)</f>
        <v>191.17977782719129</v>
      </c>
      <c r="AB450" s="4">
        <f>$K$450*$V$450</f>
        <v>0</v>
      </c>
      <c r="AC450" s="4">
        <f>$M$450*$W$450</f>
        <v>248.44238999999999</v>
      </c>
      <c r="AD450" s="4">
        <f>$O$450*$X$450</f>
        <v>198.06402</v>
      </c>
      <c r="AE450" s="4">
        <f>$K$450*$Y$450</f>
        <v>0</v>
      </c>
      <c r="AF450" s="4">
        <f ca="1">$M$450*$Z$450</f>
        <v>329.11909067371192</v>
      </c>
      <c r="AG450" s="4">
        <f>$O$450*$AA$450</f>
        <v>172.63533937795373</v>
      </c>
    </row>
    <row r="451" spans="1:33" ht="11.25" customHeight="1" x14ac:dyDescent="0.25">
      <c r="A451" s="3" t="s">
        <v>21</v>
      </c>
      <c r="B451" s="3" t="s">
        <v>40</v>
      </c>
      <c r="C451" s="3" t="s">
        <v>23</v>
      </c>
      <c r="D451" s="3" t="s">
        <v>41</v>
      </c>
      <c r="E451" s="3" t="s">
        <v>50</v>
      </c>
      <c r="F451" s="3" t="s">
        <v>52</v>
      </c>
      <c r="G451" s="3" t="s">
        <v>25</v>
      </c>
      <c r="H451" s="3" t="s">
        <v>25</v>
      </c>
      <c r="I451" s="6">
        <v>44440</v>
      </c>
      <c r="J451" s="4">
        <v>0</v>
      </c>
      <c r="K451" s="4">
        <v>0</v>
      </c>
      <c r="L451" s="4">
        <v>0.14299999999999999</v>
      </c>
      <c r="M451" s="4">
        <v>5.7200000000000001E-2</v>
      </c>
      <c r="N451" s="4">
        <v>0.14299999999999999</v>
      </c>
      <c r="O451" s="4">
        <v>5.7200000000000001E-2</v>
      </c>
      <c r="P451" s="4">
        <v>0</v>
      </c>
      <c r="Q451" s="3" t="s">
        <v>26</v>
      </c>
      <c r="R451" s="3">
        <v>0</v>
      </c>
      <c r="S451" s="4">
        <v>0</v>
      </c>
      <c r="T451" s="4">
        <v>24</v>
      </c>
      <c r="U451" s="4">
        <v>63</v>
      </c>
      <c r="V451" s="4">
        <f>IF(ISERROR(VLOOKUP($S$451,'TAR FIN'!$A$1:$O$91,15,0)),0,VLOOKUP($S$451,'TAR FIN'!$A$1:$O$91,15,0))</f>
        <v>0</v>
      </c>
      <c r="W451" s="4">
        <f>IF(ISERROR(VLOOKUP($T$451,'TAR FIN'!$A$1:$O$91,15,0)),0,VLOOKUP($T$451,'TAR FIN'!$A$1:$O$91,15,0))</f>
        <v>275.13</v>
      </c>
      <c r="X451" s="4">
        <f>IF(ISERROR(VLOOKUP($U$451,'TAR FIN'!$A$1:$O$91,15,0)),0,VLOOKUP($U$451,'TAR FIN'!$A$1:$O$91,15,0))</f>
        <v>219.34</v>
      </c>
      <c r="Y451" s="4"/>
      <c r="Z451" s="4">
        <f ca="1">('TUSD BE'!$AM$36+'TUSD BF'!$AM$36+'TUSD CVA'!$AM$36)*(1-CUSTOS!$M$38)</f>
        <v>364.4729686309102</v>
      </c>
      <c r="AA451" s="4">
        <f>('TE BE'!$AB$26+'TE BF'!$AB$26+'TE CVA'!$AB$26)*(1-CUSTOS!$M$38)</f>
        <v>191.17977782719129</v>
      </c>
      <c r="AB451" s="4">
        <f>$K$451*$V$451</f>
        <v>0</v>
      </c>
      <c r="AC451" s="4">
        <f>$M$451*$W$451</f>
        <v>15.737436000000001</v>
      </c>
      <c r="AD451" s="4">
        <f>$O$451*$X$451</f>
        <v>12.546248</v>
      </c>
      <c r="AE451" s="4">
        <f>$K$451*$Y$451</f>
        <v>0</v>
      </c>
      <c r="AF451" s="4">
        <f ca="1">$M$451*$Z$451</f>
        <v>20.847853805688064</v>
      </c>
      <c r="AG451" s="4">
        <f>$O$451*$AA$451</f>
        <v>10.935483291715341</v>
      </c>
    </row>
    <row r="452" spans="1:33" ht="11.25" customHeight="1" x14ac:dyDescent="0.25">
      <c r="A452" s="3" t="s">
        <v>21</v>
      </c>
      <c r="B452" s="3" t="s">
        <v>40</v>
      </c>
      <c r="C452" s="3" t="s">
        <v>23</v>
      </c>
      <c r="D452" s="3" t="s">
        <v>41</v>
      </c>
      <c r="E452" s="3" t="s">
        <v>50</v>
      </c>
      <c r="F452" s="3" t="s">
        <v>52</v>
      </c>
      <c r="G452" s="3" t="s">
        <v>25</v>
      </c>
      <c r="H452" s="3" t="s">
        <v>25</v>
      </c>
      <c r="I452" s="6">
        <v>44470</v>
      </c>
      <c r="J452" s="4">
        <v>0</v>
      </c>
      <c r="K452" s="4">
        <v>0</v>
      </c>
      <c r="L452" s="4">
        <v>4.2999999999999997E-2</v>
      </c>
      <c r="M452" s="4">
        <v>1.72E-2</v>
      </c>
      <c r="N452" s="4">
        <v>4.2999999999999997E-2</v>
      </c>
      <c r="O452" s="4">
        <v>1.72E-2</v>
      </c>
      <c r="P452" s="4">
        <v>0</v>
      </c>
      <c r="Q452" s="3" t="s">
        <v>26</v>
      </c>
      <c r="R452" s="3">
        <v>0</v>
      </c>
      <c r="S452" s="4">
        <v>0</v>
      </c>
      <c r="T452" s="4">
        <v>24</v>
      </c>
      <c r="U452" s="4">
        <v>63</v>
      </c>
      <c r="V452" s="4">
        <f>IF(ISERROR(VLOOKUP($S$452,'TAR FIN'!$A$1:$O$91,15,0)),0,VLOOKUP($S$452,'TAR FIN'!$A$1:$O$91,15,0))</f>
        <v>0</v>
      </c>
      <c r="W452" s="4">
        <f>IF(ISERROR(VLOOKUP($T$452,'TAR FIN'!$A$1:$O$91,15,0)),0,VLOOKUP($T$452,'TAR FIN'!$A$1:$O$91,15,0))</f>
        <v>275.13</v>
      </c>
      <c r="X452" s="4">
        <f>IF(ISERROR(VLOOKUP($U$452,'TAR FIN'!$A$1:$O$91,15,0)),0,VLOOKUP($U$452,'TAR FIN'!$A$1:$O$91,15,0))</f>
        <v>219.34</v>
      </c>
      <c r="Y452" s="4"/>
      <c r="Z452" s="4">
        <f ca="1">('TUSD BE'!$AM$36+'TUSD BF'!$AM$36+'TUSD CVA'!$AM$36)*(1-CUSTOS!$M$38)</f>
        <v>364.4729686309102</v>
      </c>
      <c r="AA452" s="4">
        <f>('TE BE'!$AB$26+'TE BF'!$AB$26+'TE CVA'!$AB$26)*(1-CUSTOS!$M$38)</f>
        <v>191.17977782719129</v>
      </c>
      <c r="AB452" s="4">
        <f>$K$452*$V$452</f>
        <v>0</v>
      </c>
      <c r="AC452" s="4">
        <f>$M$452*$W$452</f>
        <v>4.7322360000000003</v>
      </c>
      <c r="AD452" s="4">
        <f>$O$452*$X$452</f>
        <v>3.7726480000000002</v>
      </c>
      <c r="AE452" s="4">
        <f>$K$452*$Y$452</f>
        <v>0</v>
      </c>
      <c r="AF452" s="4">
        <f ca="1">$M$452*$Z$452</f>
        <v>6.2689350604516552</v>
      </c>
      <c r="AG452" s="4">
        <f>$O$452*$AA$452</f>
        <v>3.2882921786276902</v>
      </c>
    </row>
    <row r="453" spans="1:33" ht="11.25" customHeight="1" x14ac:dyDescent="0.25">
      <c r="A453" s="3" t="s">
        <v>21</v>
      </c>
      <c r="B453" s="3" t="s">
        <v>40</v>
      </c>
      <c r="C453" s="3" t="s">
        <v>23</v>
      </c>
      <c r="D453" s="3" t="s">
        <v>41</v>
      </c>
      <c r="E453" s="3" t="s">
        <v>50</v>
      </c>
      <c r="F453" s="3" t="s">
        <v>52</v>
      </c>
      <c r="G453" s="3" t="s">
        <v>25</v>
      </c>
      <c r="H453" s="3" t="s">
        <v>25</v>
      </c>
      <c r="I453" s="6">
        <v>44501</v>
      </c>
      <c r="J453" s="4">
        <v>0</v>
      </c>
      <c r="K453" s="4">
        <v>0</v>
      </c>
      <c r="L453" s="4">
        <v>0.186</v>
      </c>
      <c r="M453" s="4">
        <v>7.4399999999999994E-2</v>
      </c>
      <c r="N453" s="4">
        <v>0.186</v>
      </c>
      <c r="O453" s="4">
        <v>7.4399999999999994E-2</v>
      </c>
      <c r="P453" s="4">
        <v>0</v>
      </c>
      <c r="Q453" s="3" t="s">
        <v>26</v>
      </c>
      <c r="R453" s="3">
        <v>0</v>
      </c>
      <c r="S453" s="4">
        <v>0</v>
      </c>
      <c r="T453" s="4">
        <v>24</v>
      </c>
      <c r="U453" s="4">
        <v>63</v>
      </c>
      <c r="V453" s="4">
        <f>IF(ISERROR(VLOOKUP($S$453,'TAR FIN'!$A$1:$O$91,15,0)),0,VLOOKUP($S$453,'TAR FIN'!$A$1:$O$91,15,0))</f>
        <v>0</v>
      </c>
      <c r="W453" s="4">
        <f>IF(ISERROR(VLOOKUP($T$453,'TAR FIN'!$A$1:$O$91,15,0)),0,VLOOKUP($T$453,'TAR FIN'!$A$1:$O$91,15,0))</f>
        <v>275.13</v>
      </c>
      <c r="X453" s="4">
        <f>IF(ISERROR(VLOOKUP($U$453,'TAR FIN'!$A$1:$O$91,15,0)),0,VLOOKUP($U$453,'TAR FIN'!$A$1:$O$91,15,0))</f>
        <v>219.34</v>
      </c>
      <c r="Y453" s="4"/>
      <c r="Z453" s="4">
        <f ca="1">('TUSD BE'!$AM$36+'TUSD BF'!$AM$36+'TUSD CVA'!$AM$36)*(1-CUSTOS!$M$38)</f>
        <v>364.4729686309102</v>
      </c>
      <c r="AA453" s="4">
        <f>('TE BE'!$AB$26+'TE BF'!$AB$26+'TE CVA'!$AB$26)*(1-CUSTOS!$M$38)</f>
        <v>191.17977782719129</v>
      </c>
      <c r="AB453" s="4">
        <f>$K$453*$V$453</f>
        <v>0</v>
      </c>
      <c r="AC453" s="4">
        <f>$M$453*$W$453</f>
        <v>20.469671999999999</v>
      </c>
      <c r="AD453" s="4">
        <f>$O$453*$X$453</f>
        <v>16.318895999999999</v>
      </c>
      <c r="AE453" s="4">
        <f>$K$453*$Y$453</f>
        <v>0</v>
      </c>
      <c r="AF453" s="4">
        <f ca="1">$M$453*$Z$453</f>
        <v>27.116788866139718</v>
      </c>
      <c r="AG453" s="4">
        <f>$O$453*$AA$453</f>
        <v>14.22377547034303</v>
      </c>
    </row>
    <row r="454" spans="1:33" ht="11.25" customHeight="1" x14ac:dyDescent="0.25">
      <c r="A454" s="3" t="s">
        <v>21</v>
      </c>
      <c r="B454" s="3" t="s">
        <v>40</v>
      </c>
      <c r="C454" s="3" t="s">
        <v>23</v>
      </c>
      <c r="D454" s="3" t="s">
        <v>41</v>
      </c>
      <c r="E454" s="3" t="s">
        <v>50</v>
      </c>
      <c r="F454" s="3" t="s">
        <v>52</v>
      </c>
      <c r="G454" s="3" t="s">
        <v>25</v>
      </c>
      <c r="H454" s="3" t="s">
        <v>25</v>
      </c>
      <c r="I454" s="6">
        <v>44531</v>
      </c>
      <c r="J454" s="4">
        <v>0</v>
      </c>
      <c r="K454" s="4">
        <v>0</v>
      </c>
      <c r="L454" s="4">
        <v>0.16300000000000001</v>
      </c>
      <c r="M454" s="4">
        <v>6.5199999999999994E-2</v>
      </c>
      <c r="N454" s="4">
        <v>0.16300000000000001</v>
      </c>
      <c r="O454" s="4">
        <v>6.5199999999999994E-2</v>
      </c>
      <c r="P454" s="4">
        <v>0</v>
      </c>
      <c r="Q454" s="3" t="s">
        <v>26</v>
      </c>
      <c r="R454" s="3">
        <v>0</v>
      </c>
      <c r="S454" s="4">
        <v>0</v>
      </c>
      <c r="T454" s="4">
        <v>24</v>
      </c>
      <c r="U454" s="4">
        <v>63</v>
      </c>
      <c r="V454" s="4">
        <f>IF(ISERROR(VLOOKUP($S$454,'TAR FIN'!$A$1:$O$91,15,0)),0,VLOOKUP($S$454,'TAR FIN'!$A$1:$O$91,15,0))</f>
        <v>0</v>
      </c>
      <c r="W454" s="4">
        <f>IF(ISERROR(VLOOKUP($T$454,'TAR FIN'!$A$1:$O$91,15,0)),0,VLOOKUP($T$454,'TAR FIN'!$A$1:$O$91,15,0))</f>
        <v>275.13</v>
      </c>
      <c r="X454" s="4">
        <f>IF(ISERROR(VLOOKUP($U$454,'TAR FIN'!$A$1:$O$91,15,0)),0,VLOOKUP($U$454,'TAR FIN'!$A$1:$O$91,15,0))</f>
        <v>219.34</v>
      </c>
      <c r="Y454" s="4"/>
      <c r="Z454" s="4">
        <f ca="1">('TUSD BE'!$AM$36+'TUSD BF'!$AM$36+'TUSD CVA'!$AM$36)*(1-CUSTOS!$M$38)</f>
        <v>364.4729686309102</v>
      </c>
      <c r="AA454" s="4">
        <f>('TE BE'!$AB$26+'TE BF'!$AB$26+'TE CVA'!$AB$26)*(1-CUSTOS!$M$38)</f>
        <v>191.17977782719129</v>
      </c>
      <c r="AB454" s="4">
        <f>$K$454*$V$454</f>
        <v>0</v>
      </c>
      <c r="AC454" s="4">
        <f>$M$454*$W$454</f>
        <v>17.938475999999998</v>
      </c>
      <c r="AD454" s="4">
        <f>$O$454*$X$454</f>
        <v>14.300967999999999</v>
      </c>
      <c r="AE454" s="4">
        <f>$K$454*$Y$454</f>
        <v>0</v>
      </c>
      <c r="AF454" s="4">
        <f ca="1">$M$454*$Z$454</f>
        <v>23.763637554735343</v>
      </c>
      <c r="AG454" s="4">
        <f>$O$454*$AA$454</f>
        <v>12.46492151433287</v>
      </c>
    </row>
    <row r="455" spans="1:33" ht="11.25" customHeight="1" x14ac:dyDescent="0.25">
      <c r="A455" s="3" t="s">
        <v>21</v>
      </c>
      <c r="B455" s="3" t="s">
        <v>40</v>
      </c>
      <c r="C455" s="3" t="s">
        <v>23</v>
      </c>
      <c r="D455" s="3" t="s">
        <v>41</v>
      </c>
      <c r="E455" s="3" t="s">
        <v>50</v>
      </c>
      <c r="F455" s="3" t="s">
        <v>52</v>
      </c>
      <c r="G455" s="3" t="s">
        <v>25</v>
      </c>
      <c r="H455" s="3" t="s">
        <v>25</v>
      </c>
      <c r="I455" s="6">
        <v>44562</v>
      </c>
      <c r="J455" s="4">
        <v>0</v>
      </c>
      <c r="K455" s="4">
        <v>0</v>
      </c>
      <c r="L455" s="4">
        <v>0.436</v>
      </c>
      <c r="M455" s="4">
        <v>0.1744</v>
      </c>
      <c r="N455" s="4">
        <v>0.436</v>
      </c>
      <c r="O455" s="4">
        <v>0.1744</v>
      </c>
      <c r="P455" s="4">
        <v>0</v>
      </c>
      <c r="Q455" s="3" t="s">
        <v>26</v>
      </c>
      <c r="R455" s="3">
        <v>0</v>
      </c>
      <c r="S455" s="4">
        <v>0</v>
      </c>
      <c r="T455" s="4">
        <v>24</v>
      </c>
      <c r="U455" s="4">
        <v>63</v>
      </c>
      <c r="V455" s="4">
        <f>IF(ISERROR(VLOOKUP($S$455,'TAR FIN'!$A$1:$O$91,15,0)),0,VLOOKUP($S$455,'TAR FIN'!$A$1:$O$91,15,0))</f>
        <v>0</v>
      </c>
      <c r="W455" s="4">
        <f>IF(ISERROR(VLOOKUP($T$455,'TAR FIN'!$A$1:$O$91,15,0)),0,VLOOKUP($T$455,'TAR FIN'!$A$1:$O$91,15,0))</f>
        <v>275.13</v>
      </c>
      <c r="X455" s="4">
        <f>IF(ISERROR(VLOOKUP($U$455,'TAR FIN'!$A$1:$O$91,15,0)),0,VLOOKUP($U$455,'TAR FIN'!$A$1:$O$91,15,0))</f>
        <v>219.34</v>
      </c>
      <c r="Y455" s="4"/>
      <c r="Z455" s="4">
        <f ca="1">('TUSD BE'!$AM$36+'TUSD BF'!$AM$36+'TUSD CVA'!$AM$36)*(1-CUSTOS!$M$38)</f>
        <v>364.4729686309102</v>
      </c>
      <c r="AA455" s="4">
        <f>('TE BE'!$AB$26+'TE BF'!$AB$26+'TE CVA'!$AB$26)*(1-CUSTOS!$M$38)</f>
        <v>191.17977782719129</v>
      </c>
      <c r="AB455" s="4">
        <f>$K$455*$V$455</f>
        <v>0</v>
      </c>
      <c r="AC455" s="4">
        <f>$M$455*$W$455</f>
        <v>47.982672000000001</v>
      </c>
      <c r="AD455" s="4">
        <f>$O$455*$X$455</f>
        <v>38.252896</v>
      </c>
      <c r="AE455" s="4">
        <f>$K$455*$Y$455</f>
        <v>0</v>
      </c>
      <c r="AF455" s="4">
        <f ca="1">$M$455*$Z$455</f>
        <v>63.56408572923074</v>
      </c>
      <c r="AG455" s="4">
        <f>$O$455*$AA$455</f>
        <v>33.341753253062159</v>
      </c>
    </row>
    <row r="456" spans="1:33" ht="11.25" customHeight="1" x14ac:dyDescent="0.25">
      <c r="A456" s="3" t="s">
        <v>27</v>
      </c>
      <c r="B456" s="3" t="s">
        <v>40</v>
      </c>
      <c r="C456" s="3" t="s">
        <v>23</v>
      </c>
      <c r="D456" s="3" t="s">
        <v>41</v>
      </c>
      <c r="E456" s="3" t="s">
        <v>50</v>
      </c>
      <c r="F456" s="3" t="s">
        <v>52</v>
      </c>
      <c r="G456" s="3" t="s">
        <v>25</v>
      </c>
      <c r="H456" s="3" t="s">
        <v>25</v>
      </c>
      <c r="I456" s="6">
        <v>44562</v>
      </c>
      <c r="J456" s="4">
        <v>0</v>
      </c>
      <c r="K456" s="4">
        <v>0</v>
      </c>
      <c r="L456" s="4">
        <v>-0.90100000000000002</v>
      </c>
      <c r="M456" s="4">
        <v>-0.3604</v>
      </c>
      <c r="N456" s="4">
        <v>-0.90100000000000002</v>
      </c>
      <c r="O456" s="4">
        <v>-0.3604</v>
      </c>
      <c r="P456" s="4">
        <v>0</v>
      </c>
      <c r="Q456" s="3" t="s">
        <v>26</v>
      </c>
      <c r="R456" s="3">
        <v>0</v>
      </c>
      <c r="S456" s="4">
        <v>0</v>
      </c>
      <c r="T456" s="4">
        <v>24</v>
      </c>
      <c r="U456" s="4">
        <v>63</v>
      </c>
      <c r="V456" s="4">
        <f>IF(ISERROR(VLOOKUP($S$456,'TAR FIN'!$A$1:$O$91,15,0)),0,VLOOKUP($S$456,'TAR FIN'!$A$1:$O$91,15,0))</f>
        <v>0</v>
      </c>
      <c r="W456" s="4">
        <f>IF(ISERROR(VLOOKUP($T$456,'TAR FIN'!$A$1:$O$91,15,0)),0,VLOOKUP($T$456,'TAR FIN'!$A$1:$O$91,15,0))</f>
        <v>275.13</v>
      </c>
      <c r="X456" s="4">
        <f>IF(ISERROR(VLOOKUP($U$456,'TAR FIN'!$A$1:$O$91,15,0)),0,VLOOKUP($U$456,'TAR FIN'!$A$1:$O$91,15,0))</f>
        <v>219.34</v>
      </c>
      <c r="Y456" s="4"/>
      <c r="Z456" s="4">
        <f ca="1">('TUSD BE'!$AM$36+'TUSD BF'!$AM$36+'TUSD CVA'!$AM$36)*(1-CUSTOS!$M$38)</f>
        <v>364.4729686309102</v>
      </c>
      <c r="AA456" s="4">
        <f>('TE BE'!$AB$26+'TE BF'!$AB$26+'TE CVA'!$AB$26)*(1-CUSTOS!$M$38)</f>
        <v>191.17977782719129</v>
      </c>
      <c r="AB456" s="4">
        <f>$K$456*$V$456</f>
        <v>0</v>
      </c>
      <c r="AC456" s="4">
        <f>$M$456*$W$456</f>
        <v>-99.156852000000001</v>
      </c>
      <c r="AD456" s="4">
        <f>$O$456*$X$456</f>
        <v>-79.050135999999995</v>
      </c>
      <c r="AE456" s="4">
        <f>$K$456*$Y$456</f>
        <v>0</v>
      </c>
      <c r="AF456" s="4">
        <f ca="1">$M$456*$Z$456</f>
        <v>-131.35605789458003</v>
      </c>
      <c r="AG456" s="4">
        <f>$O$456*$AA$456</f>
        <v>-68.901191928919744</v>
      </c>
    </row>
    <row r="457" spans="1:33" ht="11.25" customHeight="1" x14ac:dyDescent="0.25">
      <c r="A457" s="3" t="s">
        <v>21</v>
      </c>
      <c r="B457" s="3" t="s">
        <v>40</v>
      </c>
      <c r="C457" s="3" t="s">
        <v>23</v>
      </c>
      <c r="D457" s="3" t="s">
        <v>41</v>
      </c>
      <c r="E457" s="3" t="s">
        <v>50</v>
      </c>
      <c r="F457" s="3" t="s">
        <v>52</v>
      </c>
      <c r="G457" s="3" t="s">
        <v>25</v>
      </c>
      <c r="H457" s="3" t="s">
        <v>25</v>
      </c>
      <c r="I457" s="6">
        <v>44593</v>
      </c>
      <c r="J457" s="4">
        <v>0</v>
      </c>
      <c r="K457" s="4">
        <v>0</v>
      </c>
      <c r="L457" s="4">
        <v>0.42699999999999999</v>
      </c>
      <c r="M457" s="4">
        <v>0.17080000000000001</v>
      </c>
      <c r="N457" s="4">
        <v>0.42699999999999999</v>
      </c>
      <c r="O457" s="4">
        <v>0.17080000000000001</v>
      </c>
      <c r="P457" s="4">
        <v>0</v>
      </c>
      <c r="Q457" s="3" t="s">
        <v>26</v>
      </c>
      <c r="R457" s="3">
        <v>0</v>
      </c>
      <c r="S457" s="4">
        <v>0</v>
      </c>
      <c r="T457" s="4">
        <v>24</v>
      </c>
      <c r="U457" s="4">
        <v>63</v>
      </c>
      <c r="V457" s="4">
        <f>IF(ISERROR(VLOOKUP($S$457,'TAR FIN'!$A$1:$O$91,15,0)),0,VLOOKUP($S$457,'TAR FIN'!$A$1:$O$91,15,0))</f>
        <v>0</v>
      </c>
      <c r="W457" s="4">
        <f>IF(ISERROR(VLOOKUP($T$457,'TAR FIN'!$A$1:$O$91,15,0)),0,VLOOKUP($T$457,'TAR FIN'!$A$1:$O$91,15,0))</f>
        <v>275.13</v>
      </c>
      <c r="X457" s="4">
        <f>IF(ISERROR(VLOOKUP($U$457,'TAR FIN'!$A$1:$O$91,15,0)),0,VLOOKUP($U$457,'TAR FIN'!$A$1:$O$91,15,0))</f>
        <v>219.34</v>
      </c>
      <c r="Y457" s="4"/>
      <c r="Z457" s="4">
        <f ca="1">('TUSD BE'!$AM$36+'TUSD BF'!$AM$36+'TUSD CVA'!$AM$36)*(1-CUSTOS!$M$38)</f>
        <v>364.4729686309102</v>
      </c>
      <c r="AA457" s="4">
        <f>('TE BE'!$AB$26+'TE BF'!$AB$26+'TE CVA'!$AB$26)*(1-CUSTOS!$M$38)</f>
        <v>191.17977782719129</v>
      </c>
      <c r="AB457" s="4">
        <f>$K$457*$V$457</f>
        <v>0</v>
      </c>
      <c r="AC457" s="4">
        <f>$M$457*$W$457</f>
        <v>46.992204000000001</v>
      </c>
      <c r="AD457" s="4">
        <f>$O$457*$X$457</f>
        <v>37.463272000000003</v>
      </c>
      <c r="AE457" s="4">
        <f>$K$457*$Y$457</f>
        <v>0</v>
      </c>
      <c r="AF457" s="4">
        <f ca="1">$M$457*$Z$457</f>
        <v>62.251983042159466</v>
      </c>
      <c r="AG457" s="4">
        <f>$O$457*$AA$457</f>
        <v>32.653506052884275</v>
      </c>
    </row>
    <row r="458" spans="1:33" ht="11.25" customHeight="1" x14ac:dyDescent="0.25">
      <c r="A458" s="3" t="s">
        <v>21</v>
      </c>
      <c r="B458" s="3" t="s">
        <v>40</v>
      </c>
      <c r="C458" s="3" t="s">
        <v>23</v>
      </c>
      <c r="D458" s="3" t="s">
        <v>41</v>
      </c>
      <c r="E458" s="3" t="s">
        <v>50</v>
      </c>
      <c r="F458" s="3" t="s">
        <v>52</v>
      </c>
      <c r="G458" s="3" t="s">
        <v>25</v>
      </c>
      <c r="H458" s="3" t="s">
        <v>25</v>
      </c>
      <c r="I458" s="6">
        <v>44621</v>
      </c>
      <c r="J458" s="4">
        <v>0</v>
      </c>
      <c r="K458" s="4">
        <v>0</v>
      </c>
      <c r="L458" s="4">
        <v>0.245</v>
      </c>
      <c r="M458" s="4">
        <v>9.8000000000000004E-2</v>
      </c>
      <c r="N458" s="4">
        <v>0.245</v>
      </c>
      <c r="O458" s="4">
        <v>9.8000000000000004E-2</v>
      </c>
      <c r="P458" s="4">
        <v>0</v>
      </c>
      <c r="Q458" s="3" t="s">
        <v>26</v>
      </c>
      <c r="R458" s="3">
        <v>0</v>
      </c>
      <c r="S458" s="4">
        <v>0</v>
      </c>
      <c r="T458" s="4">
        <v>24</v>
      </c>
      <c r="U458" s="4">
        <v>63</v>
      </c>
      <c r="V458" s="4">
        <f>IF(ISERROR(VLOOKUP($S$458,'TAR FIN'!$A$1:$O$91,15,0)),0,VLOOKUP($S$458,'TAR FIN'!$A$1:$O$91,15,0))</f>
        <v>0</v>
      </c>
      <c r="W458" s="4">
        <f>IF(ISERROR(VLOOKUP($T$458,'TAR FIN'!$A$1:$O$91,15,0)),0,VLOOKUP($T$458,'TAR FIN'!$A$1:$O$91,15,0))</f>
        <v>275.13</v>
      </c>
      <c r="X458" s="4">
        <f>IF(ISERROR(VLOOKUP($U$458,'TAR FIN'!$A$1:$O$91,15,0)),0,VLOOKUP($U$458,'TAR FIN'!$A$1:$O$91,15,0))</f>
        <v>219.34</v>
      </c>
      <c r="Y458" s="4"/>
      <c r="Z458" s="4">
        <f ca="1">('TUSD BE'!$AM$36+'TUSD BF'!$AM$36+'TUSD CVA'!$AM$36)*(1-CUSTOS!$M$38)</f>
        <v>364.4729686309102</v>
      </c>
      <c r="AA458" s="4">
        <f>('TE BE'!$AB$26+'TE BF'!$AB$26+'TE CVA'!$AB$26)*(1-CUSTOS!$M$38)</f>
        <v>191.17977782719129</v>
      </c>
      <c r="AB458" s="4">
        <f>$K$458*$V$458</f>
        <v>0</v>
      </c>
      <c r="AC458" s="4">
        <f>$M$458*$W$458</f>
        <v>26.96274</v>
      </c>
      <c r="AD458" s="4">
        <f>$O$458*$X$458</f>
        <v>21.49532</v>
      </c>
      <c r="AE458" s="4">
        <f>$K$458*$Y$458</f>
        <v>0</v>
      </c>
      <c r="AF458" s="4">
        <f ca="1">$M$458*$Z$458</f>
        <v>35.718350925829199</v>
      </c>
      <c r="AG458" s="4">
        <f>$O$458*$AA$458</f>
        <v>18.735618227064748</v>
      </c>
    </row>
    <row r="459" spans="1:33" ht="11.25" customHeight="1" x14ac:dyDescent="0.25">
      <c r="A459" s="3" t="s">
        <v>21</v>
      </c>
      <c r="B459" s="3" t="s">
        <v>40</v>
      </c>
      <c r="C459" s="3" t="s">
        <v>23</v>
      </c>
      <c r="D459" s="3" t="s">
        <v>41</v>
      </c>
      <c r="E459" s="3" t="s">
        <v>50</v>
      </c>
      <c r="F459" s="3" t="s">
        <v>52</v>
      </c>
      <c r="G459" s="3" t="s">
        <v>25</v>
      </c>
      <c r="H459" s="3" t="s">
        <v>25</v>
      </c>
      <c r="I459" s="6">
        <v>44652</v>
      </c>
      <c r="J459" s="4">
        <v>0</v>
      </c>
      <c r="K459" s="4">
        <v>0</v>
      </c>
      <c r="L459" s="4">
        <v>0.114</v>
      </c>
      <c r="M459" s="4">
        <v>4.5600000000000002E-2</v>
      </c>
      <c r="N459" s="4">
        <v>0.114</v>
      </c>
      <c r="O459" s="4">
        <v>4.5600000000000002E-2</v>
      </c>
      <c r="P459" s="4">
        <v>0</v>
      </c>
      <c r="Q459" s="3" t="s">
        <v>26</v>
      </c>
      <c r="R459" s="3">
        <v>0</v>
      </c>
      <c r="S459" s="4">
        <v>0</v>
      </c>
      <c r="T459" s="4">
        <v>24</v>
      </c>
      <c r="U459" s="4">
        <v>63</v>
      </c>
      <c r="V459" s="4">
        <f>IF(ISERROR(VLOOKUP($S$459,'TAR FIN'!$A$1:$O$91,15,0)),0,VLOOKUP($S$459,'TAR FIN'!$A$1:$O$91,15,0))</f>
        <v>0</v>
      </c>
      <c r="W459" s="4">
        <f>IF(ISERROR(VLOOKUP($T$459,'TAR FIN'!$A$1:$O$91,15,0)),0,VLOOKUP($T$459,'TAR FIN'!$A$1:$O$91,15,0))</f>
        <v>275.13</v>
      </c>
      <c r="X459" s="4">
        <f>IF(ISERROR(VLOOKUP($U$459,'TAR FIN'!$A$1:$O$91,15,0)),0,VLOOKUP($U$459,'TAR FIN'!$A$1:$O$91,15,0))</f>
        <v>219.34</v>
      </c>
      <c r="Y459" s="4"/>
      <c r="Z459" s="4">
        <f ca="1">('TUSD BE'!$AM$36+'TUSD BF'!$AM$36+'TUSD CVA'!$AM$36)*(1-CUSTOS!$M$38)</f>
        <v>364.4729686309102</v>
      </c>
      <c r="AA459" s="4">
        <f>('TE BE'!$AB$26+'TE BF'!$AB$26+'TE CVA'!$AB$26)*(1-CUSTOS!$M$38)</f>
        <v>191.17977782719129</v>
      </c>
      <c r="AB459" s="4">
        <f>$K$459*$V$459</f>
        <v>0</v>
      </c>
      <c r="AC459" s="4">
        <f>$M$459*$W$459</f>
        <v>12.545928</v>
      </c>
      <c r="AD459" s="4">
        <f>$O$459*$X$459</f>
        <v>10.001904</v>
      </c>
      <c r="AE459" s="4">
        <f>$K$459*$Y$459</f>
        <v>0</v>
      </c>
      <c r="AF459" s="4">
        <f ca="1">$M$459*$Z$459</f>
        <v>16.619967369569505</v>
      </c>
      <c r="AG459" s="4">
        <f>$O$459*$AA$459</f>
        <v>8.7177978689199236</v>
      </c>
    </row>
    <row r="460" spans="1:33" ht="11.25" customHeight="1" x14ac:dyDescent="0.25">
      <c r="A460" s="3" t="s">
        <v>21</v>
      </c>
      <c r="B460" s="3" t="s">
        <v>40</v>
      </c>
      <c r="C460" s="3" t="s">
        <v>23</v>
      </c>
      <c r="D460" s="3" t="s">
        <v>41</v>
      </c>
      <c r="E460" s="3" t="s">
        <v>50</v>
      </c>
      <c r="F460" s="3" t="s">
        <v>52</v>
      </c>
      <c r="G460" s="3" t="s">
        <v>25</v>
      </c>
      <c r="H460" s="3" t="s">
        <v>25</v>
      </c>
      <c r="I460" s="6">
        <v>44682</v>
      </c>
      <c r="J460" s="4">
        <v>0</v>
      </c>
      <c r="K460" s="4">
        <v>0</v>
      </c>
      <c r="L460" s="4">
        <v>0.16500000000000001</v>
      </c>
      <c r="M460" s="4">
        <v>6.6000000000000003E-2</v>
      </c>
      <c r="N460" s="4">
        <v>0.16500000000000001</v>
      </c>
      <c r="O460" s="4">
        <v>6.6000000000000003E-2</v>
      </c>
      <c r="P460" s="4">
        <v>0</v>
      </c>
      <c r="Q460" s="3" t="s">
        <v>26</v>
      </c>
      <c r="R460" s="3">
        <v>0</v>
      </c>
      <c r="S460" s="4">
        <v>0</v>
      </c>
      <c r="T460" s="4">
        <v>24</v>
      </c>
      <c r="U460" s="4">
        <v>63</v>
      </c>
      <c r="V460" s="4">
        <f>IF(ISERROR(VLOOKUP($S$460,'TAR FIN'!$A$1:$O$91,15,0)),0,VLOOKUP($S$460,'TAR FIN'!$A$1:$O$91,15,0))</f>
        <v>0</v>
      </c>
      <c r="W460" s="4">
        <f>IF(ISERROR(VLOOKUP($T$460,'TAR FIN'!$A$1:$O$91,15,0)),0,VLOOKUP($T$460,'TAR FIN'!$A$1:$O$91,15,0))</f>
        <v>275.13</v>
      </c>
      <c r="X460" s="4">
        <f>IF(ISERROR(VLOOKUP($U$460,'TAR FIN'!$A$1:$O$91,15,0)),0,VLOOKUP($U$460,'TAR FIN'!$A$1:$O$91,15,0))</f>
        <v>219.34</v>
      </c>
      <c r="Y460" s="4"/>
      <c r="Z460" s="4">
        <f ca="1">('TUSD BE'!$AM$36+'TUSD BF'!$AM$36+'TUSD CVA'!$AM$36)*(1-CUSTOS!$M$38)</f>
        <v>364.4729686309102</v>
      </c>
      <c r="AA460" s="4">
        <f>('TE BE'!$AB$26+'TE BF'!$AB$26+'TE CVA'!$AB$26)*(1-CUSTOS!$M$38)</f>
        <v>191.17977782719129</v>
      </c>
      <c r="AB460" s="4">
        <f>$K$460*$V$460</f>
        <v>0</v>
      </c>
      <c r="AC460" s="4">
        <f>$M$460*$W$460</f>
        <v>18.158580000000001</v>
      </c>
      <c r="AD460" s="4">
        <f>$O$460*$X$460</f>
        <v>14.47644</v>
      </c>
      <c r="AE460" s="4">
        <f>$K$460*$Y$460</f>
        <v>0</v>
      </c>
      <c r="AF460" s="4">
        <f ca="1">$M$460*$Z$460</f>
        <v>24.055215929640074</v>
      </c>
      <c r="AG460" s="4">
        <f>$O$460*$AA$460</f>
        <v>12.617865336594626</v>
      </c>
    </row>
    <row r="461" spans="1:33" ht="11.25" customHeight="1" x14ac:dyDescent="0.25">
      <c r="A461" s="3" t="s">
        <v>21</v>
      </c>
      <c r="B461" s="3" t="s">
        <v>40</v>
      </c>
      <c r="C461" s="3" t="s">
        <v>23</v>
      </c>
      <c r="D461" s="3" t="s">
        <v>41</v>
      </c>
      <c r="E461" s="3" t="s">
        <v>50</v>
      </c>
      <c r="F461" s="3" t="s">
        <v>52</v>
      </c>
      <c r="G461" s="3" t="s">
        <v>25</v>
      </c>
      <c r="H461" s="3" t="s">
        <v>25</v>
      </c>
      <c r="I461" s="6">
        <v>44713</v>
      </c>
      <c r="J461" s="4">
        <v>0</v>
      </c>
      <c r="K461" s="4">
        <v>0</v>
      </c>
      <c r="L461" s="4">
        <v>0.14899999999999999</v>
      </c>
      <c r="M461" s="4">
        <v>5.96E-2</v>
      </c>
      <c r="N461" s="4">
        <v>0.14899999999999999</v>
      </c>
      <c r="O461" s="4">
        <v>5.96E-2</v>
      </c>
      <c r="P461" s="4">
        <v>0</v>
      </c>
      <c r="Q461" s="3" t="s">
        <v>26</v>
      </c>
      <c r="R461" s="3">
        <v>0</v>
      </c>
      <c r="S461" s="4">
        <v>0</v>
      </c>
      <c r="T461" s="4">
        <v>24</v>
      </c>
      <c r="U461" s="4">
        <v>63</v>
      </c>
      <c r="V461" s="4">
        <f>IF(ISERROR(VLOOKUP($S$461,'TAR FIN'!$A$1:$O$91,15,0)),0,VLOOKUP($S$461,'TAR FIN'!$A$1:$O$91,15,0))</f>
        <v>0</v>
      </c>
      <c r="W461" s="4">
        <f>IF(ISERROR(VLOOKUP($T$461,'TAR FIN'!$A$1:$O$91,15,0)),0,VLOOKUP($T$461,'TAR FIN'!$A$1:$O$91,15,0))</f>
        <v>275.13</v>
      </c>
      <c r="X461" s="4">
        <f>IF(ISERROR(VLOOKUP($U$461,'TAR FIN'!$A$1:$O$91,15,0)),0,VLOOKUP($U$461,'TAR FIN'!$A$1:$O$91,15,0))</f>
        <v>219.34</v>
      </c>
      <c r="Y461" s="4"/>
      <c r="Z461" s="4">
        <f ca="1">('TUSD BE'!$AM$36+'TUSD BF'!$AM$36+'TUSD CVA'!$AM$36)*(1-CUSTOS!$M$38)</f>
        <v>364.4729686309102</v>
      </c>
      <c r="AA461" s="4">
        <f>('TE BE'!$AB$26+'TE BF'!$AB$26+'TE CVA'!$AB$26)*(1-CUSTOS!$M$38)</f>
        <v>191.17977782719129</v>
      </c>
      <c r="AB461" s="4">
        <f>$K$461*$V$461</f>
        <v>0</v>
      </c>
      <c r="AC461" s="4">
        <f>$M$461*$W$461</f>
        <v>16.397748</v>
      </c>
      <c r="AD461" s="4">
        <f>$O$461*$X$461</f>
        <v>13.072664</v>
      </c>
      <c r="AE461" s="4">
        <f>$K$461*$Y$461</f>
        <v>0</v>
      </c>
      <c r="AF461" s="4">
        <f ca="1">$M$461*$Z$461</f>
        <v>21.722588930402249</v>
      </c>
      <c r="AG461" s="4">
        <f>$O$461*$AA$461</f>
        <v>11.394314758500601</v>
      </c>
    </row>
    <row r="462" spans="1:33" ht="11.25" customHeight="1" x14ac:dyDescent="0.25">
      <c r="A462" s="3" t="s">
        <v>21</v>
      </c>
      <c r="B462" s="3" t="s">
        <v>40</v>
      </c>
      <c r="C462" s="3" t="s">
        <v>23</v>
      </c>
      <c r="D462" s="3" t="s">
        <v>41</v>
      </c>
      <c r="E462" s="3" t="s">
        <v>50</v>
      </c>
      <c r="F462" s="3" t="s">
        <v>52</v>
      </c>
      <c r="G462" s="3" t="s">
        <v>25</v>
      </c>
      <c r="H462" s="3" t="s">
        <v>25</v>
      </c>
      <c r="I462" s="6">
        <v>44743</v>
      </c>
      <c r="J462" s="4">
        <v>0</v>
      </c>
      <c r="K462" s="4">
        <v>0</v>
      </c>
      <c r="L462" s="4">
        <v>0.10199999999999999</v>
      </c>
      <c r="M462" s="4">
        <v>4.0800000000000003E-2</v>
      </c>
      <c r="N462" s="4">
        <v>0.10199999999999999</v>
      </c>
      <c r="O462" s="4">
        <v>4.0800000000000003E-2</v>
      </c>
      <c r="P462" s="4">
        <v>0</v>
      </c>
      <c r="Q462" s="3" t="s">
        <v>26</v>
      </c>
      <c r="R462" s="3">
        <v>0</v>
      </c>
      <c r="S462" s="4">
        <v>0</v>
      </c>
      <c r="T462" s="4">
        <v>24</v>
      </c>
      <c r="U462" s="4">
        <v>63</v>
      </c>
      <c r="V462" s="4">
        <f>IF(ISERROR(VLOOKUP($S$462,'TAR FIN'!$A$1:$O$91,15,0)),0,VLOOKUP($S$462,'TAR FIN'!$A$1:$O$91,15,0))</f>
        <v>0</v>
      </c>
      <c r="W462" s="4">
        <f>IF(ISERROR(VLOOKUP($T$462,'TAR FIN'!$A$1:$O$91,15,0)),0,VLOOKUP($T$462,'TAR FIN'!$A$1:$O$91,15,0))</f>
        <v>275.13</v>
      </c>
      <c r="X462" s="4">
        <f>IF(ISERROR(VLOOKUP($U$462,'TAR FIN'!$A$1:$O$91,15,0)),0,VLOOKUP($U$462,'TAR FIN'!$A$1:$O$91,15,0))</f>
        <v>219.34</v>
      </c>
      <c r="Y462" s="4"/>
      <c r="Z462" s="4">
        <f ca="1">('TUSD BE'!$AM$36+'TUSD BF'!$AM$36+'TUSD CVA'!$AM$36)*(1-CUSTOS!$M$38)</f>
        <v>364.4729686309102</v>
      </c>
      <c r="AA462" s="4">
        <f>('TE BE'!$AB$26+'TE BF'!$AB$26+'TE CVA'!$AB$26)*(1-CUSTOS!$M$38)</f>
        <v>191.17977782719129</v>
      </c>
      <c r="AB462" s="4">
        <f>$K$462*$V$462</f>
        <v>0</v>
      </c>
      <c r="AC462" s="4">
        <f>$M$462*$W$462</f>
        <v>11.225304000000001</v>
      </c>
      <c r="AD462" s="4">
        <f>$O$462*$X$462</f>
        <v>8.949072000000001</v>
      </c>
      <c r="AE462" s="4">
        <f>$K$462*$Y$462</f>
        <v>0</v>
      </c>
      <c r="AF462" s="4">
        <f ca="1">$M$462*$Z$462</f>
        <v>14.870497120141136</v>
      </c>
      <c r="AG462" s="4">
        <f>$O$462*$AA$462</f>
        <v>7.8001349353494049</v>
      </c>
    </row>
    <row r="463" spans="1:33" ht="11.25" customHeight="1" x14ac:dyDescent="0.25">
      <c r="A463" s="3" t="s">
        <v>21</v>
      </c>
      <c r="B463" s="3" t="s">
        <v>40</v>
      </c>
      <c r="C463" s="3" t="s">
        <v>23</v>
      </c>
      <c r="D463" s="3" t="s">
        <v>41</v>
      </c>
      <c r="E463" s="3" t="s">
        <v>50</v>
      </c>
      <c r="F463" s="3" t="s">
        <v>52</v>
      </c>
      <c r="G463" s="3" t="s">
        <v>25</v>
      </c>
      <c r="H463" s="3" t="s">
        <v>25</v>
      </c>
      <c r="I463" s="6">
        <v>44774</v>
      </c>
      <c r="J463" s="4">
        <v>0</v>
      </c>
      <c r="K463" s="4">
        <v>0</v>
      </c>
      <c r="L463" s="4">
        <v>0.22600000000000001</v>
      </c>
      <c r="M463" s="4">
        <v>9.0399999999999994E-2</v>
      </c>
      <c r="N463" s="4">
        <v>0.22600000000000001</v>
      </c>
      <c r="O463" s="4">
        <v>9.0399999999999994E-2</v>
      </c>
      <c r="P463" s="4">
        <v>0</v>
      </c>
      <c r="Q463" s="3" t="s">
        <v>26</v>
      </c>
      <c r="R463" s="3">
        <v>0</v>
      </c>
      <c r="S463" s="4">
        <v>0</v>
      </c>
      <c r="T463" s="4">
        <v>24</v>
      </c>
      <c r="U463" s="4">
        <v>63</v>
      </c>
      <c r="V463" s="4">
        <f>IF(ISERROR(VLOOKUP($S$463,'TAR FIN'!$A$1:$O$91,15,0)),0,VLOOKUP($S$463,'TAR FIN'!$A$1:$O$91,15,0))</f>
        <v>0</v>
      </c>
      <c r="W463" s="4">
        <f>IF(ISERROR(VLOOKUP($T$463,'TAR FIN'!$A$1:$O$91,15,0)),0,VLOOKUP($T$463,'TAR FIN'!$A$1:$O$91,15,0))</f>
        <v>275.13</v>
      </c>
      <c r="X463" s="4">
        <f>IF(ISERROR(VLOOKUP($U$463,'TAR FIN'!$A$1:$O$91,15,0)),0,VLOOKUP($U$463,'TAR FIN'!$A$1:$O$91,15,0))</f>
        <v>219.34</v>
      </c>
      <c r="Y463" s="4"/>
      <c r="Z463" s="4">
        <f ca="1">('TUSD BE'!$AM$36+'TUSD BF'!$AM$36+'TUSD CVA'!$AM$36)*(1-CUSTOS!$M$38)</f>
        <v>364.4729686309102</v>
      </c>
      <c r="AA463" s="4">
        <f>('TE BE'!$AB$26+'TE BF'!$AB$26+'TE CVA'!$AB$26)*(1-CUSTOS!$M$38)</f>
        <v>191.17977782719129</v>
      </c>
      <c r="AB463" s="4">
        <f>$K$463*$V$463</f>
        <v>0</v>
      </c>
      <c r="AC463" s="4">
        <f>$M$463*$W$463</f>
        <v>24.871751999999997</v>
      </c>
      <c r="AD463" s="4">
        <f>$O$463*$X$463</f>
        <v>19.828336</v>
      </c>
      <c r="AE463" s="4">
        <f>$K$463*$Y$463</f>
        <v>0</v>
      </c>
      <c r="AF463" s="4">
        <f ca="1">$M$463*$Z$463</f>
        <v>32.948356364234279</v>
      </c>
      <c r="AG463" s="4">
        <f>$O$463*$AA$463</f>
        <v>17.282651915578093</v>
      </c>
    </row>
    <row r="464" spans="1:33" ht="11.25" customHeight="1" x14ac:dyDescent="0.25">
      <c r="A464" s="3" t="s">
        <v>21</v>
      </c>
      <c r="B464" s="3" t="s">
        <v>40</v>
      </c>
      <c r="C464" s="3" t="s">
        <v>23</v>
      </c>
      <c r="D464" s="3" t="s">
        <v>41</v>
      </c>
      <c r="E464" s="3" t="s">
        <v>53</v>
      </c>
      <c r="F464" s="3" t="s">
        <v>51</v>
      </c>
      <c r="G464" s="3" t="s">
        <v>25</v>
      </c>
      <c r="H464" s="3" t="s">
        <v>25</v>
      </c>
      <c r="I464" s="6">
        <v>44440</v>
      </c>
      <c r="J464" s="4">
        <v>0</v>
      </c>
      <c r="K464" s="4">
        <v>0</v>
      </c>
      <c r="L464" s="4">
        <v>45.56</v>
      </c>
      <c r="M464" s="4">
        <v>45.56</v>
      </c>
      <c r="N464" s="4">
        <v>45.56</v>
      </c>
      <c r="O464" s="4">
        <v>45.56</v>
      </c>
      <c r="P464" s="4">
        <v>0</v>
      </c>
      <c r="Q464" s="3" t="s">
        <v>26</v>
      </c>
      <c r="R464" s="3">
        <v>0</v>
      </c>
      <c r="S464" s="4">
        <v>0</v>
      </c>
      <c r="T464" s="4">
        <v>24</v>
      </c>
      <c r="U464" s="4">
        <v>63</v>
      </c>
      <c r="V464" s="4">
        <f>IF(ISERROR(VLOOKUP($S$464,'TAR FIN'!$A$1:$O$91,15,0)),0,VLOOKUP($S$464,'TAR FIN'!$A$1:$O$91,15,0))</f>
        <v>0</v>
      </c>
      <c r="W464" s="4">
        <f>IF(ISERROR(VLOOKUP($T$464,'TAR FIN'!$A$1:$O$91,15,0)),0,VLOOKUP($T$464,'TAR FIN'!$A$1:$O$91,15,0))</f>
        <v>275.13</v>
      </c>
      <c r="X464" s="4">
        <f>IF(ISERROR(VLOOKUP($U$464,'TAR FIN'!$A$1:$O$91,15,0)),0,VLOOKUP($U$464,'TAR FIN'!$A$1:$O$91,15,0))</f>
        <v>219.34</v>
      </c>
      <c r="Y464" s="4"/>
      <c r="Z464" s="4">
        <f ca="1">('TUSD BE'!$AM$36+'TUSD BF'!$AM$36+'TUSD CVA'!$AM$36)*(1-CUSTOS!$M$38)</f>
        <v>364.4729686309102</v>
      </c>
      <c r="AA464" s="4">
        <f>('TE BE'!$AB$26+'TE BF'!$AB$26+'TE CVA'!$AB$26)*(1-CUSTOS!$M$38)</f>
        <v>191.17977782719129</v>
      </c>
      <c r="AB464" s="4">
        <f>$K$464*$V$464</f>
        <v>0</v>
      </c>
      <c r="AC464" s="4">
        <f>$M$464*$W$464</f>
        <v>12534.9228</v>
      </c>
      <c r="AD464" s="4">
        <f>$O$464*$X$464</f>
        <v>9993.1304</v>
      </c>
      <c r="AE464" s="4">
        <f>$K$464*$Y$464</f>
        <v>0</v>
      </c>
      <c r="AF464" s="4">
        <f ca="1">$M$464*$Z$464</f>
        <v>16605.38845082427</v>
      </c>
      <c r="AG464" s="4">
        <f>$O$464*$AA$464</f>
        <v>8710.150677806836</v>
      </c>
    </row>
    <row r="465" spans="1:33" ht="11.25" customHeight="1" x14ac:dyDescent="0.25">
      <c r="A465" s="3" t="s">
        <v>28</v>
      </c>
      <c r="B465" s="3" t="s">
        <v>40</v>
      </c>
      <c r="C465" s="3" t="s">
        <v>23</v>
      </c>
      <c r="D465" s="3" t="s">
        <v>41</v>
      </c>
      <c r="E465" s="3" t="s">
        <v>53</v>
      </c>
      <c r="F465" s="3" t="s">
        <v>51</v>
      </c>
      <c r="G465" s="3" t="s">
        <v>25</v>
      </c>
      <c r="H465" s="3" t="s">
        <v>25</v>
      </c>
      <c r="I465" s="6">
        <v>44440</v>
      </c>
      <c r="J465" s="4">
        <v>0</v>
      </c>
      <c r="K465" s="4">
        <v>0</v>
      </c>
      <c r="L465" s="4">
        <v>5.1130000000000004</v>
      </c>
      <c r="M465" s="4">
        <v>5.1130000000000004</v>
      </c>
      <c r="N465" s="4">
        <v>5.1130000000000004</v>
      </c>
      <c r="O465" s="4">
        <v>5.1130000000000004</v>
      </c>
      <c r="P465" s="4">
        <v>0</v>
      </c>
      <c r="Q465" s="3" t="s">
        <v>26</v>
      </c>
      <c r="R465" s="3">
        <v>0</v>
      </c>
      <c r="S465" s="4">
        <v>0</v>
      </c>
      <c r="T465" s="4">
        <v>24</v>
      </c>
      <c r="U465" s="4">
        <v>63</v>
      </c>
      <c r="V465" s="4">
        <f>IF(ISERROR(VLOOKUP($S$465,'TAR FIN'!$A$1:$O$91,15,0)),0,VLOOKUP($S$465,'TAR FIN'!$A$1:$O$91,15,0))</f>
        <v>0</v>
      </c>
      <c r="W465" s="4">
        <f>IF(ISERROR(VLOOKUP($T$465,'TAR FIN'!$A$1:$O$91,15,0)),0,VLOOKUP($T$465,'TAR FIN'!$A$1:$O$91,15,0))</f>
        <v>275.13</v>
      </c>
      <c r="X465" s="4">
        <f>IF(ISERROR(VLOOKUP($U$465,'TAR FIN'!$A$1:$O$91,15,0)),0,VLOOKUP($U$465,'TAR FIN'!$A$1:$O$91,15,0))</f>
        <v>219.34</v>
      </c>
      <c r="Y465" s="4"/>
      <c r="Z465" s="4">
        <f ca="1">('TUSD BE'!$AM$36+'TUSD BF'!$AM$36+'TUSD CVA'!$AM$36)*(1-CUSTOS!$M$38)</f>
        <v>364.4729686309102</v>
      </c>
      <c r="AA465" s="4">
        <f>('TE BE'!$AB$26+'TE BF'!$AB$26+'TE CVA'!$AB$26)*(1-CUSTOS!$M$38)</f>
        <v>191.17977782719129</v>
      </c>
      <c r="AB465" s="4">
        <f>$K$465*$V$465</f>
        <v>0</v>
      </c>
      <c r="AC465" s="4">
        <f>$M$465*$W$465</f>
        <v>1406.7396900000001</v>
      </c>
      <c r="AD465" s="4">
        <f>$O$465*$X$465</f>
        <v>1121.4854200000002</v>
      </c>
      <c r="AE465" s="4">
        <f>$K$465*$Y$465</f>
        <v>0</v>
      </c>
      <c r="AF465" s="4">
        <f ca="1">$M$465*$Z$465</f>
        <v>1863.5502886098441</v>
      </c>
      <c r="AG465" s="4">
        <f>$O$465*$AA$465</f>
        <v>977.50220403042908</v>
      </c>
    </row>
    <row r="466" spans="1:33" ht="11.25" customHeight="1" x14ac:dyDescent="0.25">
      <c r="A466" s="3" t="s">
        <v>21</v>
      </c>
      <c r="B466" s="3" t="s">
        <v>40</v>
      </c>
      <c r="C466" s="3" t="s">
        <v>23</v>
      </c>
      <c r="D466" s="3" t="s">
        <v>41</v>
      </c>
      <c r="E466" s="3" t="s">
        <v>53</v>
      </c>
      <c r="F466" s="3" t="s">
        <v>51</v>
      </c>
      <c r="G466" s="3" t="s">
        <v>25</v>
      </c>
      <c r="H466" s="3" t="s">
        <v>25</v>
      </c>
      <c r="I466" s="6">
        <v>44470</v>
      </c>
      <c r="J466" s="4">
        <v>0</v>
      </c>
      <c r="K466" s="4">
        <v>0</v>
      </c>
      <c r="L466" s="4">
        <v>57.811</v>
      </c>
      <c r="M466" s="4">
        <v>57.811</v>
      </c>
      <c r="N466" s="4">
        <v>57.811</v>
      </c>
      <c r="O466" s="4">
        <v>57.811</v>
      </c>
      <c r="P466" s="4">
        <v>0</v>
      </c>
      <c r="Q466" s="3" t="s">
        <v>26</v>
      </c>
      <c r="R466" s="3">
        <v>0</v>
      </c>
      <c r="S466" s="4">
        <v>0</v>
      </c>
      <c r="T466" s="4">
        <v>24</v>
      </c>
      <c r="U466" s="4">
        <v>63</v>
      </c>
      <c r="V466" s="4">
        <f>IF(ISERROR(VLOOKUP($S$466,'TAR FIN'!$A$1:$O$91,15,0)),0,VLOOKUP($S$466,'TAR FIN'!$A$1:$O$91,15,0))</f>
        <v>0</v>
      </c>
      <c r="W466" s="4">
        <f>IF(ISERROR(VLOOKUP($T$466,'TAR FIN'!$A$1:$O$91,15,0)),0,VLOOKUP($T$466,'TAR FIN'!$A$1:$O$91,15,0))</f>
        <v>275.13</v>
      </c>
      <c r="X466" s="4">
        <f>IF(ISERROR(VLOOKUP($U$466,'TAR FIN'!$A$1:$O$91,15,0)),0,VLOOKUP($U$466,'TAR FIN'!$A$1:$O$91,15,0))</f>
        <v>219.34</v>
      </c>
      <c r="Y466" s="4"/>
      <c r="Z466" s="4">
        <f ca="1">('TUSD BE'!$AM$36+'TUSD BF'!$AM$36+'TUSD CVA'!$AM$36)*(1-CUSTOS!$M$38)</f>
        <v>364.4729686309102</v>
      </c>
      <c r="AA466" s="4">
        <f>('TE BE'!$AB$26+'TE BF'!$AB$26+'TE CVA'!$AB$26)*(1-CUSTOS!$M$38)</f>
        <v>191.17977782719129</v>
      </c>
      <c r="AB466" s="4">
        <f>$K$466*$V$466</f>
        <v>0</v>
      </c>
      <c r="AC466" s="4">
        <f>$M$466*$W$466</f>
        <v>15905.540429999999</v>
      </c>
      <c r="AD466" s="4">
        <f>$O$466*$X$466</f>
        <v>12680.264740000001</v>
      </c>
      <c r="AE466" s="4">
        <f>$K$466*$Y$466</f>
        <v>0</v>
      </c>
      <c r="AF466" s="4">
        <f ca="1">$M$466*$Z$466</f>
        <v>21070.546789521548</v>
      </c>
      <c r="AG466" s="4">
        <f>$O$466*$AA$466</f>
        <v>11052.294135967755</v>
      </c>
    </row>
    <row r="467" spans="1:33" ht="11.25" customHeight="1" x14ac:dyDescent="0.25">
      <c r="A467" s="3" t="s">
        <v>28</v>
      </c>
      <c r="B467" s="3" t="s">
        <v>40</v>
      </c>
      <c r="C467" s="3" t="s">
        <v>23</v>
      </c>
      <c r="D467" s="3" t="s">
        <v>41</v>
      </c>
      <c r="E467" s="3" t="s">
        <v>53</v>
      </c>
      <c r="F467" s="3" t="s">
        <v>51</v>
      </c>
      <c r="G467" s="3" t="s">
        <v>25</v>
      </c>
      <c r="H467" s="3" t="s">
        <v>25</v>
      </c>
      <c r="I467" s="6">
        <v>44470</v>
      </c>
      <c r="J467" s="4">
        <v>0</v>
      </c>
      <c r="K467" s="4">
        <v>0</v>
      </c>
      <c r="L467" s="4">
        <v>12.606999999999999</v>
      </c>
      <c r="M467" s="4">
        <v>12.606999999999999</v>
      </c>
      <c r="N467" s="4">
        <v>12.606999999999999</v>
      </c>
      <c r="O467" s="4">
        <v>12.606999999999999</v>
      </c>
      <c r="P467" s="4">
        <v>0</v>
      </c>
      <c r="Q467" s="3" t="s">
        <v>26</v>
      </c>
      <c r="R467" s="3">
        <v>0</v>
      </c>
      <c r="S467" s="4">
        <v>0</v>
      </c>
      <c r="T467" s="4">
        <v>24</v>
      </c>
      <c r="U467" s="4">
        <v>63</v>
      </c>
      <c r="V467" s="4">
        <f>IF(ISERROR(VLOOKUP($S$467,'TAR FIN'!$A$1:$O$91,15,0)),0,VLOOKUP($S$467,'TAR FIN'!$A$1:$O$91,15,0))</f>
        <v>0</v>
      </c>
      <c r="W467" s="4">
        <f>IF(ISERROR(VLOOKUP($T$467,'TAR FIN'!$A$1:$O$91,15,0)),0,VLOOKUP($T$467,'TAR FIN'!$A$1:$O$91,15,0))</f>
        <v>275.13</v>
      </c>
      <c r="X467" s="4">
        <f>IF(ISERROR(VLOOKUP($U$467,'TAR FIN'!$A$1:$O$91,15,0)),0,VLOOKUP($U$467,'TAR FIN'!$A$1:$O$91,15,0))</f>
        <v>219.34</v>
      </c>
      <c r="Y467" s="4"/>
      <c r="Z467" s="4">
        <f ca="1">('TUSD BE'!$AM$36+'TUSD BF'!$AM$36+'TUSD CVA'!$AM$36)*(1-CUSTOS!$M$38)</f>
        <v>364.4729686309102</v>
      </c>
      <c r="AA467" s="4">
        <f>('TE BE'!$AB$26+'TE BF'!$AB$26+'TE CVA'!$AB$26)*(1-CUSTOS!$M$38)</f>
        <v>191.17977782719129</v>
      </c>
      <c r="AB467" s="4">
        <f>$K$467*$V$467</f>
        <v>0</v>
      </c>
      <c r="AC467" s="4">
        <f>$M$467*$W$467</f>
        <v>3468.5639099999999</v>
      </c>
      <c r="AD467" s="4">
        <f>$O$467*$X$467</f>
        <v>2765.21938</v>
      </c>
      <c r="AE467" s="4">
        <f>$K$467*$Y$467</f>
        <v>0</v>
      </c>
      <c r="AF467" s="4">
        <f ca="1">$M$467*$Z$467</f>
        <v>4594.9107155298843</v>
      </c>
      <c r="AG467" s="4">
        <f>$O$467*$AA$467</f>
        <v>2410.2034590674002</v>
      </c>
    </row>
    <row r="468" spans="1:33" ht="11.25" customHeight="1" x14ac:dyDescent="0.25">
      <c r="A468" s="3" t="s">
        <v>21</v>
      </c>
      <c r="B468" s="3" t="s">
        <v>40</v>
      </c>
      <c r="C468" s="3" t="s">
        <v>23</v>
      </c>
      <c r="D468" s="3" t="s">
        <v>41</v>
      </c>
      <c r="E468" s="3" t="s">
        <v>53</v>
      </c>
      <c r="F468" s="3" t="s">
        <v>51</v>
      </c>
      <c r="G468" s="3" t="s">
        <v>25</v>
      </c>
      <c r="H468" s="3" t="s">
        <v>25</v>
      </c>
      <c r="I468" s="6">
        <v>44501</v>
      </c>
      <c r="J468" s="4">
        <v>0</v>
      </c>
      <c r="K468" s="4">
        <v>0</v>
      </c>
      <c r="L468" s="4">
        <v>63.508000000000003</v>
      </c>
      <c r="M468" s="4">
        <v>63.508000000000003</v>
      </c>
      <c r="N468" s="4">
        <v>63.508000000000003</v>
      </c>
      <c r="O468" s="4">
        <v>63.508000000000003</v>
      </c>
      <c r="P468" s="4">
        <v>0</v>
      </c>
      <c r="Q468" s="3" t="s">
        <v>26</v>
      </c>
      <c r="R468" s="3">
        <v>0</v>
      </c>
      <c r="S468" s="4">
        <v>0</v>
      </c>
      <c r="T468" s="4">
        <v>24</v>
      </c>
      <c r="U468" s="4">
        <v>63</v>
      </c>
      <c r="V468" s="4">
        <f>IF(ISERROR(VLOOKUP($S$468,'TAR FIN'!$A$1:$O$91,15,0)),0,VLOOKUP($S$468,'TAR FIN'!$A$1:$O$91,15,0))</f>
        <v>0</v>
      </c>
      <c r="W468" s="4">
        <f>IF(ISERROR(VLOOKUP($T$468,'TAR FIN'!$A$1:$O$91,15,0)),0,VLOOKUP($T$468,'TAR FIN'!$A$1:$O$91,15,0))</f>
        <v>275.13</v>
      </c>
      <c r="X468" s="4">
        <f>IF(ISERROR(VLOOKUP($U$468,'TAR FIN'!$A$1:$O$91,15,0)),0,VLOOKUP($U$468,'TAR FIN'!$A$1:$O$91,15,0))</f>
        <v>219.34</v>
      </c>
      <c r="Y468" s="4"/>
      <c r="Z468" s="4">
        <f ca="1">('TUSD BE'!$AM$36+'TUSD BF'!$AM$36+'TUSD CVA'!$AM$36)*(1-CUSTOS!$M$38)</f>
        <v>364.4729686309102</v>
      </c>
      <c r="AA468" s="4">
        <f>('TE BE'!$AB$26+'TE BF'!$AB$26+'TE CVA'!$AB$26)*(1-CUSTOS!$M$38)</f>
        <v>191.17977782719129</v>
      </c>
      <c r="AB468" s="4">
        <f>$K$468*$V$468</f>
        <v>0</v>
      </c>
      <c r="AC468" s="4">
        <f>$M$468*$W$468</f>
        <v>17472.956040000001</v>
      </c>
      <c r="AD468" s="4">
        <f>$O$468*$X$468</f>
        <v>13929.844720000001</v>
      </c>
      <c r="AE468" s="4">
        <f>$K$468*$Y$468</f>
        <v>0</v>
      </c>
      <c r="AF468" s="4">
        <f ca="1">$M$468*$Z$468</f>
        <v>23146.949291811845</v>
      </c>
      <c r="AG468" s="4">
        <f>$O$468*$AA$468</f>
        <v>12141.445330249266</v>
      </c>
    </row>
    <row r="469" spans="1:33" ht="11.25" customHeight="1" x14ac:dyDescent="0.25">
      <c r="A469" s="3" t="s">
        <v>28</v>
      </c>
      <c r="B469" s="3" t="s">
        <v>40</v>
      </c>
      <c r="C469" s="3" t="s">
        <v>23</v>
      </c>
      <c r="D469" s="3" t="s">
        <v>41</v>
      </c>
      <c r="E469" s="3" t="s">
        <v>53</v>
      </c>
      <c r="F469" s="3" t="s">
        <v>51</v>
      </c>
      <c r="G469" s="3" t="s">
        <v>25</v>
      </c>
      <c r="H469" s="3" t="s">
        <v>25</v>
      </c>
      <c r="I469" s="6">
        <v>44501</v>
      </c>
      <c r="J469" s="4">
        <v>0</v>
      </c>
      <c r="K469" s="4">
        <v>0</v>
      </c>
      <c r="L469" s="4">
        <v>12.029</v>
      </c>
      <c r="M469" s="4">
        <v>12.029</v>
      </c>
      <c r="N469" s="4">
        <v>12.029</v>
      </c>
      <c r="O469" s="4">
        <v>12.029</v>
      </c>
      <c r="P469" s="4">
        <v>0</v>
      </c>
      <c r="Q469" s="3" t="s">
        <v>26</v>
      </c>
      <c r="R469" s="3">
        <v>0</v>
      </c>
      <c r="S469" s="4">
        <v>0</v>
      </c>
      <c r="T469" s="4">
        <v>24</v>
      </c>
      <c r="U469" s="4">
        <v>63</v>
      </c>
      <c r="V469" s="4">
        <f>IF(ISERROR(VLOOKUP($S$469,'TAR FIN'!$A$1:$O$91,15,0)),0,VLOOKUP($S$469,'TAR FIN'!$A$1:$O$91,15,0))</f>
        <v>0</v>
      </c>
      <c r="W469" s="4">
        <f>IF(ISERROR(VLOOKUP($T$469,'TAR FIN'!$A$1:$O$91,15,0)),0,VLOOKUP($T$469,'TAR FIN'!$A$1:$O$91,15,0))</f>
        <v>275.13</v>
      </c>
      <c r="X469" s="4">
        <f>IF(ISERROR(VLOOKUP($U$469,'TAR FIN'!$A$1:$O$91,15,0)),0,VLOOKUP($U$469,'TAR FIN'!$A$1:$O$91,15,0))</f>
        <v>219.34</v>
      </c>
      <c r="Y469" s="4"/>
      <c r="Z469" s="4">
        <f ca="1">('TUSD BE'!$AM$36+'TUSD BF'!$AM$36+'TUSD CVA'!$AM$36)*(1-CUSTOS!$M$38)</f>
        <v>364.4729686309102</v>
      </c>
      <c r="AA469" s="4">
        <f>('TE BE'!$AB$26+'TE BF'!$AB$26+'TE CVA'!$AB$26)*(1-CUSTOS!$M$38)</f>
        <v>191.17977782719129</v>
      </c>
      <c r="AB469" s="4">
        <f>$K$469*$V$469</f>
        <v>0</v>
      </c>
      <c r="AC469" s="4">
        <f>$M$469*$W$469</f>
        <v>3309.5387700000001</v>
      </c>
      <c r="AD469" s="4">
        <f>$O$469*$X$469</f>
        <v>2638.4408600000002</v>
      </c>
      <c r="AE469" s="4">
        <f>$K$469*$Y$469</f>
        <v>0</v>
      </c>
      <c r="AF469" s="4">
        <f ca="1">$M$469*$Z$469</f>
        <v>4384.2453396612191</v>
      </c>
      <c r="AG469" s="4">
        <f>$O$469*$AA$469</f>
        <v>2299.7015474832838</v>
      </c>
    </row>
    <row r="470" spans="1:33" ht="11.25" customHeight="1" x14ac:dyDescent="0.25">
      <c r="A470" s="3" t="s">
        <v>21</v>
      </c>
      <c r="B470" s="3" t="s">
        <v>40</v>
      </c>
      <c r="C470" s="3" t="s">
        <v>23</v>
      </c>
      <c r="D470" s="3" t="s">
        <v>41</v>
      </c>
      <c r="E470" s="3" t="s">
        <v>53</v>
      </c>
      <c r="F470" s="3" t="s">
        <v>51</v>
      </c>
      <c r="G470" s="3" t="s">
        <v>25</v>
      </c>
      <c r="H470" s="3" t="s">
        <v>25</v>
      </c>
      <c r="I470" s="6">
        <v>44531</v>
      </c>
      <c r="J470" s="4">
        <v>0</v>
      </c>
      <c r="K470" s="4">
        <v>0</v>
      </c>
      <c r="L470" s="4">
        <v>75.221999999999994</v>
      </c>
      <c r="M470" s="4">
        <v>75.221999999999994</v>
      </c>
      <c r="N470" s="4">
        <v>75.221999999999994</v>
      </c>
      <c r="O470" s="4">
        <v>75.221999999999994</v>
      </c>
      <c r="P470" s="4">
        <v>0</v>
      </c>
      <c r="Q470" s="3" t="s">
        <v>26</v>
      </c>
      <c r="R470" s="3">
        <v>0</v>
      </c>
      <c r="S470" s="4">
        <v>0</v>
      </c>
      <c r="T470" s="4">
        <v>24</v>
      </c>
      <c r="U470" s="4">
        <v>63</v>
      </c>
      <c r="V470" s="4">
        <f>IF(ISERROR(VLOOKUP($S$470,'TAR FIN'!$A$1:$O$91,15,0)),0,VLOOKUP($S$470,'TAR FIN'!$A$1:$O$91,15,0))</f>
        <v>0</v>
      </c>
      <c r="W470" s="4">
        <f>IF(ISERROR(VLOOKUP($T$470,'TAR FIN'!$A$1:$O$91,15,0)),0,VLOOKUP($T$470,'TAR FIN'!$A$1:$O$91,15,0))</f>
        <v>275.13</v>
      </c>
      <c r="X470" s="4">
        <f>IF(ISERROR(VLOOKUP($U$470,'TAR FIN'!$A$1:$O$91,15,0)),0,VLOOKUP($U$470,'TAR FIN'!$A$1:$O$91,15,0))</f>
        <v>219.34</v>
      </c>
      <c r="Y470" s="4"/>
      <c r="Z470" s="4">
        <f ca="1">('TUSD BE'!$AM$36+'TUSD BF'!$AM$36+'TUSD CVA'!$AM$36)*(1-CUSTOS!$M$38)</f>
        <v>364.4729686309102</v>
      </c>
      <c r="AA470" s="4">
        <f>('TE BE'!$AB$26+'TE BF'!$AB$26+'TE CVA'!$AB$26)*(1-CUSTOS!$M$38)</f>
        <v>191.17977782719129</v>
      </c>
      <c r="AB470" s="4">
        <f>$K$470*$V$470</f>
        <v>0</v>
      </c>
      <c r="AC470" s="4">
        <f>$M$470*$W$470</f>
        <v>20695.828859999998</v>
      </c>
      <c r="AD470" s="4">
        <f>$O$470*$X$470</f>
        <v>16499.193479999998</v>
      </c>
      <c r="AE470" s="4">
        <f>$K$470*$Y$470</f>
        <v>0</v>
      </c>
      <c r="AF470" s="4">
        <f ca="1">$M$470*$Z$470</f>
        <v>27416.385646354323</v>
      </c>
      <c r="AG470" s="4">
        <f>$O$470*$AA$470</f>
        <v>14380.925247716981</v>
      </c>
    </row>
    <row r="471" spans="1:33" ht="11.25" customHeight="1" x14ac:dyDescent="0.25">
      <c r="A471" s="3" t="s">
        <v>28</v>
      </c>
      <c r="B471" s="3" t="s">
        <v>40</v>
      </c>
      <c r="C471" s="3" t="s">
        <v>23</v>
      </c>
      <c r="D471" s="3" t="s">
        <v>41</v>
      </c>
      <c r="E471" s="3" t="s">
        <v>53</v>
      </c>
      <c r="F471" s="3" t="s">
        <v>51</v>
      </c>
      <c r="G471" s="3" t="s">
        <v>25</v>
      </c>
      <c r="H471" s="3" t="s">
        <v>25</v>
      </c>
      <c r="I471" s="6">
        <v>44531</v>
      </c>
      <c r="J471" s="4">
        <v>0</v>
      </c>
      <c r="K471" s="4">
        <v>0</v>
      </c>
      <c r="L471" s="4">
        <v>16.344999999999999</v>
      </c>
      <c r="M471" s="4">
        <v>16.344999999999999</v>
      </c>
      <c r="N471" s="4">
        <v>16.344999999999999</v>
      </c>
      <c r="O471" s="4">
        <v>16.344999999999999</v>
      </c>
      <c r="P471" s="4">
        <v>0</v>
      </c>
      <c r="Q471" s="3" t="s">
        <v>26</v>
      </c>
      <c r="R471" s="3">
        <v>0</v>
      </c>
      <c r="S471" s="4">
        <v>0</v>
      </c>
      <c r="T471" s="4">
        <v>24</v>
      </c>
      <c r="U471" s="4">
        <v>63</v>
      </c>
      <c r="V471" s="4">
        <f>IF(ISERROR(VLOOKUP($S$471,'TAR FIN'!$A$1:$O$91,15,0)),0,VLOOKUP($S$471,'TAR FIN'!$A$1:$O$91,15,0))</f>
        <v>0</v>
      </c>
      <c r="W471" s="4">
        <f>IF(ISERROR(VLOOKUP($T$471,'TAR FIN'!$A$1:$O$91,15,0)),0,VLOOKUP($T$471,'TAR FIN'!$A$1:$O$91,15,0))</f>
        <v>275.13</v>
      </c>
      <c r="X471" s="4">
        <f>IF(ISERROR(VLOOKUP($U$471,'TAR FIN'!$A$1:$O$91,15,0)),0,VLOOKUP($U$471,'TAR FIN'!$A$1:$O$91,15,0))</f>
        <v>219.34</v>
      </c>
      <c r="Y471" s="4"/>
      <c r="Z471" s="4">
        <f ca="1">('TUSD BE'!$AM$36+'TUSD BF'!$AM$36+'TUSD CVA'!$AM$36)*(1-CUSTOS!$M$38)</f>
        <v>364.4729686309102</v>
      </c>
      <c r="AA471" s="4">
        <f>('TE BE'!$AB$26+'TE BF'!$AB$26+'TE CVA'!$AB$26)*(1-CUSTOS!$M$38)</f>
        <v>191.17977782719129</v>
      </c>
      <c r="AB471" s="4">
        <f>$K$471*$V$471</f>
        <v>0</v>
      </c>
      <c r="AC471" s="4">
        <f>$M$471*$W$471</f>
        <v>4496.9998499999992</v>
      </c>
      <c r="AD471" s="4">
        <f>$O$471*$X$471</f>
        <v>3585.1122999999998</v>
      </c>
      <c r="AE471" s="4">
        <f>$K$471*$Y$471</f>
        <v>0</v>
      </c>
      <c r="AF471" s="4">
        <f ca="1">$M$471*$Z$471</f>
        <v>5957.3106722722268</v>
      </c>
      <c r="AG471" s="4">
        <f>$O$471*$AA$471</f>
        <v>3124.8334685854416</v>
      </c>
    </row>
    <row r="472" spans="1:33" ht="11.25" customHeight="1" x14ac:dyDescent="0.25">
      <c r="A472" s="3" t="s">
        <v>21</v>
      </c>
      <c r="B472" s="3" t="s">
        <v>40</v>
      </c>
      <c r="C472" s="3" t="s">
        <v>23</v>
      </c>
      <c r="D472" s="3" t="s">
        <v>41</v>
      </c>
      <c r="E472" s="3" t="s">
        <v>53</v>
      </c>
      <c r="F472" s="3" t="s">
        <v>51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82.271000000000001</v>
      </c>
      <c r="M472" s="4">
        <v>82.271000000000001</v>
      </c>
      <c r="N472" s="4">
        <v>82.271000000000001</v>
      </c>
      <c r="O472" s="4">
        <v>82.271000000000001</v>
      </c>
      <c r="P472" s="4">
        <v>0</v>
      </c>
      <c r="Q472" s="3" t="s">
        <v>26</v>
      </c>
      <c r="R472" s="3">
        <v>0</v>
      </c>
      <c r="S472" s="4">
        <v>0</v>
      </c>
      <c r="T472" s="4">
        <v>24</v>
      </c>
      <c r="U472" s="4">
        <v>63</v>
      </c>
      <c r="V472" s="4">
        <f>IF(ISERROR(VLOOKUP($S$472,'TAR FIN'!$A$1:$O$91,15,0)),0,VLOOKUP($S$472,'TAR FIN'!$A$1:$O$91,15,0))</f>
        <v>0</v>
      </c>
      <c r="W472" s="4">
        <f>IF(ISERROR(VLOOKUP($T$472,'TAR FIN'!$A$1:$O$91,15,0)),0,VLOOKUP($T$472,'TAR FIN'!$A$1:$O$91,15,0))</f>
        <v>275.13</v>
      </c>
      <c r="X472" s="4">
        <f>IF(ISERROR(VLOOKUP($U$472,'TAR FIN'!$A$1:$O$91,15,0)),0,VLOOKUP($U$472,'TAR FIN'!$A$1:$O$91,15,0))</f>
        <v>219.34</v>
      </c>
      <c r="Y472" s="4"/>
      <c r="Z472" s="4">
        <f ca="1">('TUSD BE'!$AM$36+'TUSD BF'!$AM$36+'TUSD CVA'!$AM$36)*(1-CUSTOS!$M$38)</f>
        <v>364.4729686309102</v>
      </c>
      <c r="AA472" s="4">
        <f>('TE BE'!$AB$26+'TE BF'!$AB$26+'TE CVA'!$AB$26)*(1-CUSTOS!$M$38)</f>
        <v>191.17977782719129</v>
      </c>
      <c r="AB472" s="4">
        <f>$K$472*$V$472</f>
        <v>0</v>
      </c>
      <c r="AC472" s="4">
        <f>$M$472*$W$472</f>
        <v>22635.220229999999</v>
      </c>
      <c r="AD472" s="4">
        <f>$O$472*$X$472</f>
        <v>18045.32114</v>
      </c>
      <c r="AE472" s="4">
        <f>$K$472*$Y$472</f>
        <v>0</v>
      </c>
      <c r="AF472" s="4">
        <f ca="1">$M$472*$Z$472</f>
        <v>29985.555602233613</v>
      </c>
      <c r="AG472" s="4">
        <f>$O$472*$AA$472</f>
        <v>15728.551501620854</v>
      </c>
    </row>
    <row r="473" spans="1:33" ht="11.25" customHeight="1" x14ac:dyDescent="0.25">
      <c r="A473" s="3" t="s">
        <v>28</v>
      </c>
      <c r="B473" s="3" t="s">
        <v>40</v>
      </c>
      <c r="C473" s="3" t="s">
        <v>23</v>
      </c>
      <c r="D473" s="3" t="s">
        <v>41</v>
      </c>
      <c r="E473" s="3" t="s">
        <v>53</v>
      </c>
      <c r="F473" s="3" t="s">
        <v>51</v>
      </c>
      <c r="G473" s="3" t="s">
        <v>25</v>
      </c>
      <c r="H473" s="3" t="s">
        <v>25</v>
      </c>
      <c r="I473" s="6">
        <v>44562</v>
      </c>
      <c r="J473" s="4">
        <v>0</v>
      </c>
      <c r="K473" s="4">
        <v>0</v>
      </c>
      <c r="L473" s="4">
        <v>19.469000000000001</v>
      </c>
      <c r="M473" s="4">
        <v>19.469000000000001</v>
      </c>
      <c r="N473" s="4">
        <v>19.469000000000001</v>
      </c>
      <c r="O473" s="4">
        <v>19.469000000000001</v>
      </c>
      <c r="P473" s="4">
        <v>0</v>
      </c>
      <c r="Q473" s="3" t="s">
        <v>26</v>
      </c>
      <c r="R473" s="3">
        <v>0</v>
      </c>
      <c r="S473" s="4">
        <v>0</v>
      </c>
      <c r="T473" s="4">
        <v>24</v>
      </c>
      <c r="U473" s="4">
        <v>63</v>
      </c>
      <c r="V473" s="4">
        <f>IF(ISERROR(VLOOKUP($S$473,'TAR FIN'!$A$1:$O$91,15,0)),0,VLOOKUP($S$473,'TAR FIN'!$A$1:$O$91,15,0))</f>
        <v>0</v>
      </c>
      <c r="W473" s="4">
        <f>IF(ISERROR(VLOOKUP($T$473,'TAR FIN'!$A$1:$O$91,15,0)),0,VLOOKUP($T$473,'TAR FIN'!$A$1:$O$91,15,0))</f>
        <v>275.13</v>
      </c>
      <c r="X473" s="4">
        <f>IF(ISERROR(VLOOKUP($U$473,'TAR FIN'!$A$1:$O$91,15,0)),0,VLOOKUP($U$473,'TAR FIN'!$A$1:$O$91,15,0))</f>
        <v>219.34</v>
      </c>
      <c r="Y473" s="4"/>
      <c r="Z473" s="4">
        <f ca="1">('TUSD BE'!$AM$36+'TUSD BF'!$AM$36+'TUSD CVA'!$AM$36)*(1-CUSTOS!$M$38)</f>
        <v>364.4729686309102</v>
      </c>
      <c r="AA473" s="4">
        <f>('TE BE'!$AB$26+'TE BF'!$AB$26+'TE CVA'!$AB$26)*(1-CUSTOS!$M$38)</f>
        <v>191.17977782719129</v>
      </c>
      <c r="AB473" s="4">
        <f>$K$473*$V$473</f>
        <v>0</v>
      </c>
      <c r="AC473" s="4">
        <f>$M$473*$W$473</f>
        <v>5356.5059700000002</v>
      </c>
      <c r="AD473" s="4">
        <f>$O$473*$X$473</f>
        <v>4270.3304600000001</v>
      </c>
      <c r="AE473" s="4">
        <f>$K$473*$Y$473</f>
        <v>0</v>
      </c>
      <c r="AF473" s="4">
        <f ca="1">$M$473*$Z$473</f>
        <v>7095.9242262751914</v>
      </c>
      <c r="AG473" s="4">
        <f>$O$473*$AA$473</f>
        <v>3722.0790945175872</v>
      </c>
    </row>
    <row r="474" spans="1:33" ht="11.25" customHeight="1" x14ac:dyDescent="0.25">
      <c r="A474" s="3" t="s">
        <v>21</v>
      </c>
      <c r="B474" s="3" t="s">
        <v>40</v>
      </c>
      <c r="C474" s="3" t="s">
        <v>23</v>
      </c>
      <c r="D474" s="3" t="s">
        <v>41</v>
      </c>
      <c r="E474" s="3" t="s">
        <v>53</v>
      </c>
      <c r="F474" s="3" t="s">
        <v>51</v>
      </c>
      <c r="G474" s="3" t="s">
        <v>25</v>
      </c>
      <c r="H474" s="3" t="s">
        <v>25</v>
      </c>
      <c r="I474" s="6">
        <v>44593</v>
      </c>
      <c r="J474" s="4">
        <v>0</v>
      </c>
      <c r="K474" s="4">
        <v>0</v>
      </c>
      <c r="L474" s="4">
        <v>84.971999999999994</v>
      </c>
      <c r="M474" s="4">
        <v>84.971999999999994</v>
      </c>
      <c r="N474" s="4">
        <v>84.971999999999994</v>
      </c>
      <c r="O474" s="4">
        <v>84.971999999999994</v>
      </c>
      <c r="P474" s="4">
        <v>0</v>
      </c>
      <c r="Q474" s="3" t="s">
        <v>26</v>
      </c>
      <c r="R474" s="3">
        <v>0</v>
      </c>
      <c r="S474" s="4">
        <v>0</v>
      </c>
      <c r="T474" s="4">
        <v>24</v>
      </c>
      <c r="U474" s="4">
        <v>63</v>
      </c>
      <c r="V474" s="4">
        <f>IF(ISERROR(VLOOKUP($S$474,'TAR FIN'!$A$1:$O$91,15,0)),0,VLOOKUP($S$474,'TAR FIN'!$A$1:$O$91,15,0))</f>
        <v>0</v>
      </c>
      <c r="W474" s="4">
        <f>IF(ISERROR(VLOOKUP($T$474,'TAR FIN'!$A$1:$O$91,15,0)),0,VLOOKUP($T$474,'TAR FIN'!$A$1:$O$91,15,0))</f>
        <v>275.13</v>
      </c>
      <c r="X474" s="4">
        <f>IF(ISERROR(VLOOKUP($U$474,'TAR FIN'!$A$1:$O$91,15,0)),0,VLOOKUP($U$474,'TAR FIN'!$A$1:$O$91,15,0))</f>
        <v>219.34</v>
      </c>
      <c r="Y474" s="4"/>
      <c r="Z474" s="4">
        <f ca="1">('TUSD BE'!$AM$36+'TUSD BF'!$AM$36+'TUSD CVA'!$AM$36)*(1-CUSTOS!$M$38)</f>
        <v>364.4729686309102</v>
      </c>
      <c r="AA474" s="4">
        <f>('TE BE'!$AB$26+'TE BF'!$AB$26+'TE CVA'!$AB$26)*(1-CUSTOS!$M$38)</f>
        <v>191.17977782719129</v>
      </c>
      <c r="AB474" s="4">
        <f>$K$474*$V$474</f>
        <v>0</v>
      </c>
      <c r="AC474" s="4">
        <f>$M$474*$W$474</f>
        <v>23378.34636</v>
      </c>
      <c r="AD474" s="4">
        <f>$O$474*$X$474</f>
        <v>18637.75848</v>
      </c>
      <c r="AE474" s="4">
        <f>$K$474*$Y$474</f>
        <v>0</v>
      </c>
      <c r="AF474" s="4">
        <f ca="1">$M$474*$Z$474</f>
        <v>30969.997090505698</v>
      </c>
      <c r="AG474" s="4">
        <f>$O$474*$AA$474</f>
        <v>16244.928081532096</v>
      </c>
    </row>
    <row r="475" spans="1:33" ht="11.25" customHeight="1" x14ac:dyDescent="0.25">
      <c r="A475" s="3" t="s">
        <v>27</v>
      </c>
      <c r="B475" s="3" t="s">
        <v>40</v>
      </c>
      <c r="C475" s="3" t="s">
        <v>23</v>
      </c>
      <c r="D475" s="3" t="s">
        <v>41</v>
      </c>
      <c r="E475" s="3" t="s">
        <v>53</v>
      </c>
      <c r="F475" s="3" t="s">
        <v>51</v>
      </c>
      <c r="G475" s="3" t="s">
        <v>25</v>
      </c>
      <c r="H475" s="3" t="s">
        <v>25</v>
      </c>
      <c r="I475" s="6">
        <v>44593</v>
      </c>
      <c r="J475" s="4">
        <v>0</v>
      </c>
      <c r="K475" s="4">
        <v>0</v>
      </c>
      <c r="L475" s="4">
        <v>-2</v>
      </c>
      <c r="M475" s="4">
        <v>-2</v>
      </c>
      <c r="N475" s="4">
        <v>-2</v>
      </c>
      <c r="O475" s="4">
        <v>-2</v>
      </c>
      <c r="P475" s="4">
        <v>0</v>
      </c>
      <c r="Q475" s="3" t="s">
        <v>26</v>
      </c>
      <c r="R475" s="3">
        <v>0</v>
      </c>
      <c r="S475" s="4">
        <v>0</v>
      </c>
      <c r="T475" s="4">
        <v>24</v>
      </c>
      <c r="U475" s="4">
        <v>63</v>
      </c>
      <c r="V475" s="4">
        <f>IF(ISERROR(VLOOKUP($S$475,'TAR FIN'!$A$1:$O$91,15,0)),0,VLOOKUP($S$475,'TAR FIN'!$A$1:$O$91,15,0))</f>
        <v>0</v>
      </c>
      <c r="W475" s="4">
        <f>IF(ISERROR(VLOOKUP($T$475,'TAR FIN'!$A$1:$O$91,15,0)),0,VLOOKUP($T$475,'TAR FIN'!$A$1:$O$91,15,0))</f>
        <v>275.13</v>
      </c>
      <c r="X475" s="4">
        <f>IF(ISERROR(VLOOKUP($U$475,'TAR FIN'!$A$1:$O$91,15,0)),0,VLOOKUP($U$475,'TAR FIN'!$A$1:$O$91,15,0))</f>
        <v>219.34</v>
      </c>
      <c r="Y475" s="4"/>
      <c r="Z475" s="4">
        <f ca="1">('TUSD BE'!$AM$36+'TUSD BF'!$AM$36+'TUSD CVA'!$AM$36)*(1-CUSTOS!$M$38)</f>
        <v>364.4729686309102</v>
      </c>
      <c r="AA475" s="4">
        <f>('TE BE'!$AB$26+'TE BF'!$AB$26+'TE CVA'!$AB$26)*(1-CUSTOS!$M$38)</f>
        <v>191.17977782719129</v>
      </c>
      <c r="AB475" s="4">
        <f>$K$475*$V$475</f>
        <v>0</v>
      </c>
      <c r="AC475" s="4">
        <f>$M$475*$W$475</f>
        <v>-550.26</v>
      </c>
      <c r="AD475" s="4">
        <f>$O$475*$X$475</f>
        <v>-438.68</v>
      </c>
      <c r="AE475" s="4">
        <f>$K$475*$Y$475</f>
        <v>0</v>
      </c>
      <c r="AF475" s="4">
        <f ca="1">$M$475*$Z$475</f>
        <v>-728.9459372618204</v>
      </c>
      <c r="AG475" s="4">
        <f>$O$475*$AA$475</f>
        <v>-382.35955565438258</v>
      </c>
    </row>
    <row r="476" spans="1:33" ht="11.25" customHeight="1" x14ac:dyDescent="0.25">
      <c r="A476" s="3" t="s">
        <v>28</v>
      </c>
      <c r="B476" s="3" t="s">
        <v>40</v>
      </c>
      <c r="C476" s="3" t="s">
        <v>23</v>
      </c>
      <c r="D476" s="3" t="s">
        <v>41</v>
      </c>
      <c r="E476" s="3" t="s">
        <v>53</v>
      </c>
      <c r="F476" s="3" t="s">
        <v>51</v>
      </c>
      <c r="G476" s="3" t="s">
        <v>25</v>
      </c>
      <c r="H476" s="3" t="s">
        <v>25</v>
      </c>
      <c r="I476" s="6">
        <v>44593</v>
      </c>
      <c r="J476" s="4">
        <v>0</v>
      </c>
      <c r="K476" s="4">
        <v>0</v>
      </c>
      <c r="L476" s="4">
        <v>17.23</v>
      </c>
      <c r="M476" s="4">
        <v>17.23</v>
      </c>
      <c r="N476" s="4">
        <v>17.23</v>
      </c>
      <c r="O476" s="4">
        <v>17.23</v>
      </c>
      <c r="P476" s="4">
        <v>0</v>
      </c>
      <c r="Q476" s="3" t="s">
        <v>26</v>
      </c>
      <c r="R476" s="3">
        <v>0</v>
      </c>
      <c r="S476" s="4">
        <v>0</v>
      </c>
      <c r="T476" s="4">
        <v>24</v>
      </c>
      <c r="U476" s="4">
        <v>63</v>
      </c>
      <c r="V476" s="4">
        <f>IF(ISERROR(VLOOKUP($S$476,'TAR FIN'!$A$1:$O$91,15,0)),0,VLOOKUP($S$476,'TAR FIN'!$A$1:$O$91,15,0))</f>
        <v>0</v>
      </c>
      <c r="W476" s="4">
        <f>IF(ISERROR(VLOOKUP($T$476,'TAR FIN'!$A$1:$O$91,15,0)),0,VLOOKUP($T$476,'TAR FIN'!$A$1:$O$91,15,0))</f>
        <v>275.13</v>
      </c>
      <c r="X476" s="4">
        <f>IF(ISERROR(VLOOKUP($U$476,'TAR FIN'!$A$1:$O$91,15,0)),0,VLOOKUP($U$476,'TAR FIN'!$A$1:$O$91,15,0))</f>
        <v>219.34</v>
      </c>
      <c r="Y476" s="4"/>
      <c r="Z476" s="4">
        <f ca="1">('TUSD BE'!$AM$36+'TUSD BF'!$AM$36+'TUSD CVA'!$AM$36)*(1-CUSTOS!$M$38)</f>
        <v>364.4729686309102</v>
      </c>
      <c r="AA476" s="4">
        <f>('TE BE'!$AB$26+'TE BF'!$AB$26+'TE CVA'!$AB$26)*(1-CUSTOS!$M$38)</f>
        <v>191.17977782719129</v>
      </c>
      <c r="AB476" s="4">
        <f>$K$476*$V$476</f>
        <v>0</v>
      </c>
      <c r="AC476" s="4">
        <f>$M$476*$W$476</f>
        <v>4740.4899000000005</v>
      </c>
      <c r="AD476" s="4">
        <f>$O$476*$X$476</f>
        <v>3779.2282</v>
      </c>
      <c r="AE476" s="4">
        <f>$K$476*$Y$476</f>
        <v>0</v>
      </c>
      <c r="AF476" s="4">
        <f ca="1">$M$476*$Z$476</f>
        <v>6279.8692495105834</v>
      </c>
      <c r="AG476" s="4">
        <f>$O$476*$AA$476</f>
        <v>3294.027571962506</v>
      </c>
    </row>
    <row r="477" spans="1:33" ht="11.25" customHeight="1" x14ac:dyDescent="0.25">
      <c r="A477" s="3" t="s">
        <v>21</v>
      </c>
      <c r="B477" s="3" t="s">
        <v>40</v>
      </c>
      <c r="C477" s="3" t="s">
        <v>23</v>
      </c>
      <c r="D477" s="3" t="s">
        <v>41</v>
      </c>
      <c r="E477" s="3" t="s">
        <v>53</v>
      </c>
      <c r="F477" s="3" t="s">
        <v>51</v>
      </c>
      <c r="G477" s="3" t="s">
        <v>25</v>
      </c>
      <c r="H477" s="3" t="s">
        <v>25</v>
      </c>
      <c r="I477" s="6">
        <v>44621</v>
      </c>
      <c r="J477" s="4">
        <v>0</v>
      </c>
      <c r="K477" s="4">
        <v>0</v>
      </c>
      <c r="L477" s="4">
        <v>82.183999999999997</v>
      </c>
      <c r="M477" s="4">
        <v>82.183999999999997</v>
      </c>
      <c r="N477" s="4">
        <v>82.183999999999997</v>
      </c>
      <c r="O477" s="4">
        <v>82.183999999999997</v>
      </c>
      <c r="P477" s="4">
        <v>0</v>
      </c>
      <c r="Q477" s="3" t="s">
        <v>26</v>
      </c>
      <c r="R477" s="3">
        <v>0</v>
      </c>
      <c r="S477" s="4">
        <v>0</v>
      </c>
      <c r="T477" s="4">
        <v>24</v>
      </c>
      <c r="U477" s="4">
        <v>63</v>
      </c>
      <c r="V477" s="4">
        <f>IF(ISERROR(VLOOKUP($S$477,'TAR FIN'!$A$1:$O$91,15,0)),0,VLOOKUP($S$477,'TAR FIN'!$A$1:$O$91,15,0))</f>
        <v>0</v>
      </c>
      <c r="W477" s="4">
        <f>IF(ISERROR(VLOOKUP($T$477,'TAR FIN'!$A$1:$O$91,15,0)),0,VLOOKUP($T$477,'TAR FIN'!$A$1:$O$91,15,0))</f>
        <v>275.13</v>
      </c>
      <c r="X477" s="4">
        <f>IF(ISERROR(VLOOKUP($U$477,'TAR FIN'!$A$1:$O$91,15,0)),0,VLOOKUP($U$477,'TAR FIN'!$A$1:$O$91,15,0))</f>
        <v>219.34</v>
      </c>
      <c r="Y477" s="4"/>
      <c r="Z477" s="4">
        <f ca="1">('TUSD BE'!$AM$36+'TUSD BF'!$AM$36+'TUSD CVA'!$AM$36)*(1-CUSTOS!$M$38)</f>
        <v>364.4729686309102</v>
      </c>
      <c r="AA477" s="4">
        <f>('TE BE'!$AB$26+'TE BF'!$AB$26+'TE CVA'!$AB$26)*(1-CUSTOS!$M$38)</f>
        <v>191.17977782719129</v>
      </c>
      <c r="AB477" s="4">
        <f>$K$477*$V$477</f>
        <v>0</v>
      </c>
      <c r="AC477" s="4">
        <f>$M$477*$W$477</f>
        <v>22611.283919999998</v>
      </c>
      <c r="AD477" s="4">
        <f>$O$477*$X$477</f>
        <v>18026.238559999998</v>
      </c>
      <c r="AE477" s="4">
        <f>$K$477*$Y$477</f>
        <v>0</v>
      </c>
      <c r="AF477" s="4">
        <f ca="1">$M$477*$Z$477</f>
        <v>29953.846453962724</v>
      </c>
      <c r="AG477" s="4">
        <f>$O$477*$AA$477</f>
        <v>15711.918860949889</v>
      </c>
    </row>
    <row r="478" spans="1:33" ht="11.25" customHeight="1" x14ac:dyDescent="0.25">
      <c r="A478" s="3" t="s">
        <v>28</v>
      </c>
      <c r="B478" s="3" t="s">
        <v>40</v>
      </c>
      <c r="C478" s="3" t="s">
        <v>23</v>
      </c>
      <c r="D478" s="3" t="s">
        <v>41</v>
      </c>
      <c r="E478" s="3" t="s">
        <v>53</v>
      </c>
      <c r="F478" s="3" t="s">
        <v>51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21.934000000000001</v>
      </c>
      <c r="M478" s="4">
        <v>21.934000000000001</v>
      </c>
      <c r="N478" s="4">
        <v>21.934000000000001</v>
      </c>
      <c r="O478" s="4">
        <v>21.934000000000001</v>
      </c>
      <c r="P478" s="4">
        <v>0</v>
      </c>
      <c r="Q478" s="3" t="s">
        <v>26</v>
      </c>
      <c r="R478" s="3">
        <v>0</v>
      </c>
      <c r="S478" s="4">
        <v>0</v>
      </c>
      <c r="T478" s="4">
        <v>24</v>
      </c>
      <c r="U478" s="4">
        <v>63</v>
      </c>
      <c r="V478" s="4">
        <f>IF(ISERROR(VLOOKUP($S$478,'TAR FIN'!$A$1:$O$91,15,0)),0,VLOOKUP($S$478,'TAR FIN'!$A$1:$O$91,15,0))</f>
        <v>0</v>
      </c>
      <c r="W478" s="4">
        <f>IF(ISERROR(VLOOKUP($T$478,'TAR FIN'!$A$1:$O$91,15,0)),0,VLOOKUP($T$478,'TAR FIN'!$A$1:$O$91,15,0))</f>
        <v>275.13</v>
      </c>
      <c r="X478" s="4">
        <f>IF(ISERROR(VLOOKUP($U$478,'TAR FIN'!$A$1:$O$91,15,0)),0,VLOOKUP($U$478,'TAR FIN'!$A$1:$O$91,15,0))</f>
        <v>219.34</v>
      </c>
      <c r="Y478" s="4"/>
      <c r="Z478" s="4">
        <f ca="1">('TUSD BE'!$AM$36+'TUSD BF'!$AM$36+'TUSD CVA'!$AM$36)*(1-CUSTOS!$M$38)</f>
        <v>364.4729686309102</v>
      </c>
      <c r="AA478" s="4">
        <f>('TE BE'!$AB$26+'TE BF'!$AB$26+'TE CVA'!$AB$26)*(1-CUSTOS!$M$38)</f>
        <v>191.17977782719129</v>
      </c>
      <c r="AB478" s="4">
        <f>$K$478*$V$478</f>
        <v>0</v>
      </c>
      <c r="AC478" s="4">
        <f>$M$478*$W$478</f>
        <v>6034.7014200000003</v>
      </c>
      <c r="AD478" s="4">
        <f>$O$478*$X$478</f>
        <v>4811.0035600000001</v>
      </c>
      <c r="AE478" s="4">
        <f>$K$478*$Y$478</f>
        <v>0</v>
      </c>
      <c r="AF478" s="4">
        <f ca="1">$M$478*$Z$478</f>
        <v>7994.3500939503847</v>
      </c>
      <c r="AG478" s="4">
        <f>$O$478*$AA$478</f>
        <v>4193.3372468616135</v>
      </c>
    </row>
    <row r="479" spans="1:33" ht="11.25" customHeight="1" x14ac:dyDescent="0.25">
      <c r="A479" s="3" t="s">
        <v>21</v>
      </c>
      <c r="B479" s="3" t="s">
        <v>40</v>
      </c>
      <c r="C479" s="3" t="s">
        <v>23</v>
      </c>
      <c r="D479" s="3" t="s">
        <v>41</v>
      </c>
      <c r="E479" s="3" t="s">
        <v>53</v>
      </c>
      <c r="F479" s="3" t="s">
        <v>51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82.19</v>
      </c>
      <c r="M479" s="4">
        <v>82.19</v>
      </c>
      <c r="N479" s="4">
        <v>82.19</v>
      </c>
      <c r="O479" s="4">
        <v>82.19</v>
      </c>
      <c r="P479" s="4">
        <v>0</v>
      </c>
      <c r="Q479" s="3" t="s">
        <v>26</v>
      </c>
      <c r="R479" s="3">
        <v>0</v>
      </c>
      <c r="S479" s="4">
        <v>0</v>
      </c>
      <c r="T479" s="4">
        <v>24</v>
      </c>
      <c r="U479" s="4">
        <v>63</v>
      </c>
      <c r="V479" s="4">
        <f>IF(ISERROR(VLOOKUP($S$479,'TAR FIN'!$A$1:$O$91,15,0)),0,VLOOKUP($S$479,'TAR FIN'!$A$1:$O$91,15,0))</f>
        <v>0</v>
      </c>
      <c r="W479" s="4">
        <f>IF(ISERROR(VLOOKUP($T$479,'TAR FIN'!$A$1:$O$91,15,0)),0,VLOOKUP($T$479,'TAR FIN'!$A$1:$O$91,15,0))</f>
        <v>275.13</v>
      </c>
      <c r="X479" s="4">
        <f>IF(ISERROR(VLOOKUP($U$479,'TAR FIN'!$A$1:$O$91,15,0)),0,VLOOKUP($U$479,'TAR FIN'!$A$1:$O$91,15,0))</f>
        <v>219.34</v>
      </c>
      <c r="Y479" s="4"/>
      <c r="Z479" s="4">
        <f ca="1">('TUSD BE'!$AM$36+'TUSD BF'!$AM$36+'TUSD CVA'!$AM$36)*(1-CUSTOS!$M$38)</f>
        <v>364.4729686309102</v>
      </c>
      <c r="AA479" s="4">
        <f>('TE BE'!$AB$26+'TE BF'!$AB$26+'TE CVA'!$AB$26)*(1-CUSTOS!$M$38)</f>
        <v>191.17977782719129</v>
      </c>
      <c r="AB479" s="4">
        <f>$K$479*$V$479</f>
        <v>0</v>
      </c>
      <c r="AC479" s="4">
        <f>$M$479*$W$479</f>
        <v>22612.934699999998</v>
      </c>
      <c r="AD479" s="4">
        <f>$O$479*$X$479</f>
        <v>18027.554599999999</v>
      </c>
      <c r="AE479" s="4">
        <f>$K$479*$Y$479</f>
        <v>0</v>
      </c>
      <c r="AF479" s="4">
        <f ca="1">$M$479*$Z$479</f>
        <v>29956.033291774507</v>
      </c>
      <c r="AG479" s="4">
        <f>$O$479*$AA$479</f>
        <v>15713.065939616852</v>
      </c>
    </row>
    <row r="480" spans="1:33" ht="11.25" customHeight="1" x14ac:dyDescent="0.25">
      <c r="A480" s="3" t="s">
        <v>27</v>
      </c>
      <c r="B480" s="3" t="s">
        <v>40</v>
      </c>
      <c r="C480" s="3" t="s">
        <v>23</v>
      </c>
      <c r="D480" s="3" t="s">
        <v>41</v>
      </c>
      <c r="E480" s="3" t="s">
        <v>53</v>
      </c>
      <c r="F480" s="3" t="s">
        <v>51</v>
      </c>
      <c r="G480" s="3" t="s">
        <v>25</v>
      </c>
      <c r="H480" s="3" t="s">
        <v>25</v>
      </c>
      <c r="I480" s="6">
        <v>44652</v>
      </c>
      <c r="J480" s="4">
        <v>0</v>
      </c>
      <c r="K480" s="4">
        <v>0</v>
      </c>
      <c r="L480" s="4">
        <v>-1.958</v>
      </c>
      <c r="M480" s="4">
        <v>-1.958</v>
      </c>
      <c r="N480" s="4">
        <v>-1.958</v>
      </c>
      <c r="O480" s="4">
        <v>-1.958</v>
      </c>
      <c r="P480" s="4">
        <v>0</v>
      </c>
      <c r="Q480" s="3" t="s">
        <v>26</v>
      </c>
      <c r="R480" s="3">
        <v>0</v>
      </c>
      <c r="S480" s="4">
        <v>0</v>
      </c>
      <c r="T480" s="4">
        <v>24</v>
      </c>
      <c r="U480" s="4">
        <v>63</v>
      </c>
      <c r="V480" s="4">
        <f>IF(ISERROR(VLOOKUP($S$480,'TAR FIN'!$A$1:$O$91,15,0)),0,VLOOKUP($S$480,'TAR FIN'!$A$1:$O$91,15,0))</f>
        <v>0</v>
      </c>
      <c r="W480" s="4">
        <f>IF(ISERROR(VLOOKUP($T$480,'TAR FIN'!$A$1:$O$91,15,0)),0,VLOOKUP($T$480,'TAR FIN'!$A$1:$O$91,15,0))</f>
        <v>275.13</v>
      </c>
      <c r="X480" s="4">
        <f>IF(ISERROR(VLOOKUP($U$480,'TAR FIN'!$A$1:$O$91,15,0)),0,VLOOKUP($U$480,'TAR FIN'!$A$1:$O$91,15,0))</f>
        <v>219.34</v>
      </c>
      <c r="Y480" s="4"/>
      <c r="Z480" s="4">
        <f ca="1">('TUSD BE'!$AM$36+'TUSD BF'!$AM$36+'TUSD CVA'!$AM$36)*(1-CUSTOS!$M$38)</f>
        <v>364.4729686309102</v>
      </c>
      <c r="AA480" s="4">
        <f>('TE BE'!$AB$26+'TE BF'!$AB$26+'TE CVA'!$AB$26)*(1-CUSTOS!$M$38)</f>
        <v>191.17977782719129</v>
      </c>
      <c r="AB480" s="4">
        <f>$K$480*$V$480</f>
        <v>0</v>
      </c>
      <c r="AC480" s="4">
        <f>$M$480*$W$480</f>
        <v>-538.70453999999995</v>
      </c>
      <c r="AD480" s="4">
        <f>$O$480*$X$480</f>
        <v>-429.46771999999999</v>
      </c>
      <c r="AE480" s="4">
        <f>$K$480*$Y$480</f>
        <v>0</v>
      </c>
      <c r="AF480" s="4">
        <f ca="1">$M$480*$Z$480</f>
        <v>-713.63807257932217</v>
      </c>
      <c r="AG480" s="4">
        <f>$O$480*$AA$480</f>
        <v>-374.33000498564053</v>
      </c>
    </row>
    <row r="481" spans="1:33" ht="11.25" customHeight="1" x14ac:dyDescent="0.25">
      <c r="A481" s="3" t="s">
        <v>28</v>
      </c>
      <c r="B481" s="3" t="s">
        <v>40</v>
      </c>
      <c r="C481" s="3" t="s">
        <v>23</v>
      </c>
      <c r="D481" s="3" t="s">
        <v>41</v>
      </c>
      <c r="E481" s="3" t="s">
        <v>53</v>
      </c>
      <c r="F481" s="3" t="s">
        <v>51</v>
      </c>
      <c r="G481" s="3" t="s">
        <v>25</v>
      </c>
      <c r="H481" s="3" t="s">
        <v>25</v>
      </c>
      <c r="I481" s="6">
        <v>44652</v>
      </c>
      <c r="J481" s="4">
        <v>0</v>
      </c>
      <c r="K481" s="4">
        <v>0</v>
      </c>
      <c r="L481" s="4">
        <v>20.260999999999999</v>
      </c>
      <c r="M481" s="4">
        <v>20.260999999999999</v>
      </c>
      <c r="N481" s="4">
        <v>20.260999999999999</v>
      </c>
      <c r="O481" s="4">
        <v>20.260999999999999</v>
      </c>
      <c r="P481" s="4">
        <v>0</v>
      </c>
      <c r="Q481" s="3" t="s">
        <v>26</v>
      </c>
      <c r="R481" s="3">
        <v>0</v>
      </c>
      <c r="S481" s="4">
        <v>0</v>
      </c>
      <c r="T481" s="4">
        <v>24</v>
      </c>
      <c r="U481" s="4">
        <v>63</v>
      </c>
      <c r="V481" s="4">
        <f>IF(ISERROR(VLOOKUP($S$481,'TAR FIN'!$A$1:$O$91,15,0)),0,VLOOKUP($S$481,'TAR FIN'!$A$1:$O$91,15,0))</f>
        <v>0</v>
      </c>
      <c r="W481" s="4">
        <f>IF(ISERROR(VLOOKUP($T$481,'TAR FIN'!$A$1:$O$91,15,0)),0,VLOOKUP($T$481,'TAR FIN'!$A$1:$O$91,15,0))</f>
        <v>275.13</v>
      </c>
      <c r="X481" s="4">
        <f>IF(ISERROR(VLOOKUP($U$481,'TAR FIN'!$A$1:$O$91,15,0)),0,VLOOKUP($U$481,'TAR FIN'!$A$1:$O$91,15,0))</f>
        <v>219.34</v>
      </c>
      <c r="Y481" s="4"/>
      <c r="Z481" s="4">
        <f ca="1">('TUSD BE'!$AM$36+'TUSD BF'!$AM$36+'TUSD CVA'!$AM$36)*(1-CUSTOS!$M$38)</f>
        <v>364.4729686309102</v>
      </c>
      <c r="AA481" s="4">
        <f>('TE BE'!$AB$26+'TE BF'!$AB$26+'TE CVA'!$AB$26)*(1-CUSTOS!$M$38)</f>
        <v>191.17977782719129</v>
      </c>
      <c r="AB481" s="4">
        <f>$K$481*$V$481</f>
        <v>0</v>
      </c>
      <c r="AC481" s="4">
        <f>$M$481*$W$481</f>
        <v>5574.4089299999996</v>
      </c>
      <c r="AD481" s="4">
        <f>$O$481*$X$481</f>
        <v>4444.04774</v>
      </c>
      <c r="AE481" s="4">
        <f>$K$481*$Y$481</f>
        <v>0</v>
      </c>
      <c r="AF481" s="4">
        <f ca="1">$M$481*$Z$481</f>
        <v>7384.5868174308716</v>
      </c>
      <c r="AG481" s="4">
        <f>$O$481*$AA$481</f>
        <v>3873.4934785567225</v>
      </c>
    </row>
    <row r="482" spans="1:33" ht="11.25" customHeight="1" x14ac:dyDescent="0.25">
      <c r="A482" s="3" t="s">
        <v>21</v>
      </c>
      <c r="B482" s="3" t="s">
        <v>40</v>
      </c>
      <c r="C482" s="3" t="s">
        <v>23</v>
      </c>
      <c r="D482" s="3" t="s">
        <v>41</v>
      </c>
      <c r="E482" s="3" t="s">
        <v>53</v>
      </c>
      <c r="F482" s="3" t="s">
        <v>51</v>
      </c>
      <c r="G482" s="3" t="s">
        <v>25</v>
      </c>
      <c r="H482" s="3" t="s">
        <v>25</v>
      </c>
      <c r="I482" s="6">
        <v>44682</v>
      </c>
      <c r="J482" s="4">
        <v>0</v>
      </c>
      <c r="K482" s="4">
        <v>0</v>
      </c>
      <c r="L482" s="4">
        <v>75.430999999999997</v>
      </c>
      <c r="M482" s="4">
        <v>75.430999999999997</v>
      </c>
      <c r="N482" s="4">
        <v>75.430999999999997</v>
      </c>
      <c r="O482" s="4">
        <v>75.430999999999997</v>
      </c>
      <c r="P482" s="4">
        <v>0</v>
      </c>
      <c r="Q482" s="3" t="s">
        <v>26</v>
      </c>
      <c r="R482" s="3">
        <v>0</v>
      </c>
      <c r="S482" s="4">
        <v>0</v>
      </c>
      <c r="T482" s="4">
        <v>24</v>
      </c>
      <c r="U482" s="4">
        <v>63</v>
      </c>
      <c r="V482" s="4">
        <f>IF(ISERROR(VLOOKUP($S$482,'TAR FIN'!$A$1:$O$91,15,0)),0,VLOOKUP($S$482,'TAR FIN'!$A$1:$O$91,15,0))</f>
        <v>0</v>
      </c>
      <c r="W482" s="4">
        <f>IF(ISERROR(VLOOKUP($T$482,'TAR FIN'!$A$1:$O$91,15,0)),0,VLOOKUP($T$482,'TAR FIN'!$A$1:$O$91,15,0))</f>
        <v>275.13</v>
      </c>
      <c r="X482" s="4">
        <f>IF(ISERROR(VLOOKUP($U$482,'TAR FIN'!$A$1:$O$91,15,0)),0,VLOOKUP($U$482,'TAR FIN'!$A$1:$O$91,15,0))</f>
        <v>219.34</v>
      </c>
      <c r="Y482" s="4"/>
      <c r="Z482" s="4">
        <f ca="1">('TUSD BE'!$AM$36+'TUSD BF'!$AM$36+'TUSD CVA'!$AM$36)*(1-CUSTOS!$M$38)</f>
        <v>364.4729686309102</v>
      </c>
      <c r="AA482" s="4">
        <f>('TE BE'!$AB$26+'TE BF'!$AB$26+'TE CVA'!$AB$26)*(1-CUSTOS!$M$38)</f>
        <v>191.17977782719129</v>
      </c>
      <c r="AB482" s="4">
        <f>$K$482*$V$482</f>
        <v>0</v>
      </c>
      <c r="AC482" s="4">
        <f>$M$482*$W$482</f>
        <v>20753.331029999998</v>
      </c>
      <c r="AD482" s="4">
        <f>$O$482*$X$482</f>
        <v>16545.035540000001</v>
      </c>
      <c r="AE482" s="4">
        <f>$K$482*$Y$482</f>
        <v>0</v>
      </c>
      <c r="AF482" s="4">
        <f ca="1">$M$482*$Z$482</f>
        <v>27492.560496798185</v>
      </c>
      <c r="AG482" s="4">
        <f>$O$482*$AA$482</f>
        <v>14420.881821282865</v>
      </c>
    </row>
    <row r="483" spans="1:33" ht="11.25" customHeight="1" x14ac:dyDescent="0.25">
      <c r="A483" s="3" t="s">
        <v>28</v>
      </c>
      <c r="B483" s="3" t="s">
        <v>40</v>
      </c>
      <c r="C483" s="3" t="s">
        <v>23</v>
      </c>
      <c r="D483" s="3" t="s">
        <v>41</v>
      </c>
      <c r="E483" s="3" t="s">
        <v>53</v>
      </c>
      <c r="F483" s="3" t="s">
        <v>51</v>
      </c>
      <c r="G483" s="3" t="s">
        <v>25</v>
      </c>
      <c r="H483" s="3" t="s">
        <v>25</v>
      </c>
      <c r="I483" s="6">
        <v>44682</v>
      </c>
      <c r="J483" s="4">
        <v>0</v>
      </c>
      <c r="K483" s="4">
        <v>0</v>
      </c>
      <c r="L483" s="4">
        <v>21.283000000000001</v>
      </c>
      <c r="M483" s="4">
        <v>21.283000000000001</v>
      </c>
      <c r="N483" s="4">
        <v>21.283000000000001</v>
      </c>
      <c r="O483" s="4">
        <v>21.283000000000001</v>
      </c>
      <c r="P483" s="4">
        <v>0</v>
      </c>
      <c r="Q483" s="3" t="s">
        <v>26</v>
      </c>
      <c r="R483" s="3">
        <v>0</v>
      </c>
      <c r="S483" s="4">
        <v>0</v>
      </c>
      <c r="T483" s="4">
        <v>24</v>
      </c>
      <c r="U483" s="4">
        <v>63</v>
      </c>
      <c r="V483" s="4">
        <f>IF(ISERROR(VLOOKUP($S$483,'TAR FIN'!$A$1:$O$91,15,0)),0,VLOOKUP($S$483,'TAR FIN'!$A$1:$O$91,15,0))</f>
        <v>0</v>
      </c>
      <c r="W483" s="4">
        <f>IF(ISERROR(VLOOKUP($T$483,'TAR FIN'!$A$1:$O$91,15,0)),0,VLOOKUP($T$483,'TAR FIN'!$A$1:$O$91,15,0))</f>
        <v>275.13</v>
      </c>
      <c r="X483" s="4">
        <f>IF(ISERROR(VLOOKUP($U$483,'TAR FIN'!$A$1:$O$91,15,0)),0,VLOOKUP($U$483,'TAR FIN'!$A$1:$O$91,15,0))</f>
        <v>219.34</v>
      </c>
      <c r="Y483" s="4"/>
      <c r="Z483" s="4">
        <f ca="1">('TUSD BE'!$AM$36+'TUSD BF'!$AM$36+'TUSD CVA'!$AM$36)*(1-CUSTOS!$M$38)</f>
        <v>364.4729686309102</v>
      </c>
      <c r="AA483" s="4">
        <f>('TE BE'!$AB$26+'TE BF'!$AB$26+'TE CVA'!$AB$26)*(1-CUSTOS!$M$38)</f>
        <v>191.17977782719129</v>
      </c>
      <c r="AB483" s="4">
        <f>$K$483*$V$483</f>
        <v>0</v>
      </c>
      <c r="AC483" s="4">
        <f>$M$483*$W$483</f>
        <v>5855.5917900000004</v>
      </c>
      <c r="AD483" s="4">
        <f>$O$483*$X$483</f>
        <v>4668.2132200000005</v>
      </c>
      <c r="AE483" s="4">
        <f>$K$483*$Y$483</f>
        <v>0</v>
      </c>
      <c r="AF483" s="4">
        <f ca="1">$M$483*$Z$483</f>
        <v>7757.0781913716619</v>
      </c>
      <c r="AG483" s="4">
        <f>$O$483*$AA$483</f>
        <v>4068.8792114961125</v>
      </c>
    </row>
    <row r="484" spans="1:33" ht="11.25" customHeight="1" x14ac:dyDescent="0.25">
      <c r="A484" s="3" t="s">
        <v>21</v>
      </c>
      <c r="B484" s="3" t="s">
        <v>40</v>
      </c>
      <c r="C484" s="3" t="s">
        <v>23</v>
      </c>
      <c r="D484" s="3" t="s">
        <v>41</v>
      </c>
      <c r="E484" s="3" t="s">
        <v>53</v>
      </c>
      <c r="F484" s="3" t="s">
        <v>51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49.536000000000001</v>
      </c>
      <c r="M484" s="4">
        <v>49.536000000000001</v>
      </c>
      <c r="N484" s="4">
        <v>49.536000000000001</v>
      </c>
      <c r="O484" s="4">
        <v>49.536000000000001</v>
      </c>
      <c r="P484" s="4">
        <v>0</v>
      </c>
      <c r="Q484" s="3" t="s">
        <v>26</v>
      </c>
      <c r="R484" s="3">
        <v>0</v>
      </c>
      <c r="S484" s="4">
        <v>0</v>
      </c>
      <c r="T484" s="4">
        <v>24</v>
      </c>
      <c r="U484" s="4">
        <v>63</v>
      </c>
      <c r="V484" s="4">
        <f>IF(ISERROR(VLOOKUP($S$484,'TAR FIN'!$A$1:$O$91,15,0)),0,VLOOKUP($S$484,'TAR FIN'!$A$1:$O$91,15,0))</f>
        <v>0</v>
      </c>
      <c r="W484" s="4">
        <f>IF(ISERROR(VLOOKUP($T$484,'TAR FIN'!$A$1:$O$91,15,0)),0,VLOOKUP($T$484,'TAR FIN'!$A$1:$O$91,15,0))</f>
        <v>275.13</v>
      </c>
      <c r="X484" s="4">
        <f>IF(ISERROR(VLOOKUP($U$484,'TAR FIN'!$A$1:$O$91,15,0)),0,VLOOKUP($U$484,'TAR FIN'!$A$1:$O$91,15,0))</f>
        <v>219.34</v>
      </c>
      <c r="Y484" s="4"/>
      <c r="Z484" s="4">
        <f ca="1">('TUSD BE'!$AM$36+'TUSD BF'!$AM$36+'TUSD CVA'!$AM$36)*(1-CUSTOS!$M$38)</f>
        <v>364.4729686309102</v>
      </c>
      <c r="AA484" s="4">
        <f>('TE BE'!$AB$26+'TE BF'!$AB$26+'TE CVA'!$AB$26)*(1-CUSTOS!$M$38)</f>
        <v>191.17977782719129</v>
      </c>
      <c r="AB484" s="4">
        <f>$K$484*$V$484</f>
        <v>0</v>
      </c>
      <c r="AC484" s="4">
        <f>$M$484*$W$484</f>
        <v>13628.839680000001</v>
      </c>
      <c r="AD484" s="4">
        <f>$O$484*$X$484</f>
        <v>10865.22624</v>
      </c>
      <c r="AE484" s="4">
        <f>$K$484*$Y$484</f>
        <v>0</v>
      </c>
      <c r="AF484" s="4">
        <f ca="1">$M$484*$Z$484</f>
        <v>18054.53297410077</v>
      </c>
      <c r="AG484" s="4">
        <f>$O$484*$AA$484</f>
        <v>9470.2814744477473</v>
      </c>
    </row>
    <row r="485" spans="1:33" ht="11.25" customHeight="1" x14ac:dyDescent="0.25">
      <c r="A485" s="3" t="s">
        <v>28</v>
      </c>
      <c r="B485" s="3" t="s">
        <v>40</v>
      </c>
      <c r="C485" s="3" t="s">
        <v>23</v>
      </c>
      <c r="D485" s="3" t="s">
        <v>41</v>
      </c>
      <c r="E485" s="3" t="s">
        <v>53</v>
      </c>
      <c r="F485" s="3" t="s">
        <v>51</v>
      </c>
      <c r="G485" s="3" t="s">
        <v>25</v>
      </c>
      <c r="H485" s="3" t="s">
        <v>25</v>
      </c>
      <c r="I485" s="6">
        <v>44713</v>
      </c>
      <c r="J485" s="4">
        <v>0</v>
      </c>
      <c r="K485" s="4">
        <v>0</v>
      </c>
      <c r="L485" s="4">
        <v>14.411</v>
      </c>
      <c r="M485" s="4">
        <v>14.411</v>
      </c>
      <c r="N485" s="4">
        <v>14.411</v>
      </c>
      <c r="O485" s="4">
        <v>14.411</v>
      </c>
      <c r="P485" s="4">
        <v>0</v>
      </c>
      <c r="Q485" s="3" t="s">
        <v>26</v>
      </c>
      <c r="R485" s="3">
        <v>0</v>
      </c>
      <c r="S485" s="4">
        <v>0</v>
      </c>
      <c r="T485" s="4">
        <v>24</v>
      </c>
      <c r="U485" s="4">
        <v>63</v>
      </c>
      <c r="V485" s="4">
        <f>IF(ISERROR(VLOOKUP($S$485,'TAR FIN'!$A$1:$O$91,15,0)),0,VLOOKUP($S$485,'TAR FIN'!$A$1:$O$91,15,0))</f>
        <v>0</v>
      </c>
      <c r="W485" s="4">
        <f>IF(ISERROR(VLOOKUP($T$485,'TAR FIN'!$A$1:$O$91,15,0)),0,VLOOKUP($T$485,'TAR FIN'!$A$1:$O$91,15,0))</f>
        <v>275.13</v>
      </c>
      <c r="X485" s="4">
        <f>IF(ISERROR(VLOOKUP($U$485,'TAR FIN'!$A$1:$O$91,15,0)),0,VLOOKUP($U$485,'TAR FIN'!$A$1:$O$91,15,0))</f>
        <v>219.34</v>
      </c>
      <c r="Y485" s="4"/>
      <c r="Z485" s="4">
        <f ca="1">('TUSD BE'!$AM$36+'TUSD BF'!$AM$36+'TUSD CVA'!$AM$36)*(1-CUSTOS!$M$38)</f>
        <v>364.4729686309102</v>
      </c>
      <c r="AA485" s="4">
        <f>('TE BE'!$AB$26+'TE BF'!$AB$26+'TE CVA'!$AB$26)*(1-CUSTOS!$M$38)</f>
        <v>191.17977782719129</v>
      </c>
      <c r="AB485" s="4">
        <f>$K$485*$V$485</f>
        <v>0</v>
      </c>
      <c r="AC485" s="4">
        <f>$M$485*$W$485</f>
        <v>3964.8984299999997</v>
      </c>
      <c r="AD485" s="4">
        <f>$O$485*$X$485</f>
        <v>3160.9087399999999</v>
      </c>
      <c r="AE485" s="4">
        <f>$K$485*$Y$485</f>
        <v>0</v>
      </c>
      <c r="AF485" s="4">
        <f ca="1">$M$485*$Z$485</f>
        <v>5252.4199509400469</v>
      </c>
      <c r="AG485" s="4">
        <f>$O$485*$AA$485</f>
        <v>2755.0917782676534</v>
      </c>
    </row>
    <row r="486" spans="1:33" ht="11.25" customHeight="1" x14ac:dyDescent="0.25">
      <c r="A486" s="3" t="s">
        <v>21</v>
      </c>
      <c r="B486" s="3" t="s">
        <v>40</v>
      </c>
      <c r="C486" s="3" t="s">
        <v>23</v>
      </c>
      <c r="D486" s="3" t="s">
        <v>41</v>
      </c>
      <c r="E486" s="3" t="s">
        <v>53</v>
      </c>
      <c r="F486" s="3" t="s">
        <v>51</v>
      </c>
      <c r="G486" s="3" t="s">
        <v>25</v>
      </c>
      <c r="H486" s="3" t="s">
        <v>25</v>
      </c>
      <c r="I486" s="6">
        <v>44743</v>
      </c>
      <c r="J486" s="4">
        <v>0</v>
      </c>
      <c r="K486" s="4">
        <v>0</v>
      </c>
      <c r="L486" s="4">
        <v>34.773000000000003</v>
      </c>
      <c r="M486" s="4">
        <v>34.773000000000003</v>
      </c>
      <c r="N486" s="4">
        <v>34.773000000000003</v>
      </c>
      <c r="O486" s="4">
        <v>34.773000000000003</v>
      </c>
      <c r="P486" s="4">
        <v>0</v>
      </c>
      <c r="Q486" s="3" t="s">
        <v>26</v>
      </c>
      <c r="R486" s="3">
        <v>0</v>
      </c>
      <c r="S486" s="4">
        <v>0</v>
      </c>
      <c r="T486" s="4">
        <v>24</v>
      </c>
      <c r="U486" s="4">
        <v>63</v>
      </c>
      <c r="V486" s="4">
        <f>IF(ISERROR(VLOOKUP($S$486,'TAR FIN'!$A$1:$O$91,15,0)),0,VLOOKUP($S$486,'TAR FIN'!$A$1:$O$91,15,0))</f>
        <v>0</v>
      </c>
      <c r="W486" s="4">
        <f>IF(ISERROR(VLOOKUP($T$486,'TAR FIN'!$A$1:$O$91,15,0)),0,VLOOKUP($T$486,'TAR FIN'!$A$1:$O$91,15,0))</f>
        <v>275.13</v>
      </c>
      <c r="X486" s="4">
        <f>IF(ISERROR(VLOOKUP($U$486,'TAR FIN'!$A$1:$O$91,15,0)),0,VLOOKUP($U$486,'TAR FIN'!$A$1:$O$91,15,0))</f>
        <v>219.34</v>
      </c>
      <c r="Y486" s="4"/>
      <c r="Z486" s="4">
        <f ca="1">('TUSD BE'!$AM$36+'TUSD BF'!$AM$36+'TUSD CVA'!$AM$36)*(1-CUSTOS!$M$38)</f>
        <v>364.4729686309102</v>
      </c>
      <c r="AA486" s="4">
        <f>('TE BE'!$AB$26+'TE BF'!$AB$26+'TE CVA'!$AB$26)*(1-CUSTOS!$M$38)</f>
        <v>191.17977782719129</v>
      </c>
      <c r="AB486" s="4">
        <f>$K$486*$V$486</f>
        <v>0</v>
      </c>
      <c r="AC486" s="4">
        <f>$M$486*$W$486</f>
        <v>9567.0954900000015</v>
      </c>
      <c r="AD486" s="4">
        <f>$O$486*$X$486</f>
        <v>7627.1098200000006</v>
      </c>
      <c r="AE486" s="4">
        <f>$K$486*$Y$486</f>
        <v>0</v>
      </c>
      <c r="AF486" s="4">
        <f ca="1">$M$486*$Z$486</f>
        <v>12673.818538202642</v>
      </c>
      <c r="AG486" s="4">
        <f>$O$486*$AA$486</f>
        <v>6647.894414384923</v>
      </c>
    </row>
    <row r="487" spans="1:33" ht="11.25" customHeight="1" x14ac:dyDescent="0.25">
      <c r="A487" s="3" t="s">
        <v>21</v>
      </c>
      <c r="B487" s="3" t="s">
        <v>40</v>
      </c>
      <c r="C487" s="3" t="s">
        <v>23</v>
      </c>
      <c r="D487" s="3" t="s">
        <v>41</v>
      </c>
      <c r="E487" s="3" t="s">
        <v>53</v>
      </c>
      <c r="F487" s="3" t="s">
        <v>51</v>
      </c>
      <c r="G487" s="3" t="s">
        <v>25</v>
      </c>
      <c r="H487" s="3" t="s">
        <v>25</v>
      </c>
      <c r="I487" s="6">
        <v>44774</v>
      </c>
      <c r="J487" s="4">
        <v>0</v>
      </c>
      <c r="K487" s="4">
        <v>0</v>
      </c>
      <c r="L487" s="4">
        <v>33.787999999999997</v>
      </c>
      <c r="M487" s="4">
        <v>33.787999999999997</v>
      </c>
      <c r="N487" s="4">
        <v>33.787999999999997</v>
      </c>
      <c r="O487" s="4">
        <v>33.787999999999997</v>
      </c>
      <c r="P487" s="4">
        <v>0</v>
      </c>
      <c r="Q487" s="3" t="s">
        <v>26</v>
      </c>
      <c r="R487" s="3">
        <v>0</v>
      </c>
      <c r="S487" s="4">
        <v>0</v>
      </c>
      <c r="T487" s="4">
        <v>24</v>
      </c>
      <c r="U487" s="4">
        <v>63</v>
      </c>
      <c r="V487" s="4">
        <f>IF(ISERROR(VLOOKUP($S$487,'TAR FIN'!$A$1:$O$91,15,0)),0,VLOOKUP($S$487,'TAR FIN'!$A$1:$O$91,15,0))</f>
        <v>0</v>
      </c>
      <c r="W487" s="4">
        <f>IF(ISERROR(VLOOKUP($T$487,'TAR FIN'!$A$1:$O$91,15,0)),0,VLOOKUP($T$487,'TAR FIN'!$A$1:$O$91,15,0))</f>
        <v>275.13</v>
      </c>
      <c r="X487" s="4">
        <f>IF(ISERROR(VLOOKUP($U$487,'TAR FIN'!$A$1:$O$91,15,0)),0,VLOOKUP($U$487,'TAR FIN'!$A$1:$O$91,15,0))</f>
        <v>219.34</v>
      </c>
      <c r="Y487" s="4"/>
      <c r="Z487" s="4">
        <f ca="1">('TUSD BE'!$AM$36+'TUSD BF'!$AM$36+'TUSD CVA'!$AM$36)*(1-CUSTOS!$M$38)</f>
        <v>364.4729686309102</v>
      </c>
      <c r="AA487" s="4">
        <f>('TE BE'!$AB$26+'TE BF'!$AB$26+'TE CVA'!$AB$26)*(1-CUSTOS!$M$38)</f>
        <v>191.17977782719129</v>
      </c>
      <c r="AB487" s="4">
        <f>$K$487*$V$487</f>
        <v>0</v>
      </c>
      <c r="AC487" s="4">
        <f>$M$487*$W$487</f>
        <v>9296.0924399999985</v>
      </c>
      <c r="AD487" s="4">
        <f>$O$487*$X$487</f>
        <v>7411.0599199999997</v>
      </c>
      <c r="AE487" s="4">
        <f>$K$487*$Y$487</f>
        <v>0</v>
      </c>
      <c r="AF487" s="4">
        <f ca="1">$M$487*$Z$487</f>
        <v>12314.812664101193</v>
      </c>
      <c r="AG487" s="4">
        <f>$O$487*$AA$487</f>
        <v>6459.5823332251384</v>
      </c>
    </row>
    <row r="488" spans="1:33" ht="11.25" customHeight="1" x14ac:dyDescent="0.25">
      <c r="A488" s="3" t="s">
        <v>28</v>
      </c>
      <c r="B488" s="3" t="s">
        <v>40</v>
      </c>
      <c r="C488" s="3" t="s">
        <v>23</v>
      </c>
      <c r="D488" s="3" t="s">
        <v>41</v>
      </c>
      <c r="E488" s="3" t="s">
        <v>53</v>
      </c>
      <c r="F488" s="3" t="s">
        <v>51</v>
      </c>
      <c r="G488" s="3" t="s">
        <v>25</v>
      </c>
      <c r="H488" s="3" t="s">
        <v>25</v>
      </c>
      <c r="I488" s="6">
        <v>44774</v>
      </c>
      <c r="J488" s="4">
        <v>0</v>
      </c>
      <c r="K488" s="4">
        <v>0</v>
      </c>
      <c r="L488" s="4">
        <v>10.808999999999999</v>
      </c>
      <c r="M488" s="4">
        <v>10.808999999999999</v>
      </c>
      <c r="N488" s="4">
        <v>10.808999999999999</v>
      </c>
      <c r="O488" s="4">
        <v>10.808999999999999</v>
      </c>
      <c r="P488" s="4">
        <v>0</v>
      </c>
      <c r="Q488" s="3" t="s">
        <v>26</v>
      </c>
      <c r="R488" s="3">
        <v>0</v>
      </c>
      <c r="S488" s="4">
        <v>0</v>
      </c>
      <c r="T488" s="4">
        <v>24</v>
      </c>
      <c r="U488" s="4">
        <v>63</v>
      </c>
      <c r="V488" s="4">
        <f>IF(ISERROR(VLOOKUP($S$488,'TAR FIN'!$A$1:$O$91,15,0)),0,VLOOKUP($S$488,'TAR FIN'!$A$1:$O$91,15,0))</f>
        <v>0</v>
      </c>
      <c r="W488" s="4">
        <f>IF(ISERROR(VLOOKUP($T$488,'TAR FIN'!$A$1:$O$91,15,0)),0,VLOOKUP($T$488,'TAR FIN'!$A$1:$O$91,15,0))</f>
        <v>275.13</v>
      </c>
      <c r="X488" s="4">
        <f>IF(ISERROR(VLOOKUP($U$488,'TAR FIN'!$A$1:$O$91,15,0)),0,VLOOKUP($U$488,'TAR FIN'!$A$1:$O$91,15,0))</f>
        <v>219.34</v>
      </c>
      <c r="Y488" s="4"/>
      <c r="Z488" s="4">
        <f ca="1">('TUSD BE'!$AM$36+'TUSD BF'!$AM$36+'TUSD CVA'!$AM$36)*(1-CUSTOS!$M$38)</f>
        <v>364.4729686309102</v>
      </c>
      <c r="AA488" s="4">
        <f>('TE BE'!$AB$26+'TE BF'!$AB$26+'TE CVA'!$AB$26)*(1-CUSTOS!$M$38)</f>
        <v>191.17977782719129</v>
      </c>
      <c r="AB488" s="4">
        <f>$K$488*$V$488</f>
        <v>0</v>
      </c>
      <c r="AC488" s="4">
        <f>$M$488*$W$488</f>
        <v>2973.8801699999999</v>
      </c>
      <c r="AD488" s="4">
        <f>$O$488*$X$488</f>
        <v>2370.8460599999999</v>
      </c>
      <c r="AE488" s="4">
        <f>$K$488*$Y$488</f>
        <v>0</v>
      </c>
      <c r="AF488" s="4">
        <f ca="1">$M$488*$Z$488</f>
        <v>3939.5883179315083</v>
      </c>
      <c r="AG488" s="4">
        <f>$O$488*$AA$488</f>
        <v>2066.4622185341104</v>
      </c>
    </row>
    <row r="489" spans="1:33" ht="11.25" customHeight="1" x14ac:dyDescent="0.25">
      <c r="A489" s="3" t="s">
        <v>21</v>
      </c>
      <c r="B489" s="3" t="s">
        <v>40</v>
      </c>
      <c r="C489" s="3" t="s">
        <v>23</v>
      </c>
      <c r="D489" s="3" t="s">
        <v>41</v>
      </c>
      <c r="E489" s="3" t="s">
        <v>53</v>
      </c>
      <c r="F489" s="3" t="s">
        <v>52</v>
      </c>
      <c r="G489" s="3" t="s">
        <v>25</v>
      </c>
      <c r="H489" s="3" t="s">
        <v>25</v>
      </c>
      <c r="I489" s="6">
        <v>44440</v>
      </c>
      <c r="J489" s="4">
        <v>0</v>
      </c>
      <c r="K489" s="4">
        <v>0</v>
      </c>
      <c r="L489" s="4">
        <v>63.085000000000001</v>
      </c>
      <c r="M489" s="4">
        <v>25.234000000000002</v>
      </c>
      <c r="N489" s="4">
        <v>63.085000000000001</v>
      </c>
      <c r="O489" s="4">
        <v>25.234000000000002</v>
      </c>
      <c r="P489" s="4">
        <v>0</v>
      </c>
      <c r="Q489" s="3" t="s">
        <v>26</v>
      </c>
      <c r="R489" s="3">
        <v>0</v>
      </c>
      <c r="S489" s="4">
        <v>0</v>
      </c>
      <c r="T489" s="4">
        <v>24</v>
      </c>
      <c r="U489" s="4">
        <v>63</v>
      </c>
      <c r="V489" s="4">
        <f>IF(ISERROR(VLOOKUP($S$489,'TAR FIN'!$A$1:$O$91,15,0)),0,VLOOKUP($S$489,'TAR FIN'!$A$1:$O$91,15,0))</f>
        <v>0</v>
      </c>
      <c r="W489" s="4">
        <f>IF(ISERROR(VLOOKUP($T$489,'TAR FIN'!$A$1:$O$91,15,0)),0,VLOOKUP($T$489,'TAR FIN'!$A$1:$O$91,15,0))</f>
        <v>275.13</v>
      </c>
      <c r="X489" s="4">
        <f>IF(ISERROR(VLOOKUP($U$489,'TAR FIN'!$A$1:$O$91,15,0)),0,VLOOKUP($U$489,'TAR FIN'!$A$1:$O$91,15,0))</f>
        <v>219.34</v>
      </c>
      <c r="Y489" s="4"/>
      <c r="Z489" s="4">
        <f ca="1">('TUSD BE'!$AM$36+'TUSD BF'!$AM$36+'TUSD CVA'!$AM$36)*(1-CUSTOS!$M$38)</f>
        <v>364.4729686309102</v>
      </c>
      <c r="AA489" s="4">
        <f>('TE BE'!$AB$26+'TE BF'!$AB$26+'TE CVA'!$AB$26)*(1-CUSTOS!$M$38)</f>
        <v>191.17977782719129</v>
      </c>
      <c r="AB489" s="4">
        <f>$K$489*$V$489</f>
        <v>0</v>
      </c>
      <c r="AC489" s="4">
        <f>$M$489*$W$489</f>
        <v>6942.6304200000004</v>
      </c>
      <c r="AD489" s="4">
        <f>$O$489*$X$489</f>
        <v>5534.8255600000002</v>
      </c>
      <c r="AE489" s="4">
        <f>$K$489*$Y$489</f>
        <v>0</v>
      </c>
      <c r="AF489" s="4">
        <f ca="1">$M$489*$Z$489</f>
        <v>9197.1108904323883</v>
      </c>
      <c r="AG489" s="4">
        <f>$O$489*$AA$489</f>
        <v>4824.2305136913455</v>
      </c>
    </row>
    <row r="490" spans="1:33" ht="11.25" customHeight="1" x14ac:dyDescent="0.25">
      <c r="A490" s="3" t="s">
        <v>28</v>
      </c>
      <c r="B490" s="3" t="s">
        <v>40</v>
      </c>
      <c r="C490" s="3" t="s">
        <v>23</v>
      </c>
      <c r="D490" s="3" t="s">
        <v>41</v>
      </c>
      <c r="E490" s="3" t="s">
        <v>53</v>
      </c>
      <c r="F490" s="3" t="s">
        <v>52</v>
      </c>
      <c r="G490" s="3" t="s">
        <v>25</v>
      </c>
      <c r="H490" s="3" t="s">
        <v>25</v>
      </c>
      <c r="I490" s="6">
        <v>44440</v>
      </c>
      <c r="J490" s="4">
        <v>0</v>
      </c>
      <c r="K490" s="4">
        <v>0</v>
      </c>
      <c r="L490" s="4">
        <v>10.574</v>
      </c>
      <c r="M490" s="4">
        <v>10.574</v>
      </c>
      <c r="N490" s="4">
        <v>10.574</v>
      </c>
      <c r="O490" s="4">
        <v>10.574</v>
      </c>
      <c r="P490" s="4">
        <v>0</v>
      </c>
      <c r="Q490" s="3" t="s">
        <v>26</v>
      </c>
      <c r="R490" s="3">
        <v>0</v>
      </c>
      <c r="S490" s="4">
        <v>0</v>
      </c>
      <c r="T490" s="4">
        <v>24</v>
      </c>
      <c r="U490" s="4">
        <v>63</v>
      </c>
      <c r="V490" s="4">
        <f>IF(ISERROR(VLOOKUP($S$490,'TAR FIN'!$A$1:$O$91,15,0)),0,VLOOKUP($S$490,'TAR FIN'!$A$1:$O$91,15,0))</f>
        <v>0</v>
      </c>
      <c r="W490" s="4">
        <f>IF(ISERROR(VLOOKUP($T$490,'TAR FIN'!$A$1:$O$91,15,0)),0,VLOOKUP($T$490,'TAR FIN'!$A$1:$O$91,15,0))</f>
        <v>275.13</v>
      </c>
      <c r="X490" s="4">
        <f>IF(ISERROR(VLOOKUP($U$490,'TAR FIN'!$A$1:$O$91,15,0)),0,VLOOKUP($U$490,'TAR FIN'!$A$1:$O$91,15,0))</f>
        <v>219.34</v>
      </c>
      <c r="Y490" s="4"/>
      <c r="Z490" s="4">
        <f ca="1">('TUSD BE'!$AM$36+'TUSD BF'!$AM$36+'TUSD CVA'!$AM$36)*(1-CUSTOS!$M$38)</f>
        <v>364.4729686309102</v>
      </c>
      <c r="AA490" s="4">
        <f>('TE BE'!$AB$26+'TE BF'!$AB$26+'TE CVA'!$AB$26)*(1-CUSTOS!$M$38)</f>
        <v>191.17977782719129</v>
      </c>
      <c r="AB490" s="4">
        <f>$K$490*$V$490</f>
        <v>0</v>
      </c>
      <c r="AC490" s="4">
        <f>$M$490*$W$490</f>
        <v>2909.22462</v>
      </c>
      <c r="AD490" s="4">
        <f>$O$490*$X$490</f>
        <v>2319.30116</v>
      </c>
      <c r="AE490" s="4">
        <f>$K$490*$Y$490</f>
        <v>0</v>
      </c>
      <c r="AF490" s="4">
        <f ca="1">$M$490*$Z$490</f>
        <v>3853.9371703032443</v>
      </c>
      <c r="AG490" s="4">
        <f>$O$490*$AA$490</f>
        <v>2021.5349707447206</v>
      </c>
    </row>
    <row r="491" spans="1:33" ht="11.25" customHeight="1" x14ac:dyDescent="0.25">
      <c r="A491" s="3" t="s">
        <v>21</v>
      </c>
      <c r="B491" s="3" t="s">
        <v>40</v>
      </c>
      <c r="C491" s="3" t="s">
        <v>23</v>
      </c>
      <c r="D491" s="3" t="s">
        <v>41</v>
      </c>
      <c r="E491" s="3" t="s">
        <v>53</v>
      </c>
      <c r="F491" s="3" t="s">
        <v>52</v>
      </c>
      <c r="G491" s="3" t="s">
        <v>25</v>
      </c>
      <c r="H491" s="3" t="s">
        <v>25</v>
      </c>
      <c r="I491" s="6">
        <v>44470</v>
      </c>
      <c r="J491" s="4">
        <v>0</v>
      </c>
      <c r="K491" s="4">
        <v>0</v>
      </c>
      <c r="L491" s="4">
        <v>71.875</v>
      </c>
      <c r="M491" s="4">
        <v>28.75</v>
      </c>
      <c r="N491" s="4">
        <v>71.875</v>
      </c>
      <c r="O491" s="4">
        <v>28.75</v>
      </c>
      <c r="P491" s="4">
        <v>0</v>
      </c>
      <c r="Q491" s="3" t="s">
        <v>26</v>
      </c>
      <c r="R491" s="3">
        <v>0</v>
      </c>
      <c r="S491" s="4">
        <v>0</v>
      </c>
      <c r="T491" s="4">
        <v>24</v>
      </c>
      <c r="U491" s="4">
        <v>63</v>
      </c>
      <c r="V491" s="4">
        <f>IF(ISERROR(VLOOKUP($S$491,'TAR FIN'!$A$1:$O$91,15,0)),0,VLOOKUP($S$491,'TAR FIN'!$A$1:$O$91,15,0))</f>
        <v>0</v>
      </c>
      <c r="W491" s="4">
        <f>IF(ISERROR(VLOOKUP($T$491,'TAR FIN'!$A$1:$O$91,15,0)),0,VLOOKUP($T$491,'TAR FIN'!$A$1:$O$91,15,0))</f>
        <v>275.13</v>
      </c>
      <c r="X491" s="4">
        <f>IF(ISERROR(VLOOKUP($U$491,'TAR FIN'!$A$1:$O$91,15,0)),0,VLOOKUP($U$491,'TAR FIN'!$A$1:$O$91,15,0))</f>
        <v>219.34</v>
      </c>
      <c r="Y491" s="4"/>
      <c r="Z491" s="4">
        <f ca="1">('TUSD BE'!$AM$36+'TUSD BF'!$AM$36+'TUSD CVA'!$AM$36)*(1-CUSTOS!$M$38)</f>
        <v>364.4729686309102</v>
      </c>
      <c r="AA491" s="4">
        <f>('TE BE'!$AB$26+'TE BF'!$AB$26+'TE CVA'!$AB$26)*(1-CUSTOS!$M$38)</f>
        <v>191.17977782719129</v>
      </c>
      <c r="AB491" s="4">
        <f>$K$491*$V$491</f>
        <v>0</v>
      </c>
      <c r="AC491" s="4">
        <f>$M$491*$W$491</f>
        <v>7909.9875000000002</v>
      </c>
      <c r="AD491" s="4">
        <f>$O$491*$X$491</f>
        <v>6306.0250000000005</v>
      </c>
      <c r="AE491" s="4">
        <f>$K$491*$Y$491</f>
        <v>0</v>
      </c>
      <c r="AF491" s="4">
        <f ca="1">$M$491*$Z$491</f>
        <v>10478.597848138668</v>
      </c>
      <c r="AG491" s="4">
        <f>$O$491*$AA$491</f>
        <v>5496.4186125317492</v>
      </c>
    </row>
    <row r="492" spans="1:33" ht="11.25" customHeight="1" x14ac:dyDescent="0.25">
      <c r="A492" s="3" t="s">
        <v>28</v>
      </c>
      <c r="B492" s="3" t="s">
        <v>40</v>
      </c>
      <c r="C492" s="3" t="s">
        <v>23</v>
      </c>
      <c r="D492" s="3" t="s">
        <v>41</v>
      </c>
      <c r="E492" s="3" t="s">
        <v>53</v>
      </c>
      <c r="F492" s="3" t="s">
        <v>52</v>
      </c>
      <c r="G492" s="3" t="s">
        <v>25</v>
      </c>
      <c r="H492" s="3" t="s">
        <v>25</v>
      </c>
      <c r="I492" s="6">
        <v>44470</v>
      </c>
      <c r="J492" s="4">
        <v>0</v>
      </c>
      <c r="K492" s="4">
        <v>0</v>
      </c>
      <c r="L492" s="4">
        <v>16.195</v>
      </c>
      <c r="M492" s="4">
        <v>16.195</v>
      </c>
      <c r="N492" s="4">
        <v>16.195</v>
      </c>
      <c r="O492" s="4">
        <v>16.195</v>
      </c>
      <c r="P492" s="4">
        <v>0</v>
      </c>
      <c r="Q492" s="3" t="s">
        <v>26</v>
      </c>
      <c r="R492" s="3">
        <v>0</v>
      </c>
      <c r="S492" s="4">
        <v>0</v>
      </c>
      <c r="T492" s="4">
        <v>24</v>
      </c>
      <c r="U492" s="4">
        <v>63</v>
      </c>
      <c r="V492" s="4">
        <f>IF(ISERROR(VLOOKUP($S$492,'TAR FIN'!$A$1:$O$91,15,0)),0,VLOOKUP($S$492,'TAR FIN'!$A$1:$O$91,15,0))</f>
        <v>0</v>
      </c>
      <c r="W492" s="4">
        <f>IF(ISERROR(VLOOKUP($T$492,'TAR FIN'!$A$1:$O$91,15,0)),0,VLOOKUP($T$492,'TAR FIN'!$A$1:$O$91,15,0))</f>
        <v>275.13</v>
      </c>
      <c r="X492" s="4">
        <f>IF(ISERROR(VLOOKUP($U$492,'TAR FIN'!$A$1:$O$91,15,0)),0,VLOOKUP($U$492,'TAR FIN'!$A$1:$O$91,15,0))</f>
        <v>219.34</v>
      </c>
      <c r="Y492" s="4"/>
      <c r="Z492" s="4">
        <f ca="1">('TUSD BE'!$AM$36+'TUSD BF'!$AM$36+'TUSD CVA'!$AM$36)*(1-CUSTOS!$M$38)</f>
        <v>364.4729686309102</v>
      </c>
      <c r="AA492" s="4">
        <f>('TE BE'!$AB$26+'TE BF'!$AB$26+'TE CVA'!$AB$26)*(1-CUSTOS!$M$38)</f>
        <v>191.17977782719129</v>
      </c>
      <c r="AB492" s="4">
        <f>$K$492*$V$492</f>
        <v>0</v>
      </c>
      <c r="AC492" s="4">
        <f>$M$492*$W$492</f>
        <v>4455.7303499999998</v>
      </c>
      <c r="AD492" s="4">
        <f>$O$492*$X$492</f>
        <v>3552.2112999999999</v>
      </c>
      <c r="AE492" s="4">
        <f>$K$492*$Y$492</f>
        <v>0</v>
      </c>
      <c r="AF492" s="4">
        <f ca="1">$M$492*$Z$492</f>
        <v>5902.6397269775907</v>
      </c>
      <c r="AG492" s="4">
        <f>$O$492*$AA$492</f>
        <v>3096.1565019113627</v>
      </c>
    </row>
    <row r="493" spans="1:33" ht="11.25" customHeight="1" x14ac:dyDescent="0.25">
      <c r="A493" s="3" t="s">
        <v>21</v>
      </c>
      <c r="B493" s="3" t="s">
        <v>40</v>
      </c>
      <c r="C493" s="3" t="s">
        <v>23</v>
      </c>
      <c r="D493" s="3" t="s">
        <v>41</v>
      </c>
      <c r="E493" s="3" t="s">
        <v>53</v>
      </c>
      <c r="F493" s="3" t="s">
        <v>52</v>
      </c>
      <c r="G493" s="3" t="s">
        <v>25</v>
      </c>
      <c r="H493" s="3" t="s">
        <v>25</v>
      </c>
      <c r="I493" s="6">
        <v>44501</v>
      </c>
      <c r="J493" s="4">
        <v>0</v>
      </c>
      <c r="K493" s="4">
        <v>0</v>
      </c>
      <c r="L493" s="4">
        <v>79.635000000000005</v>
      </c>
      <c r="M493" s="4">
        <v>31.853999999999999</v>
      </c>
      <c r="N493" s="4">
        <v>79.635000000000005</v>
      </c>
      <c r="O493" s="4">
        <v>31.853999999999999</v>
      </c>
      <c r="P493" s="4">
        <v>0</v>
      </c>
      <c r="Q493" s="3" t="s">
        <v>26</v>
      </c>
      <c r="R493" s="3">
        <v>0</v>
      </c>
      <c r="S493" s="4">
        <v>0</v>
      </c>
      <c r="T493" s="4">
        <v>24</v>
      </c>
      <c r="U493" s="4">
        <v>63</v>
      </c>
      <c r="V493" s="4">
        <f>IF(ISERROR(VLOOKUP($S$493,'TAR FIN'!$A$1:$O$91,15,0)),0,VLOOKUP($S$493,'TAR FIN'!$A$1:$O$91,15,0))</f>
        <v>0</v>
      </c>
      <c r="W493" s="4">
        <f>IF(ISERROR(VLOOKUP($T$493,'TAR FIN'!$A$1:$O$91,15,0)),0,VLOOKUP($T$493,'TAR FIN'!$A$1:$O$91,15,0))</f>
        <v>275.13</v>
      </c>
      <c r="X493" s="4">
        <f>IF(ISERROR(VLOOKUP($U$493,'TAR FIN'!$A$1:$O$91,15,0)),0,VLOOKUP($U$493,'TAR FIN'!$A$1:$O$91,15,0))</f>
        <v>219.34</v>
      </c>
      <c r="Y493" s="4"/>
      <c r="Z493" s="4">
        <f ca="1">('TUSD BE'!$AM$36+'TUSD BF'!$AM$36+'TUSD CVA'!$AM$36)*(1-CUSTOS!$M$38)</f>
        <v>364.4729686309102</v>
      </c>
      <c r="AA493" s="4">
        <f>('TE BE'!$AB$26+'TE BF'!$AB$26+'TE CVA'!$AB$26)*(1-CUSTOS!$M$38)</f>
        <v>191.17977782719129</v>
      </c>
      <c r="AB493" s="4">
        <f>$K$493*$V$493</f>
        <v>0</v>
      </c>
      <c r="AC493" s="4">
        <f>$M$493*$W$493</f>
        <v>8763.9910199999995</v>
      </c>
      <c r="AD493" s="4">
        <f>$O$493*$X$493</f>
        <v>6986.8563599999998</v>
      </c>
      <c r="AE493" s="4">
        <f>$K$493*$Y$493</f>
        <v>0</v>
      </c>
      <c r="AF493" s="4">
        <f ca="1">$M$493*$Z$493</f>
        <v>11609.921942769013</v>
      </c>
      <c r="AG493" s="4">
        <f>$O$493*$AA$493</f>
        <v>6089.8406429073511</v>
      </c>
    </row>
    <row r="494" spans="1:33" ht="11.25" customHeight="1" x14ac:dyDescent="0.25">
      <c r="A494" s="3" t="s">
        <v>28</v>
      </c>
      <c r="B494" s="3" t="s">
        <v>40</v>
      </c>
      <c r="C494" s="3" t="s">
        <v>23</v>
      </c>
      <c r="D494" s="3" t="s">
        <v>41</v>
      </c>
      <c r="E494" s="3" t="s">
        <v>53</v>
      </c>
      <c r="F494" s="3" t="s">
        <v>52</v>
      </c>
      <c r="G494" s="3" t="s">
        <v>25</v>
      </c>
      <c r="H494" s="3" t="s">
        <v>25</v>
      </c>
      <c r="I494" s="6">
        <v>44501</v>
      </c>
      <c r="J494" s="4">
        <v>0</v>
      </c>
      <c r="K494" s="4">
        <v>0</v>
      </c>
      <c r="L494" s="4">
        <v>14.728</v>
      </c>
      <c r="M494" s="4">
        <v>14.728</v>
      </c>
      <c r="N494" s="4">
        <v>14.728</v>
      </c>
      <c r="O494" s="4">
        <v>14.728</v>
      </c>
      <c r="P494" s="4">
        <v>0</v>
      </c>
      <c r="Q494" s="3" t="s">
        <v>26</v>
      </c>
      <c r="R494" s="3">
        <v>0</v>
      </c>
      <c r="S494" s="4">
        <v>0</v>
      </c>
      <c r="T494" s="4">
        <v>24</v>
      </c>
      <c r="U494" s="4">
        <v>63</v>
      </c>
      <c r="V494" s="4">
        <f>IF(ISERROR(VLOOKUP($S$494,'TAR FIN'!$A$1:$O$91,15,0)),0,VLOOKUP($S$494,'TAR FIN'!$A$1:$O$91,15,0))</f>
        <v>0</v>
      </c>
      <c r="W494" s="4">
        <f>IF(ISERROR(VLOOKUP($T$494,'TAR FIN'!$A$1:$O$91,15,0)),0,VLOOKUP($T$494,'TAR FIN'!$A$1:$O$91,15,0))</f>
        <v>275.13</v>
      </c>
      <c r="X494" s="4">
        <f>IF(ISERROR(VLOOKUP($U$494,'TAR FIN'!$A$1:$O$91,15,0)),0,VLOOKUP($U$494,'TAR FIN'!$A$1:$O$91,15,0))</f>
        <v>219.34</v>
      </c>
      <c r="Y494" s="4"/>
      <c r="Z494" s="4">
        <f ca="1">('TUSD BE'!$AM$36+'TUSD BF'!$AM$36+'TUSD CVA'!$AM$36)*(1-CUSTOS!$M$38)</f>
        <v>364.4729686309102</v>
      </c>
      <c r="AA494" s="4">
        <f>('TE BE'!$AB$26+'TE BF'!$AB$26+'TE CVA'!$AB$26)*(1-CUSTOS!$M$38)</f>
        <v>191.17977782719129</v>
      </c>
      <c r="AB494" s="4">
        <f>$K$494*$V$494</f>
        <v>0</v>
      </c>
      <c r="AC494" s="4">
        <f>$M$494*$W$494</f>
        <v>4052.1146399999998</v>
      </c>
      <c r="AD494" s="4">
        <f>$O$494*$X$494</f>
        <v>3230.4395199999999</v>
      </c>
      <c r="AE494" s="4">
        <f>$K$494*$Y$494</f>
        <v>0</v>
      </c>
      <c r="AF494" s="4">
        <f ca="1">$M$494*$Z$494</f>
        <v>5367.9578819960452</v>
      </c>
      <c r="AG494" s="4">
        <f>$O$494*$AA$494</f>
        <v>2815.6957678388731</v>
      </c>
    </row>
    <row r="495" spans="1:33" ht="11.25" customHeight="1" x14ac:dyDescent="0.25">
      <c r="A495" s="3" t="s">
        <v>21</v>
      </c>
      <c r="B495" s="3" t="s">
        <v>40</v>
      </c>
      <c r="C495" s="3" t="s">
        <v>23</v>
      </c>
      <c r="D495" s="3" t="s">
        <v>41</v>
      </c>
      <c r="E495" s="3" t="s">
        <v>53</v>
      </c>
      <c r="F495" s="3" t="s">
        <v>52</v>
      </c>
      <c r="G495" s="3" t="s">
        <v>25</v>
      </c>
      <c r="H495" s="3" t="s">
        <v>25</v>
      </c>
      <c r="I495" s="6">
        <v>44531</v>
      </c>
      <c r="J495" s="4">
        <v>0</v>
      </c>
      <c r="K495" s="4">
        <v>0</v>
      </c>
      <c r="L495" s="4">
        <v>92.965999999999994</v>
      </c>
      <c r="M495" s="4">
        <v>37.186399999999999</v>
      </c>
      <c r="N495" s="4">
        <v>92.965999999999994</v>
      </c>
      <c r="O495" s="4">
        <v>37.186399999999999</v>
      </c>
      <c r="P495" s="4">
        <v>0</v>
      </c>
      <c r="Q495" s="3" t="s">
        <v>26</v>
      </c>
      <c r="R495" s="3">
        <v>0</v>
      </c>
      <c r="S495" s="4">
        <v>0</v>
      </c>
      <c r="T495" s="4">
        <v>24</v>
      </c>
      <c r="U495" s="4">
        <v>63</v>
      </c>
      <c r="V495" s="4">
        <f>IF(ISERROR(VLOOKUP($S$495,'TAR FIN'!$A$1:$O$91,15,0)),0,VLOOKUP($S$495,'TAR FIN'!$A$1:$O$91,15,0))</f>
        <v>0</v>
      </c>
      <c r="W495" s="4">
        <f>IF(ISERROR(VLOOKUP($T$495,'TAR FIN'!$A$1:$O$91,15,0)),0,VLOOKUP($T$495,'TAR FIN'!$A$1:$O$91,15,0))</f>
        <v>275.13</v>
      </c>
      <c r="X495" s="4">
        <f>IF(ISERROR(VLOOKUP($U$495,'TAR FIN'!$A$1:$O$91,15,0)),0,VLOOKUP($U$495,'TAR FIN'!$A$1:$O$91,15,0))</f>
        <v>219.34</v>
      </c>
      <c r="Y495" s="4"/>
      <c r="Z495" s="4">
        <f ca="1">('TUSD BE'!$AM$36+'TUSD BF'!$AM$36+'TUSD CVA'!$AM$36)*(1-CUSTOS!$M$38)</f>
        <v>364.4729686309102</v>
      </c>
      <c r="AA495" s="4">
        <f>('TE BE'!$AB$26+'TE BF'!$AB$26+'TE CVA'!$AB$26)*(1-CUSTOS!$M$38)</f>
        <v>191.17977782719129</v>
      </c>
      <c r="AB495" s="4">
        <f>$K$495*$V$495</f>
        <v>0</v>
      </c>
      <c r="AC495" s="4">
        <f>$M$495*$W$495</f>
        <v>10231.094231999999</v>
      </c>
      <c r="AD495" s="4">
        <f>$O$495*$X$495</f>
        <v>8156.4649760000002</v>
      </c>
      <c r="AE495" s="4">
        <f>$K$495*$Y$495</f>
        <v>0</v>
      </c>
      <c r="AF495" s="4">
        <f ca="1">$M$495*$Z$495</f>
        <v>13553.437600696479</v>
      </c>
      <c r="AG495" s="4">
        <f>$O$495*$AA$495</f>
        <v>7109.2876901930658</v>
      </c>
    </row>
    <row r="496" spans="1:33" ht="11.25" customHeight="1" x14ac:dyDescent="0.25">
      <c r="A496" s="3" t="s">
        <v>28</v>
      </c>
      <c r="B496" s="3" t="s">
        <v>40</v>
      </c>
      <c r="C496" s="3" t="s">
        <v>23</v>
      </c>
      <c r="D496" s="3" t="s">
        <v>41</v>
      </c>
      <c r="E496" s="3" t="s">
        <v>53</v>
      </c>
      <c r="F496" s="3" t="s">
        <v>52</v>
      </c>
      <c r="G496" s="3" t="s">
        <v>25</v>
      </c>
      <c r="H496" s="3" t="s">
        <v>25</v>
      </c>
      <c r="I496" s="6">
        <v>44531</v>
      </c>
      <c r="J496" s="4">
        <v>0</v>
      </c>
      <c r="K496" s="4">
        <v>0</v>
      </c>
      <c r="L496" s="4">
        <v>15.16</v>
      </c>
      <c r="M496" s="4">
        <v>15.16</v>
      </c>
      <c r="N496" s="4">
        <v>15.16</v>
      </c>
      <c r="O496" s="4">
        <v>15.16</v>
      </c>
      <c r="P496" s="4">
        <v>0</v>
      </c>
      <c r="Q496" s="3" t="s">
        <v>26</v>
      </c>
      <c r="R496" s="3">
        <v>0</v>
      </c>
      <c r="S496" s="4">
        <v>0</v>
      </c>
      <c r="T496" s="4">
        <v>24</v>
      </c>
      <c r="U496" s="4">
        <v>63</v>
      </c>
      <c r="V496" s="4">
        <f>IF(ISERROR(VLOOKUP($S$496,'TAR FIN'!$A$1:$O$91,15,0)),0,VLOOKUP($S$496,'TAR FIN'!$A$1:$O$91,15,0))</f>
        <v>0</v>
      </c>
      <c r="W496" s="4">
        <f>IF(ISERROR(VLOOKUP($T$496,'TAR FIN'!$A$1:$O$91,15,0)),0,VLOOKUP($T$496,'TAR FIN'!$A$1:$O$91,15,0))</f>
        <v>275.13</v>
      </c>
      <c r="X496" s="4">
        <f>IF(ISERROR(VLOOKUP($U$496,'TAR FIN'!$A$1:$O$91,15,0)),0,VLOOKUP($U$496,'TAR FIN'!$A$1:$O$91,15,0))</f>
        <v>219.34</v>
      </c>
      <c r="Y496" s="4"/>
      <c r="Z496" s="4">
        <f ca="1">('TUSD BE'!$AM$36+'TUSD BF'!$AM$36+'TUSD CVA'!$AM$36)*(1-CUSTOS!$M$38)</f>
        <v>364.4729686309102</v>
      </c>
      <c r="AA496" s="4">
        <f>('TE BE'!$AB$26+'TE BF'!$AB$26+'TE CVA'!$AB$26)*(1-CUSTOS!$M$38)</f>
        <v>191.17977782719129</v>
      </c>
      <c r="AB496" s="4">
        <f>$K$496*$V$496</f>
        <v>0</v>
      </c>
      <c r="AC496" s="4">
        <f>$M$496*$W$496</f>
        <v>4170.9708000000001</v>
      </c>
      <c r="AD496" s="4">
        <f>$O$496*$X$496</f>
        <v>3325.1943999999999</v>
      </c>
      <c r="AE496" s="4">
        <f>$K$496*$Y$496</f>
        <v>0</v>
      </c>
      <c r="AF496" s="4">
        <f ca="1">$M$496*$Z$496</f>
        <v>5525.410204444599</v>
      </c>
      <c r="AG496" s="4">
        <f>$O$496*$AA$496</f>
        <v>2898.2854318602199</v>
      </c>
    </row>
    <row r="497" spans="1:33" ht="11.25" customHeight="1" x14ac:dyDescent="0.25">
      <c r="A497" s="3" t="s">
        <v>21</v>
      </c>
      <c r="B497" s="3" t="s">
        <v>40</v>
      </c>
      <c r="C497" s="3" t="s">
        <v>23</v>
      </c>
      <c r="D497" s="3" t="s">
        <v>41</v>
      </c>
      <c r="E497" s="3" t="s">
        <v>53</v>
      </c>
      <c r="F497" s="3" t="s">
        <v>52</v>
      </c>
      <c r="G497" s="3" t="s">
        <v>25</v>
      </c>
      <c r="H497" s="3" t="s">
        <v>25</v>
      </c>
      <c r="I497" s="6">
        <v>44562</v>
      </c>
      <c r="J497" s="4">
        <v>0</v>
      </c>
      <c r="K497" s="4">
        <v>0</v>
      </c>
      <c r="L497" s="4">
        <v>93.600999999999999</v>
      </c>
      <c r="M497" s="4">
        <v>37.440399999999997</v>
      </c>
      <c r="N497" s="4">
        <v>93.600999999999999</v>
      </c>
      <c r="O497" s="4">
        <v>37.440399999999997</v>
      </c>
      <c r="P497" s="4">
        <v>0</v>
      </c>
      <c r="Q497" s="3" t="s">
        <v>26</v>
      </c>
      <c r="R497" s="3">
        <v>0</v>
      </c>
      <c r="S497" s="4">
        <v>0</v>
      </c>
      <c r="T497" s="4">
        <v>24</v>
      </c>
      <c r="U497" s="4">
        <v>63</v>
      </c>
      <c r="V497" s="4">
        <f>IF(ISERROR(VLOOKUP($S$497,'TAR FIN'!$A$1:$O$91,15,0)),0,VLOOKUP($S$497,'TAR FIN'!$A$1:$O$91,15,0))</f>
        <v>0</v>
      </c>
      <c r="W497" s="4">
        <f>IF(ISERROR(VLOOKUP($T$497,'TAR FIN'!$A$1:$O$91,15,0)),0,VLOOKUP($T$497,'TAR FIN'!$A$1:$O$91,15,0))</f>
        <v>275.13</v>
      </c>
      <c r="X497" s="4">
        <f>IF(ISERROR(VLOOKUP($U$497,'TAR FIN'!$A$1:$O$91,15,0)),0,VLOOKUP($U$497,'TAR FIN'!$A$1:$O$91,15,0))</f>
        <v>219.34</v>
      </c>
      <c r="Y497" s="4"/>
      <c r="Z497" s="4">
        <f ca="1">('TUSD BE'!$AM$36+'TUSD BF'!$AM$36+'TUSD CVA'!$AM$36)*(1-CUSTOS!$M$38)</f>
        <v>364.4729686309102</v>
      </c>
      <c r="AA497" s="4">
        <f>('TE BE'!$AB$26+'TE BF'!$AB$26+'TE CVA'!$AB$26)*(1-CUSTOS!$M$38)</f>
        <v>191.17977782719129</v>
      </c>
      <c r="AB497" s="4">
        <f>$K$497*$V$497</f>
        <v>0</v>
      </c>
      <c r="AC497" s="4">
        <f>$M$497*$W$497</f>
        <v>10300.977251999999</v>
      </c>
      <c r="AD497" s="4">
        <f>$O$497*$X$497</f>
        <v>8212.1773359999988</v>
      </c>
      <c r="AE497" s="4">
        <f>$K$497*$Y$497</f>
        <v>0</v>
      </c>
      <c r="AF497" s="4">
        <f ca="1">$M$497*$Z$497</f>
        <v>13646.013734728729</v>
      </c>
      <c r="AG497" s="4">
        <f>$O$497*$AA$497</f>
        <v>7157.8473537611717</v>
      </c>
    </row>
    <row r="498" spans="1:33" ht="11.25" customHeight="1" x14ac:dyDescent="0.25">
      <c r="A498" s="3" t="s">
        <v>28</v>
      </c>
      <c r="B498" s="3" t="s">
        <v>40</v>
      </c>
      <c r="C498" s="3" t="s">
        <v>23</v>
      </c>
      <c r="D498" s="3" t="s">
        <v>41</v>
      </c>
      <c r="E498" s="3" t="s">
        <v>53</v>
      </c>
      <c r="F498" s="3" t="s">
        <v>52</v>
      </c>
      <c r="G498" s="3" t="s">
        <v>25</v>
      </c>
      <c r="H498" s="3" t="s">
        <v>25</v>
      </c>
      <c r="I498" s="6">
        <v>44562</v>
      </c>
      <c r="J498" s="4">
        <v>0</v>
      </c>
      <c r="K498" s="4">
        <v>0</v>
      </c>
      <c r="L498" s="4">
        <v>22.015000000000001</v>
      </c>
      <c r="M498" s="4">
        <v>22.015000000000001</v>
      </c>
      <c r="N498" s="4">
        <v>22.015000000000001</v>
      </c>
      <c r="O498" s="4">
        <v>22.015000000000001</v>
      </c>
      <c r="P498" s="4">
        <v>0</v>
      </c>
      <c r="Q498" s="3" t="s">
        <v>26</v>
      </c>
      <c r="R498" s="3">
        <v>0</v>
      </c>
      <c r="S498" s="4">
        <v>0</v>
      </c>
      <c r="T498" s="4">
        <v>24</v>
      </c>
      <c r="U498" s="4">
        <v>63</v>
      </c>
      <c r="V498" s="4">
        <f>IF(ISERROR(VLOOKUP($S$498,'TAR FIN'!$A$1:$O$91,15,0)),0,VLOOKUP($S$498,'TAR FIN'!$A$1:$O$91,15,0))</f>
        <v>0</v>
      </c>
      <c r="W498" s="4">
        <f>IF(ISERROR(VLOOKUP($T$498,'TAR FIN'!$A$1:$O$91,15,0)),0,VLOOKUP($T$498,'TAR FIN'!$A$1:$O$91,15,0))</f>
        <v>275.13</v>
      </c>
      <c r="X498" s="4">
        <f>IF(ISERROR(VLOOKUP($U$498,'TAR FIN'!$A$1:$O$91,15,0)),0,VLOOKUP($U$498,'TAR FIN'!$A$1:$O$91,15,0))</f>
        <v>219.34</v>
      </c>
      <c r="Y498" s="4"/>
      <c r="Z498" s="4">
        <f ca="1">('TUSD BE'!$AM$36+'TUSD BF'!$AM$36+'TUSD CVA'!$AM$36)*(1-CUSTOS!$M$38)</f>
        <v>364.4729686309102</v>
      </c>
      <c r="AA498" s="4">
        <f>('TE BE'!$AB$26+'TE BF'!$AB$26+'TE CVA'!$AB$26)*(1-CUSTOS!$M$38)</f>
        <v>191.17977782719129</v>
      </c>
      <c r="AB498" s="4">
        <f>$K$498*$V$498</f>
        <v>0</v>
      </c>
      <c r="AC498" s="4">
        <f>$M$498*$W$498</f>
        <v>6056.9869500000004</v>
      </c>
      <c r="AD498" s="4">
        <f>$O$498*$X$498</f>
        <v>4828.7701000000006</v>
      </c>
      <c r="AE498" s="4">
        <f>$K$498*$Y$498</f>
        <v>0</v>
      </c>
      <c r="AF498" s="4">
        <f ca="1">$M$498*$Z$498</f>
        <v>8023.8724044094879</v>
      </c>
      <c r="AG498" s="4">
        <f>$O$498*$AA$498</f>
        <v>4208.822808865616</v>
      </c>
    </row>
    <row r="499" spans="1:33" ht="11.25" customHeight="1" x14ac:dyDescent="0.25">
      <c r="A499" s="3" t="s">
        <v>21</v>
      </c>
      <c r="B499" s="3" t="s">
        <v>40</v>
      </c>
      <c r="C499" s="3" t="s">
        <v>23</v>
      </c>
      <c r="D499" s="3" t="s">
        <v>41</v>
      </c>
      <c r="E499" s="3" t="s">
        <v>53</v>
      </c>
      <c r="F499" s="3" t="s">
        <v>52</v>
      </c>
      <c r="G499" s="3" t="s">
        <v>25</v>
      </c>
      <c r="H499" s="3" t="s">
        <v>25</v>
      </c>
      <c r="I499" s="6">
        <v>44593</v>
      </c>
      <c r="J499" s="4">
        <v>0</v>
      </c>
      <c r="K499" s="4">
        <v>0</v>
      </c>
      <c r="L499" s="4">
        <v>99.396000000000001</v>
      </c>
      <c r="M499" s="4">
        <v>39.758400000000002</v>
      </c>
      <c r="N499" s="4">
        <v>99.396000000000001</v>
      </c>
      <c r="O499" s="4">
        <v>39.758400000000002</v>
      </c>
      <c r="P499" s="4">
        <v>0</v>
      </c>
      <c r="Q499" s="3" t="s">
        <v>26</v>
      </c>
      <c r="R499" s="3">
        <v>0</v>
      </c>
      <c r="S499" s="4">
        <v>0</v>
      </c>
      <c r="T499" s="4">
        <v>24</v>
      </c>
      <c r="U499" s="4">
        <v>63</v>
      </c>
      <c r="V499" s="4">
        <f>IF(ISERROR(VLOOKUP($S$499,'TAR FIN'!$A$1:$O$91,15,0)),0,VLOOKUP($S$499,'TAR FIN'!$A$1:$O$91,15,0))</f>
        <v>0</v>
      </c>
      <c r="W499" s="4">
        <f>IF(ISERROR(VLOOKUP($T$499,'TAR FIN'!$A$1:$O$91,15,0)),0,VLOOKUP($T$499,'TAR FIN'!$A$1:$O$91,15,0))</f>
        <v>275.13</v>
      </c>
      <c r="X499" s="4">
        <f>IF(ISERROR(VLOOKUP($U$499,'TAR FIN'!$A$1:$O$91,15,0)),0,VLOOKUP($U$499,'TAR FIN'!$A$1:$O$91,15,0))</f>
        <v>219.34</v>
      </c>
      <c r="Y499" s="4"/>
      <c r="Z499" s="4">
        <f ca="1">('TUSD BE'!$AM$36+'TUSD BF'!$AM$36+'TUSD CVA'!$AM$36)*(1-CUSTOS!$M$38)</f>
        <v>364.4729686309102</v>
      </c>
      <c r="AA499" s="4">
        <f>('TE BE'!$AB$26+'TE BF'!$AB$26+'TE CVA'!$AB$26)*(1-CUSTOS!$M$38)</f>
        <v>191.17977782719129</v>
      </c>
      <c r="AB499" s="4">
        <f>$K$499*$V$499</f>
        <v>0</v>
      </c>
      <c r="AC499" s="4">
        <f>$M$499*$W$499</f>
        <v>10938.728591999999</v>
      </c>
      <c r="AD499" s="4">
        <f>$O$499*$X$499</f>
        <v>8720.6074559999997</v>
      </c>
      <c r="AE499" s="4">
        <f>$K$499*$Y$499</f>
        <v>0</v>
      </c>
      <c r="AF499" s="4">
        <f ca="1">$M$499*$Z$499</f>
        <v>14490.862076015181</v>
      </c>
      <c r="AG499" s="4">
        <f>$O$499*$AA$499</f>
        <v>7601.0020787646026</v>
      </c>
    </row>
    <row r="500" spans="1:33" ht="11.25" customHeight="1" x14ac:dyDescent="0.25">
      <c r="A500" s="3" t="s">
        <v>28</v>
      </c>
      <c r="B500" s="3" t="s">
        <v>40</v>
      </c>
      <c r="C500" s="3" t="s">
        <v>23</v>
      </c>
      <c r="D500" s="3" t="s">
        <v>41</v>
      </c>
      <c r="E500" s="3" t="s">
        <v>53</v>
      </c>
      <c r="F500" s="3" t="s">
        <v>52</v>
      </c>
      <c r="G500" s="3" t="s">
        <v>25</v>
      </c>
      <c r="H500" s="3" t="s">
        <v>25</v>
      </c>
      <c r="I500" s="6">
        <v>44593</v>
      </c>
      <c r="J500" s="4">
        <v>0</v>
      </c>
      <c r="K500" s="4">
        <v>0</v>
      </c>
      <c r="L500" s="4">
        <v>19.765999999999998</v>
      </c>
      <c r="M500" s="4">
        <v>19.765999999999998</v>
      </c>
      <c r="N500" s="4">
        <v>19.765999999999998</v>
      </c>
      <c r="O500" s="4">
        <v>19.765999999999998</v>
      </c>
      <c r="P500" s="4">
        <v>0</v>
      </c>
      <c r="Q500" s="3" t="s">
        <v>26</v>
      </c>
      <c r="R500" s="3">
        <v>0</v>
      </c>
      <c r="S500" s="4">
        <v>0</v>
      </c>
      <c r="T500" s="4">
        <v>24</v>
      </c>
      <c r="U500" s="4">
        <v>63</v>
      </c>
      <c r="V500" s="4">
        <f>IF(ISERROR(VLOOKUP($S$500,'TAR FIN'!$A$1:$O$91,15,0)),0,VLOOKUP($S$500,'TAR FIN'!$A$1:$O$91,15,0))</f>
        <v>0</v>
      </c>
      <c r="W500" s="4">
        <f>IF(ISERROR(VLOOKUP($T$500,'TAR FIN'!$A$1:$O$91,15,0)),0,VLOOKUP($T$500,'TAR FIN'!$A$1:$O$91,15,0))</f>
        <v>275.13</v>
      </c>
      <c r="X500" s="4">
        <f>IF(ISERROR(VLOOKUP($U$500,'TAR FIN'!$A$1:$O$91,15,0)),0,VLOOKUP($U$500,'TAR FIN'!$A$1:$O$91,15,0))</f>
        <v>219.34</v>
      </c>
      <c r="Y500" s="4"/>
      <c r="Z500" s="4">
        <f ca="1">('TUSD BE'!$AM$36+'TUSD BF'!$AM$36+'TUSD CVA'!$AM$36)*(1-CUSTOS!$M$38)</f>
        <v>364.4729686309102</v>
      </c>
      <c r="AA500" s="4">
        <f>('TE BE'!$AB$26+'TE BF'!$AB$26+'TE CVA'!$AB$26)*(1-CUSTOS!$M$38)</f>
        <v>191.17977782719129</v>
      </c>
      <c r="AB500" s="4">
        <f>$K$500*$V$500</f>
        <v>0</v>
      </c>
      <c r="AC500" s="4">
        <f>$M$500*$W$500</f>
        <v>5438.219579999999</v>
      </c>
      <c r="AD500" s="4">
        <f>$O$500*$X$500</f>
        <v>4335.47444</v>
      </c>
      <c r="AE500" s="4">
        <f>$K$500*$Y$500</f>
        <v>0</v>
      </c>
      <c r="AF500" s="4">
        <f ca="1">$M$500*$Z$500</f>
        <v>7204.1726979585701</v>
      </c>
      <c r="AG500" s="4">
        <f>$O$500*$AA$500</f>
        <v>3778.8594885322627</v>
      </c>
    </row>
    <row r="501" spans="1:33" ht="11.25" customHeight="1" x14ac:dyDescent="0.25">
      <c r="A501" s="3" t="s">
        <v>21</v>
      </c>
      <c r="B501" s="3" t="s">
        <v>40</v>
      </c>
      <c r="C501" s="3" t="s">
        <v>23</v>
      </c>
      <c r="D501" s="3" t="s">
        <v>41</v>
      </c>
      <c r="E501" s="3" t="s">
        <v>53</v>
      </c>
      <c r="F501" s="3" t="s">
        <v>52</v>
      </c>
      <c r="G501" s="3" t="s">
        <v>25</v>
      </c>
      <c r="H501" s="3" t="s">
        <v>25</v>
      </c>
      <c r="I501" s="6">
        <v>44621</v>
      </c>
      <c r="J501" s="4">
        <v>0</v>
      </c>
      <c r="K501" s="4">
        <v>0</v>
      </c>
      <c r="L501" s="4">
        <v>96.036000000000001</v>
      </c>
      <c r="M501" s="4">
        <v>38.414400000000001</v>
      </c>
      <c r="N501" s="4">
        <v>96.036000000000001</v>
      </c>
      <c r="O501" s="4">
        <v>38.414400000000001</v>
      </c>
      <c r="P501" s="4">
        <v>0</v>
      </c>
      <c r="Q501" s="3" t="s">
        <v>26</v>
      </c>
      <c r="R501" s="3">
        <v>0</v>
      </c>
      <c r="S501" s="4">
        <v>0</v>
      </c>
      <c r="T501" s="4">
        <v>24</v>
      </c>
      <c r="U501" s="4">
        <v>63</v>
      </c>
      <c r="V501" s="4">
        <f>IF(ISERROR(VLOOKUP($S$501,'TAR FIN'!$A$1:$O$91,15,0)),0,VLOOKUP($S$501,'TAR FIN'!$A$1:$O$91,15,0))</f>
        <v>0</v>
      </c>
      <c r="W501" s="4">
        <f>IF(ISERROR(VLOOKUP($T$501,'TAR FIN'!$A$1:$O$91,15,0)),0,VLOOKUP($T$501,'TAR FIN'!$A$1:$O$91,15,0))</f>
        <v>275.13</v>
      </c>
      <c r="X501" s="4">
        <f>IF(ISERROR(VLOOKUP($U$501,'TAR FIN'!$A$1:$O$91,15,0)),0,VLOOKUP($U$501,'TAR FIN'!$A$1:$O$91,15,0))</f>
        <v>219.34</v>
      </c>
      <c r="Y501" s="4"/>
      <c r="Z501" s="4">
        <f ca="1">('TUSD BE'!$AM$36+'TUSD BF'!$AM$36+'TUSD CVA'!$AM$36)*(1-CUSTOS!$M$38)</f>
        <v>364.4729686309102</v>
      </c>
      <c r="AA501" s="4">
        <f>('TE BE'!$AB$26+'TE BF'!$AB$26+'TE CVA'!$AB$26)*(1-CUSTOS!$M$38)</f>
        <v>191.17977782719129</v>
      </c>
      <c r="AB501" s="4">
        <f>$K$501*$V$501</f>
        <v>0</v>
      </c>
      <c r="AC501" s="4">
        <f>$M$501*$W$501</f>
        <v>10568.953872</v>
      </c>
      <c r="AD501" s="4">
        <f>$O$501*$X$501</f>
        <v>8425.8144960000009</v>
      </c>
      <c r="AE501" s="4">
        <f>$K$501*$Y$501</f>
        <v>0</v>
      </c>
      <c r="AF501" s="4">
        <f ca="1">$M$501*$Z$501</f>
        <v>14001.010406175237</v>
      </c>
      <c r="AG501" s="4">
        <f>$O$501*$AA$501</f>
        <v>7344.0564573648571</v>
      </c>
    </row>
    <row r="502" spans="1:33" ht="11.25" customHeight="1" x14ac:dyDescent="0.25">
      <c r="A502" s="3" t="s">
        <v>28</v>
      </c>
      <c r="B502" s="3" t="s">
        <v>40</v>
      </c>
      <c r="C502" s="3" t="s">
        <v>23</v>
      </c>
      <c r="D502" s="3" t="s">
        <v>41</v>
      </c>
      <c r="E502" s="3" t="s">
        <v>53</v>
      </c>
      <c r="F502" s="3" t="s">
        <v>52</v>
      </c>
      <c r="G502" s="3" t="s">
        <v>25</v>
      </c>
      <c r="H502" s="3" t="s">
        <v>25</v>
      </c>
      <c r="I502" s="6">
        <v>44621</v>
      </c>
      <c r="J502" s="4">
        <v>0</v>
      </c>
      <c r="K502" s="4">
        <v>0</v>
      </c>
      <c r="L502" s="4">
        <v>29.123999999999999</v>
      </c>
      <c r="M502" s="4">
        <v>29.123999999999999</v>
      </c>
      <c r="N502" s="4">
        <v>29.123999999999999</v>
      </c>
      <c r="O502" s="4">
        <v>29.123999999999999</v>
      </c>
      <c r="P502" s="4">
        <v>0</v>
      </c>
      <c r="Q502" s="3" t="s">
        <v>26</v>
      </c>
      <c r="R502" s="3">
        <v>0</v>
      </c>
      <c r="S502" s="4">
        <v>0</v>
      </c>
      <c r="T502" s="4">
        <v>24</v>
      </c>
      <c r="U502" s="4">
        <v>63</v>
      </c>
      <c r="V502" s="4">
        <f>IF(ISERROR(VLOOKUP($S$502,'TAR FIN'!$A$1:$O$91,15,0)),0,VLOOKUP($S$502,'TAR FIN'!$A$1:$O$91,15,0))</f>
        <v>0</v>
      </c>
      <c r="W502" s="4">
        <f>IF(ISERROR(VLOOKUP($T$502,'TAR FIN'!$A$1:$O$91,15,0)),0,VLOOKUP($T$502,'TAR FIN'!$A$1:$O$91,15,0))</f>
        <v>275.13</v>
      </c>
      <c r="X502" s="4">
        <f>IF(ISERROR(VLOOKUP($U$502,'TAR FIN'!$A$1:$O$91,15,0)),0,VLOOKUP($U$502,'TAR FIN'!$A$1:$O$91,15,0))</f>
        <v>219.34</v>
      </c>
      <c r="Y502" s="4"/>
      <c r="Z502" s="4">
        <f ca="1">('TUSD BE'!$AM$36+'TUSD BF'!$AM$36+'TUSD CVA'!$AM$36)*(1-CUSTOS!$M$38)</f>
        <v>364.4729686309102</v>
      </c>
      <c r="AA502" s="4">
        <f>('TE BE'!$AB$26+'TE BF'!$AB$26+'TE CVA'!$AB$26)*(1-CUSTOS!$M$38)</f>
        <v>191.17977782719129</v>
      </c>
      <c r="AB502" s="4">
        <f>$K$502*$V$502</f>
        <v>0</v>
      </c>
      <c r="AC502" s="4">
        <f>$M$502*$W$502</f>
        <v>8012.8861199999992</v>
      </c>
      <c r="AD502" s="4">
        <f>$O$502*$X$502</f>
        <v>6388.0581599999996</v>
      </c>
      <c r="AE502" s="4">
        <f>$K$502*$Y$502</f>
        <v>0</v>
      </c>
      <c r="AF502" s="4">
        <f ca="1">$M$502*$Z$502</f>
        <v>10614.910738406628</v>
      </c>
      <c r="AG502" s="4">
        <f>$O$502*$AA$502</f>
        <v>5567.9198494391185</v>
      </c>
    </row>
    <row r="503" spans="1:33" ht="11.25" customHeight="1" x14ac:dyDescent="0.25">
      <c r="A503" s="3" t="s">
        <v>21</v>
      </c>
      <c r="B503" s="3" t="s">
        <v>40</v>
      </c>
      <c r="C503" s="3" t="s">
        <v>23</v>
      </c>
      <c r="D503" s="3" t="s">
        <v>41</v>
      </c>
      <c r="E503" s="3" t="s">
        <v>53</v>
      </c>
      <c r="F503" s="3" t="s">
        <v>52</v>
      </c>
      <c r="G503" s="3" t="s">
        <v>25</v>
      </c>
      <c r="H503" s="3" t="s">
        <v>25</v>
      </c>
      <c r="I503" s="6">
        <v>44652</v>
      </c>
      <c r="J503" s="4">
        <v>0</v>
      </c>
      <c r="K503" s="4">
        <v>0</v>
      </c>
      <c r="L503" s="4">
        <v>86.561000000000007</v>
      </c>
      <c r="M503" s="4">
        <v>34.624400000000001</v>
      </c>
      <c r="N503" s="4">
        <v>86.561000000000007</v>
      </c>
      <c r="O503" s="4">
        <v>34.624400000000001</v>
      </c>
      <c r="P503" s="4">
        <v>0</v>
      </c>
      <c r="Q503" s="3" t="s">
        <v>26</v>
      </c>
      <c r="R503" s="3">
        <v>0</v>
      </c>
      <c r="S503" s="4">
        <v>0</v>
      </c>
      <c r="T503" s="4">
        <v>24</v>
      </c>
      <c r="U503" s="4">
        <v>63</v>
      </c>
      <c r="V503" s="4">
        <f>IF(ISERROR(VLOOKUP($S$503,'TAR FIN'!$A$1:$O$91,15,0)),0,VLOOKUP($S$503,'TAR FIN'!$A$1:$O$91,15,0))</f>
        <v>0</v>
      </c>
      <c r="W503" s="4">
        <f>IF(ISERROR(VLOOKUP($T$503,'TAR FIN'!$A$1:$O$91,15,0)),0,VLOOKUP($T$503,'TAR FIN'!$A$1:$O$91,15,0))</f>
        <v>275.13</v>
      </c>
      <c r="X503" s="4">
        <f>IF(ISERROR(VLOOKUP($U$503,'TAR FIN'!$A$1:$O$91,15,0)),0,VLOOKUP($U$503,'TAR FIN'!$A$1:$O$91,15,0))</f>
        <v>219.34</v>
      </c>
      <c r="Y503" s="4"/>
      <c r="Z503" s="4">
        <f ca="1">('TUSD BE'!$AM$36+'TUSD BF'!$AM$36+'TUSD CVA'!$AM$36)*(1-CUSTOS!$M$38)</f>
        <v>364.4729686309102</v>
      </c>
      <c r="AA503" s="4">
        <f>('TE BE'!$AB$26+'TE BF'!$AB$26+'TE CVA'!$AB$26)*(1-CUSTOS!$M$38)</f>
        <v>191.17977782719129</v>
      </c>
      <c r="AB503" s="4">
        <f>$K$503*$V$503</f>
        <v>0</v>
      </c>
      <c r="AC503" s="4">
        <f>$M$503*$W$503</f>
        <v>9526.2111719999994</v>
      </c>
      <c r="AD503" s="4">
        <f>$O$503*$X$503</f>
        <v>7594.5158960000008</v>
      </c>
      <c r="AE503" s="4">
        <f>$K$503*$Y$503</f>
        <v>0</v>
      </c>
      <c r="AF503" s="4">
        <f ca="1">$M$503*$Z$503</f>
        <v>12619.657855064088</v>
      </c>
      <c r="AG503" s="4">
        <f>$O$503*$AA$503</f>
        <v>6619.4850993998025</v>
      </c>
    </row>
    <row r="504" spans="1:33" ht="11.25" customHeight="1" x14ac:dyDescent="0.25">
      <c r="A504" s="3" t="s">
        <v>27</v>
      </c>
      <c r="B504" s="3" t="s">
        <v>40</v>
      </c>
      <c r="C504" s="3" t="s">
        <v>23</v>
      </c>
      <c r="D504" s="3" t="s">
        <v>41</v>
      </c>
      <c r="E504" s="3" t="s">
        <v>53</v>
      </c>
      <c r="F504" s="3" t="s">
        <v>52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1.958</v>
      </c>
      <c r="M504" s="4">
        <v>0.78320000000000001</v>
      </c>
      <c r="N504" s="4">
        <v>1.958</v>
      </c>
      <c r="O504" s="4">
        <v>0.78320000000000001</v>
      </c>
      <c r="P504" s="4">
        <v>0</v>
      </c>
      <c r="Q504" s="3" t="s">
        <v>26</v>
      </c>
      <c r="R504" s="3">
        <v>0</v>
      </c>
      <c r="S504" s="4">
        <v>0</v>
      </c>
      <c r="T504" s="4">
        <v>24</v>
      </c>
      <c r="U504" s="4">
        <v>63</v>
      </c>
      <c r="V504" s="4">
        <f>IF(ISERROR(VLOOKUP($S$504,'TAR FIN'!$A$1:$O$91,15,0)),0,VLOOKUP($S$504,'TAR FIN'!$A$1:$O$91,15,0))</f>
        <v>0</v>
      </c>
      <c r="W504" s="4">
        <f>IF(ISERROR(VLOOKUP($T$504,'TAR FIN'!$A$1:$O$91,15,0)),0,VLOOKUP($T$504,'TAR FIN'!$A$1:$O$91,15,0))</f>
        <v>275.13</v>
      </c>
      <c r="X504" s="4">
        <f>IF(ISERROR(VLOOKUP($U$504,'TAR FIN'!$A$1:$O$91,15,0)),0,VLOOKUP($U$504,'TAR FIN'!$A$1:$O$91,15,0))</f>
        <v>219.34</v>
      </c>
      <c r="Y504" s="4"/>
      <c r="Z504" s="4">
        <f ca="1">('TUSD BE'!$AM$36+'TUSD BF'!$AM$36+'TUSD CVA'!$AM$36)*(1-CUSTOS!$M$38)</f>
        <v>364.4729686309102</v>
      </c>
      <c r="AA504" s="4">
        <f>('TE BE'!$AB$26+'TE BF'!$AB$26+'TE CVA'!$AB$26)*(1-CUSTOS!$M$38)</f>
        <v>191.17977782719129</v>
      </c>
      <c r="AB504" s="4">
        <f>$K$504*$V$504</f>
        <v>0</v>
      </c>
      <c r="AC504" s="4">
        <f>$M$504*$W$504</f>
        <v>215.48181600000001</v>
      </c>
      <c r="AD504" s="4">
        <f>$O$504*$X$504</f>
        <v>171.78708800000001</v>
      </c>
      <c r="AE504" s="4">
        <f>$K$504*$Y$504</f>
        <v>0</v>
      </c>
      <c r="AF504" s="4">
        <f ca="1">$M$504*$Z$504</f>
        <v>285.45522903172889</v>
      </c>
      <c r="AG504" s="4">
        <f>$O$504*$AA$504</f>
        <v>149.73200199425622</v>
      </c>
    </row>
    <row r="505" spans="1:33" ht="11.25" customHeight="1" x14ac:dyDescent="0.25">
      <c r="A505" s="3" t="s">
        <v>28</v>
      </c>
      <c r="B505" s="3" t="s">
        <v>40</v>
      </c>
      <c r="C505" s="3" t="s">
        <v>23</v>
      </c>
      <c r="D505" s="3" t="s">
        <v>41</v>
      </c>
      <c r="E505" s="3" t="s">
        <v>53</v>
      </c>
      <c r="F505" s="3" t="s">
        <v>52</v>
      </c>
      <c r="G505" s="3" t="s">
        <v>25</v>
      </c>
      <c r="H505" s="3" t="s">
        <v>25</v>
      </c>
      <c r="I505" s="6">
        <v>44652</v>
      </c>
      <c r="J505" s="4">
        <v>0</v>
      </c>
      <c r="K505" s="4">
        <v>0</v>
      </c>
      <c r="L505" s="4">
        <v>30.641999999999999</v>
      </c>
      <c r="M505" s="4">
        <v>30.641999999999999</v>
      </c>
      <c r="N505" s="4">
        <v>30.641999999999999</v>
      </c>
      <c r="O505" s="4">
        <v>30.641999999999999</v>
      </c>
      <c r="P505" s="4">
        <v>0</v>
      </c>
      <c r="Q505" s="3" t="s">
        <v>26</v>
      </c>
      <c r="R505" s="3">
        <v>0</v>
      </c>
      <c r="S505" s="4">
        <v>0</v>
      </c>
      <c r="T505" s="4">
        <v>24</v>
      </c>
      <c r="U505" s="4">
        <v>63</v>
      </c>
      <c r="V505" s="4">
        <f>IF(ISERROR(VLOOKUP($S$505,'TAR FIN'!$A$1:$O$91,15,0)),0,VLOOKUP($S$505,'TAR FIN'!$A$1:$O$91,15,0))</f>
        <v>0</v>
      </c>
      <c r="W505" s="4">
        <f>IF(ISERROR(VLOOKUP($T$505,'TAR FIN'!$A$1:$O$91,15,0)),0,VLOOKUP($T$505,'TAR FIN'!$A$1:$O$91,15,0))</f>
        <v>275.13</v>
      </c>
      <c r="X505" s="4">
        <f>IF(ISERROR(VLOOKUP($U$505,'TAR FIN'!$A$1:$O$91,15,0)),0,VLOOKUP($U$505,'TAR FIN'!$A$1:$O$91,15,0))</f>
        <v>219.34</v>
      </c>
      <c r="Y505" s="4"/>
      <c r="Z505" s="4">
        <f ca="1">('TUSD BE'!$AM$36+'TUSD BF'!$AM$36+'TUSD CVA'!$AM$36)*(1-CUSTOS!$M$38)</f>
        <v>364.4729686309102</v>
      </c>
      <c r="AA505" s="4">
        <f>('TE BE'!$AB$26+'TE BF'!$AB$26+'TE CVA'!$AB$26)*(1-CUSTOS!$M$38)</f>
        <v>191.17977782719129</v>
      </c>
      <c r="AB505" s="4">
        <f>$K$505*$V$505</f>
        <v>0</v>
      </c>
      <c r="AC505" s="4">
        <f>$M$505*$W$505</f>
        <v>8430.5334600000006</v>
      </c>
      <c r="AD505" s="4">
        <f>$O$505*$X$505</f>
        <v>6721.0162799999998</v>
      </c>
      <c r="AE505" s="4">
        <f>$K$505*$Y$505</f>
        <v>0</v>
      </c>
      <c r="AF505" s="4">
        <f ca="1">$M$505*$Z$505</f>
        <v>11168.18070478835</v>
      </c>
      <c r="AG505" s="4">
        <f>$O$505*$AA$505</f>
        <v>5858.1307521807958</v>
      </c>
    </row>
    <row r="506" spans="1:33" ht="11.25" customHeight="1" x14ac:dyDescent="0.25">
      <c r="A506" s="3" t="s">
        <v>21</v>
      </c>
      <c r="B506" s="3" t="s">
        <v>40</v>
      </c>
      <c r="C506" s="3" t="s">
        <v>23</v>
      </c>
      <c r="D506" s="3" t="s">
        <v>41</v>
      </c>
      <c r="E506" s="3" t="s">
        <v>53</v>
      </c>
      <c r="F506" s="3" t="s">
        <v>52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76.91</v>
      </c>
      <c r="M506" s="4">
        <v>30.763999999999999</v>
      </c>
      <c r="N506" s="4">
        <v>76.91</v>
      </c>
      <c r="O506" s="4">
        <v>30.763999999999999</v>
      </c>
      <c r="P506" s="4">
        <v>0</v>
      </c>
      <c r="Q506" s="3" t="s">
        <v>26</v>
      </c>
      <c r="R506" s="3">
        <v>0</v>
      </c>
      <c r="S506" s="4">
        <v>0</v>
      </c>
      <c r="T506" s="4">
        <v>24</v>
      </c>
      <c r="U506" s="4">
        <v>63</v>
      </c>
      <c r="V506" s="4">
        <f>IF(ISERROR(VLOOKUP($S$506,'TAR FIN'!$A$1:$O$91,15,0)),0,VLOOKUP($S$506,'TAR FIN'!$A$1:$O$91,15,0))</f>
        <v>0</v>
      </c>
      <c r="W506" s="4">
        <f>IF(ISERROR(VLOOKUP($T$506,'TAR FIN'!$A$1:$O$91,15,0)),0,VLOOKUP($T$506,'TAR FIN'!$A$1:$O$91,15,0))</f>
        <v>275.13</v>
      </c>
      <c r="X506" s="4">
        <f>IF(ISERROR(VLOOKUP($U$506,'TAR FIN'!$A$1:$O$91,15,0)),0,VLOOKUP($U$506,'TAR FIN'!$A$1:$O$91,15,0))</f>
        <v>219.34</v>
      </c>
      <c r="Y506" s="4"/>
      <c r="Z506" s="4">
        <f ca="1">('TUSD BE'!$AM$36+'TUSD BF'!$AM$36+'TUSD CVA'!$AM$36)*(1-CUSTOS!$M$38)</f>
        <v>364.4729686309102</v>
      </c>
      <c r="AA506" s="4">
        <f>('TE BE'!$AB$26+'TE BF'!$AB$26+'TE CVA'!$AB$26)*(1-CUSTOS!$M$38)</f>
        <v>191.17977782719129</v>
      </c>
      <c r="AB506" s="4">
        <f>$K$506*$V$506</f>
        <v>0</v>
      </c>
      <c r="AC506" s="4">
        <f>$M$506*$W$506</f>
        <v>8464.0993199999994</v>
      </c>
      <c r="AD506" s="4">
        <f>$O$506*$X$506</f>
        <v>6747.7757599999995</v>
      </c>
      <c r="AE506" s="4">
        <f>$K$506*$Y$506</f>
        <v>0</v>
      </c>
      <c r="AF506" s="4">
        <f ca="1">$M$506*$Z$506</f>
        <v>11212.646406961321</v>
      </c>
      <c r="AG506" s="4">
        <f>$O$506*$AA$506</f>
        <v>5881.4546850757124</v>
      </c>
    </row>
    <row r="507" spans="1:33" ht="11.25" customHeight="1" x14ac:dyDescent="0.25">
      <c r="A507" s="3" t="s">
        <v>28</v>
      </c>
      <c r="B507" s="3" t="s">
        <v>40</v>
      </c>
      <c r="C507" s="3" t="s">
        <v>23</v>
      </c>
      <c r="D507" s="3" t="s">
        <v>41</v>
      </c>
      <c r="E507" s="3" t="s">
        <v>53</v>
      </c>
      <c r="F507" s="3" t="s">
        <v>52</v>
      </c>
      <c r="G507" s="3" t="s">
        <v>25</v>
      </c>
      <c r="H507" s="3" t="s">
        <v>25</v>
      </c>
      <c r="I507" s="6">
        <v>44682</v>
      </c>
      <c r="J507" s="4">
        <v>0</v>
      </c>
      <c r="K507" s="4">
        <v>0</v>
      </c>
      <c r="L507" s="4">
        <v>34.271000000000001</v>
      </c>
      <c r="M507" s="4">
        <v>34.271000000000001</v>
      </c>
      <c r="N507" s="4">
        <v>34.271000000000001</v>
      </c>
      <c r="O507" s="4">
        <v>34.271000000000001</v>
      </c>
      <c r="P507" s="4">
        <v>0</v>
      </c>
      <c r="Q507" s="3" t="s">
        <v>26</v>
      </c>
      <c r="R507" s="3">
        <v>0</v>
      </c>
      <c r="S507" s="4">
        <v>0</v>
      </c>
      <c r="T507" s="4">
        <v>24</v>
      </c>
      <c r="U507" s="4">
        <v>63</v>
      </c>
      <c r="V507" s="4">
        <f>IF(ISERROR(VLOOKUP($S$507,'TAR FIN'!$A$1:$O$91,15,0)),0,VLOOKUP($S$507,'TAR FIN'!$A$1:$O$91,15,0))</f>
        <v>0</v>
      </c>
      <c r="W507" s="4">
        <f>IF(ISERROR(VLOOKUP($T$507,'TAR FIN'!$A$1:$O$91,15,0)),0,VLOOKUP($T$507,'TAR FIN'!$A$1:$O$91,15,0))</f>
        <v>275.13</v>
      </c>
      <c r="X507" s="4">
        <f>IF(ISERROR(VLOOKUP($U$507,'TAR FIN'!$A$1:$O$91,15,0)),0,VLOOKUP($U$507,'TAR FIN'!$A$1:$O$91,15,0))</f>
        <v>219.34</v>
      </c>
      <c r="Y507" s="4"/>
      <c r="Z507" s="4">
        <f ca="1">('TUSD BE'!$AM$36+'TUSD BF'!$AM$36+'TUSD CVA'!$AM$36)*(1-CUSTOS!$M$38)</f>
        <v>364.4729686309102</v>
      </c>
      <c r="AA507" s="4">
        <f>('TE BE'!$AB$26+'TE BF'!$AB$26+'TE CVA'!$AB$26)*(1-CUSTOS!$M$38)</f>
        <v>191.17977782719129</v>
      </c>
      <c r="AB507" s="4">
        <f>$K$507*$V$507</f>
        <v>0</v>
      </c>
      <c r="AC507" s="4">
        <f>$M$507*$W$507</f>
        <v>9428.9802299999992</v>
      </c>
      <c r="AD507" s="4">
        <f>$O$507*$X$507</f>
        <v>7517.0011400000003</v>
      </c>
      <c r="AE507" s="4">
        <f>$K$507*$Y$507</f>
        <v>0</v>
      </c>
      <c r="AF507" s="4">
        <f ca="1">$M$507*$Z$507</f>
        <v>12490.853107949924</v>
      </c>
      <c r="AG507" s="4">
        <f>$O$507*$AA$507</f>
        <v>6551.9221659156728</v>
      </c>
    </row>
    <row r="508" spans="1:33" ht="11.25" customHeight="1" x14ac:dyDescent="0.25">
      <c r="A508" s="3" t="s">
        <v>21</v>
      </c>
      <c r="B508" s="3" t="s">
        <v>40</v>
      </c>
      <c r="C508" s="3" t="s">
        <v>23</v>
      </c>
      <c r="D508" s="3" t="s">
        <v>41</v>
      </c>
      <c r="E508" s="3" t="s">
        <v>53</v>
      </c>
      <c r="F508" s="3" t="s">
        <v>52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51.064999999999998</v>
      </c>
      <c r="M508" s="4">
        <v>20.425999999999998</v>
      </c>
      <c r="N508" s="4">
        <v>51.064999999999998</v>
      </c>
      <c r="O508" s="4">
        <v>20.425999999999998</v>
      </c>
      <c r="P508" s="4">
        <v>0</v>
      </c>
      <c r="Q508" s="3" t="s">
        <v>26</v>
      </c>
      <c r="R508" s="3">
        <v>0</v>
      </c>
      <c r="S508" s="4">
        <v>0</v>
      </c>
      <c r="T508" s="4">
        <v>24</v>
      </c>
      <c r="U508" s="4">
        <v>63</v>
      </c>
      <c r="V508" s="4">
        <f>IF(ISERROR(VLOOKUP($S$508,'TAR FIN'!$A$1:$O$91,15,0)),0,VLOOKUP($S$508,'TAR FIN'!$A$1:$O$91,15,0))</f>
        <v>0</v>
      </c>
      <c r="W508" s="4">
        <f>IF(ISERROR(VLOOKUP($T$508,'TAR FIN'!$A$1:$O$91,15,0)),0,VLOOKUP($T$508,'TAR FIN'!$A$1:$O$91,15,0))</f>
        <v>275.13</v>
      </c>
      <c r="X508" s="4">
        <f>IF(ISERROR(VLOOKUP($U$508,'TAR FIN'!$A$1:$O$91,15,0)),0,VLOOKUP($U$508,'TAR FIN'!$A$1:$O$91,15,0))</f>
        <v>219.34</v>
      </c>
      <c r="Y508" s="4"/>
      <c r="Z508" s="4">
        <f ca="1">('TUSD BE'!$AM$36+'TUSD BF'!$AM$36+'TUSD CVA'!$AM$36)*(1-CUSTOS!$M$38)</f>
        <v>364.4729686309102</v>
      </c>
      <c r="AA508" s="4">
        <f>('TE BE'!$AB$26+'TE BF'!$AB$26+'TE CVA'!$AB$26)*(1-CUSTOS!$M$38)</f>
        <v>191.17977782719129</v>
      </c>
      <c r="AB508" s="4">
        <f>$K$508*$V$508</f>
        <v>0</v>
      </c>
      <c r="AC508" s="4">
        <f>$M$508*$W$508</f>
        <v>5619.8053799999998</v>
      </c>
      <c r="AD508" s="4">
        <f>$O$508*$X$508</f>
        <v>4480.23884</v>
      </c>
      <c r="AE508" s="4">
        <f>$K$508*$Y$508</f>
        <v>0</v>
      </c>
      <c r="AF508" s="4">
        <f ca="1">$M$508*$Z$508</f>
        <v>7444.7248572549715</v>
      </c>
      <c r="AG508" s="4">
        <f>$O$508*$AA$508</f>
        <v>3905.0381418982088</v>
      </c>
    </row>
    <row r="509" spans="1:33" ht="11.25" customHeight="1" x14ac:dyDescent="0.25">
      <c r="A509" s="3" t="s">
        <v>28</v>
      </c>
      <c r="B509" s="3" t="s">
        <v>40</v>
      </c>
      <c r="C509" s="3" t="s">
        <v>23</v>
      </c>
      <c r="D509" s="3" t="s">
        <v>41</v>
      </c>
      <c r="E509" s="3" t="s">
        <v>53</v>
      </c>
      <c r="F509" s="3" t="s">
        <v>52</v>
      </c>
      <c r="G509" s="3" t="s">
        <v>25</v>
      </c>
      <c r="H509" s="3" t="s">
        <v>25</v>
      </c>
      <c r="I509" s="6">
        <v>44713</v>
      </c>
      <c r="J509" s="4">
        <v>0</v>
      </c>
      <c r="K509" s="4">
        <v>0</v>
      </c>
      <c r="L509" s="4">
        <v>31.675999999999998</v>
      </c>
      <c r="M509" s="4">
        <v>31.675999999999998</v>
      </c>
      <c r="N509" s="4">
        <v>31.675999999999998</v>
      </c>
      <c r="O509" s="4">
        <v>31.675999999999998</v>
      </c>
      <c r="P509" s="4">
        <v>0</v>
      </c>
      <c r="Q509" s="3" t="s">
        <v>26</v>
      </c>
      <c r="R509" s="3">
        <v>0</v>
      </c>
      <c r="S509" s="4">
        <v>0</v>
      </c>
      <c r="T509" s="4">
        <v>24</v>
      </c>
      <c r="U509" s="4">
        <v>63</v>
      </c>
      <c r="V509" s="4">
        <f>IF(ISERROR(VLOOKUP($S$509,'TAR FIN'!$A$1:$O$91,15,0)),0,VLOOKUP($S$509,'TAR FIN'!$A$1:$O$91,15,0))</f>
        <v>0</v>
      </c>
      <c r="W509" s="4">
        <f>IF(ISERROR(VLOOKUP($T$509,'TAR FIN'!$A$1:$O$91,15,0)),0,VLOOKUP($T$509,'TAR FIN'!$A$1:$O$91,15,0))</f>
        <v>275.13</v>
      </c>
      <c r="X509" s="4">
        <f>IF(ISERROR(VLOOKUP($U$509,'TAR FIN'!$A$1:$O$91,15,0)),0,VLOOKUP($U$509,'TAR FIN'!$A$1:$O$91,15,0))</f>
        <v>219.34</v>
      </c>
      <c r="Y509" s="4"/>
      <c r="Z509" s="4">
        <f ca="1">('TUSD BE'!$AM$36+'TUSD BF'!$AM$36+'TUSD CVA'!$AM$36)*(1-CUSTOS!$M$38)</f>
        <v>364.4729686309102</v>
      </c>
      <c r="AA509" s="4">
        <f>('TE BE'!$AB$26+'TE BF'!$AB$26+'TE CVA'!$AB$26)*(1-CUSTOS!$M$38)</f>
        <v>191.17977782719129</v>
      </c>
      <c r="AB509" s="4">
        <f>$K$509*$V$509</f>
        <v>0</v>
      </c>
      <c r="AC509" s="4">
        <f>$M$509*$W$509</f>
        <v>8715.0178799999994</v>
      </c>
      <c r="AD509" s="4">
        <f>$O$509*$X$509</f>
        <v>6947.8138399999998</v>
      </c>
      <c r="AE509" s="4">
        <f>$K$509*$Y$509</f>
        <v>0</v>
      </c>
      <c r="AF509" s="4">
        <f ca="1">$M$509*$Z$509</f>
        <v>11545.045754352712</v>
      </c>
      <c r="AG509" s="4">
        <f>$O$509*$AA$509</f>
        <v>6055.8106424541111</v>
      </c>
    </row>
    <row r="510" spans="1:33" ht="11.25" customHeight="1" x14ac:dyDescent="0.25">
      <c r="A510" s="3" t="s">
        <v>21</v>
      </c>
      <c r="B510" s="3" t="s">
        <v>40</v>
      </c>
      <c r="C510" s="3" t="s">
        <v>23</v>
      </c>
      <c r="D510" s="3" t="s">
        <v>41</v>
      </c>
      <c r="E510" s="3" t="s">
        <v>53</v>
      </c>
      <c r="F510" s="3" t="s">
        <v>52</v>
      </c>
      <c r="G510" s="3" t="s">
        <v>25</v>
      </c>
      <c r="H510" s="3" t="s">
        <v>25</v>
      </c>
      <c r="I510" s="6">
        <v>44743</v>
      </c>
      <c r="J510" s="4">
        <v>0</v>
      </c>
      <c r="K510" s="4">
        <v>0</v>
      </c>
      <c r="L510" s="4">
        <v>40.271000000000001</v>
      </c>
      <c r="M510" s="4">
        <v>16.1084</v>
      </c>
      <c r="N510" s="4">
        <v>40.271000000000001</v>
      </c>
      <c r="O510" s="4">
        <v>16.1084</v>
      </c>
      <c r="P510" s="4">
        <v>0</v>
      </c>
      <c r="Q510" s="3" t="s">
        <v>26</v>
      </c>
      <c r="R510" s="3">
        <v>0</v>
      </c>
      <c r="S510" s="4">
        <v>0</v>
      </c>
      <c r="T510" s="4">
        <v>24</v>
      </c>
      <c r="U510" s="4">
        <v>63</v>
      </c>
      <c r="V510" s="4">
        <f>IF(ISERROR(VLOOKUP($S$510,'TAR FIN'!$A$1:$O$91,15,0)),0,VLOOKUP($S$510,'TAR FIN'!$A$1:$O$91,15,0))</f>
        <v>0</v>
      </c>
      <c r="W510" s="4">
        <f>IF(ISERROR(VLOOKUP($T$510,'TAR FIN'!$A$1:$O$91,15,0)),0,VLOOKUP($T$510,'TAR FIN'!$A$1:$O$91,15,0))</f>
        <v>275.13</v>
      </c>
      <c r="X510" s="4">
        <f>IF(ISERROR(VLOOKUP($U$510,'TAR FIN'!$A$1:$O$91,15,0)),0,VLOOKUP($U$510,'TAR FIN'!$A$1:$O$91,15,0))</f>
        <v>219.34</v>
      </c>
      <c r="Y510" s="4"/>
      <c r="Z510" s="4">
        <f ca="1">('TUSD BE'!$AM$36+'TUSD BF'!$AM$36+'TUSD CVA'!$AM$36)*(1-CUSTOS!$M$38)</f>
        <v>364.4729686309102</v>
      </c>
      <c r="AA510" s="4">
        <f>('TE BE'!$AB$26+'TE BF'!$AB$26+'TE CVA'!$AB$26)*(1-CUSTOS!$M$38)</f>
        <v>191.17977782719129</v>
      </c>
      <c r="AB510" s="4">
        <f>$K$510*$V$510</f>
        <v>0</v>
      </c>
      <c r="AC510" s="4">
        <f>$M$510*$W$510</f>
        <v>4431.9040919999998</v>
      </c>
      <c r="AD510" s="4">
        <f>$O$510*$X$510</f>
        <v>3533.2164560000001</v>
      </c>
      <c r="AE510" s="4">
        <f>$K$510*$Y$510</f>
        <v>0</v>
      </c>
      <c r="AF510" s="4">
        <f ca="1">$M$510*$Z$510</f>
        <v>5871.0763678941539</v>
      </c>
      <c r="AG510" s="4">
        <f>$O$510*$AA$510</f>
        <v>3079.600333151528</v>
      </c>
    </row>
    <row r="511" spans="1:33" ht="11.25" customHeight="1" x14ac:dyDescent="0.25">
      <c r="A511" s="3" t="s">
        <v>21</v>
      </c>
      <c r="B511" s="3" t="s">
        <v>40</v>
      </c>
      <c r="C511" s="3" t="s">
        <v>23</v>
      </c>
      <c r="D511" s="3" t="s">
        <v>41</v>
      </c>
      <c r="E511" s="3" t="s">
        <v>53</v>
      </c>
      <c r="F511" s="3" t="s">
        <v>52</v>
      </c>
      <c r="G511" s="3" t="s">
        <v>25</v>
      </c>
      <c r="H511" s="3" t="s">
        <v>25</v>
      </c>
      <c r="I511" s="6">
        <v>44774</v>
      </c>
      <c r="J511" s="4">
        <v>0</v>
      </c>
      <c r="K511" s="4">
        <v>0</v>
      </c>
      <c r="L511" s="4">
        <v>41</v>
      </c>
      <c r="M511" s="4">
        <v>16.399999999999999</v>
      </c>
      <c r="N511" s="4">
        <v>41</v>
      </c>
      <c r="O511" s="4">
        <v>16.399999999999999</v>
      </c>
      <c r="P511" s="4">
        <v>0</v>
      </c>
      <c r="Q511" s="3" t="s">
        <v>26</v>
      </c>
      <c r="R511" s="3">
        <v>0</v>
      </c>
      <c r="S511" s="4">
        <v>0</v>
      </c>
      <c r="T511" s="4">
        <v>24</v>
      </c>
      <c r="U511" s="4">
        <v>63</v>
      </c>
      <c r="V511" s="4">
        <f>IF(ISERROR(VLOOKUP($S$511,'TAR FIN'!$A$1:$O$91,15,0)),0,VLOOKUP($S$511,'TAR FIN'!$A$1:$O$91,15,0))</f>
        <v>0</v>
      </c>
      <c r="W511" s="4">
        <f>IF(ISERROR(VLOOKUP($T$511,'TAR FIN'!$A$1:$O$91,15,0)),0,VLOOKUP($T$511,'TAR FIN'!$A$1:$O$91,15,0))</f>
        <v>275.13</v>
      </c>
      <c r="X511" s="4">
        <f>IF(ISERROR(VLOOKUP($U$511,'TAR FIN'!$A$1:$O$91,15,0)),0,VLOOKUP($U$511,'TAR FIN'!$A$1:$O$91,15,0))</f>
        <v>219.34</v>
      </c>
      <c r="Y511" s="4"/>
      <c r="Z511" s="4">
        <f ca="1">('TUSD BE'!$AM$36+'TUSD BF'!$AM$36+'TUSD CVA'!$AM$36)*(1-CUSTOS!$M$38)</f>
        <v>364.4729686309102</v>
      </c>
      <c r="AA511" s="4">
        <f>('TE BE'!$AB$26+'TE BF'!$AB$26+'TE CVA'!$AB$26)*(1-CUSTOS!$M$38)</f>
        <v>191.17977782719129</v>
      </c>
      <c r="AB511" s="4">
        <f>$K$511*$V$511</f>
        <v>0</v>
      </c>
      <c r="AC511" s="4">
        <f>$M$511*$W$511</f>
        <v>4512.1319999999996</v>
      </c>
      <c r="AD511" s="4">
        <f>$O$511*$X$511</f>
        <v>3597.1759999999999</v>
      </c>
      <c r="AE511" s="4">
        <f>$K$511*$Y$511</f>
        <v>0</v>
      </c>
      <c r="AF511" s="4">
        <f ca="1">$M$511*$Z$511</f>
        <v>5977.3566855469271</v>
      </c>
      <c r="AG511" s="4">
        <f>$O$511*$AA$511</f>
        <v>3135.348356365937</v>
      </c>
    </row>
    <row r="512" spans="1:33" ht="11.25" customHeight="1" x14ac:dyDescent="0.25">
      <c r="A512" s="3" t="s">
        <v>28</v>
      </c>
      <c r="B512" s="3" t="s">
        <v>40</v>
      </c>
      <c r="C512" s="3" t="s">
        <v>23</v>
      </c>
      <c r="D512" s="3" t="s">
        <v>41</v>
      </c>
      <c r="E512" s="3" t="s">
        <v>53</v>
      </c>
      <c r="F512" s="3" t="s">
        <v>52</v>
      </c>
      <c r="G512" s="3" t="s">
        <v>25</v>
      </c>
      <c r="H512" s="3" t="s">
        <v>25</v>
      </c>
      <c r="I512" s="6">
        <v>44774</v>
      </c>
      <c r="J512" s="4">
        <v>0</v>
      </c>
      <c r="K512" s="4">
        <v>0</v>
      </c>
      <c r="L512" s="4">
        <v>24.759</v>
      </c>
      <c r="M512" s="4">
        <v>24.759</v>
      </c>
      <c r="N512" s="4">
        <v>24.759</v>
      </c>
      <c r="O512" s="4">
        <v>24.759</v>
      </c>
      <c r="P512" s="4">
        <v>0</v>
      </c>
      <c r="Q512" s="3" t="s">
        <v>26</v>
      </c>
      <c r="R512" s="3">
        <v>0</v>
      </c>
      <c r="S512" s="4">
        <v>0</v>
      </c>
      <c r="T512" s="4">
        <v>24</v>
      </c>
      <c r="U512" s="4">
        <v>63</v>
      </c>
      <c r="V512" s="4">
        <f>IF(ISERROR(VLOOKUP($S$512,'TAR FIN'!$A$1:$O$91,15,0)),0,VLOOKUP($S$512,'TAR FIN'!$A$1:$O$91,15,0))</f>
        <v>0</v>
      </c>
      <c r="W512" s="4">
        <f>IF(ISERROR(VLOOKUP($T$512,'TAR FIN'!$A$1:$O$91,15,0)),0,VLOOKUP($T$512,'TAR FIN'!$A$1:$O$91,15,0))</f>
        <v>275.13</v>
      </c>
      <c r="X512" s="4">
        <f>IF(ISERROR(VLOOKUP($U$512,'TAR FIN'!$A$1:$O$91,15,0)),0,VLOOKUP($U$512,'TAR FIN'!$A$1:$O$91,15,0))</f>
        <v>219.34</v>
      </c>
      <c r="Y512" s="4"/>
      <c r="Z512" s="4">
        <f ca="1">('TUSD BE'!$AM$36+'TUSD BF'!$AM$36+'TUSD CVA'!$AM$36)*(1-CUSTOS!$M$38)</f>
        <v>364.4729686309102</v>
      </c>
      <c r="AA512" s="4">
        <f>('TE BE'!$AB$26+'TE BF'!$AB$26+'TE CVA'!$AB$26)*(1-CUSTOS!$M$38)</f>
        <v>191.17977782719129</v>
      </c>
      <c r="AB512" s="4">
        <f>$K$512*$V$512</f>
        <v>0</v>
      </c>
      <c r="AC512" s="4">
        <f>$M$512*$W$512</f>
        <v>6811.9436699999997</v>
      </c>
      <c r="AD512" s="4">
        <f>$O$512*$X$512</f>
        <v>5430.6390600000004</v>
      </c>
      <c r="AE512" s="4">
        <f>$K$512*$Y$512</f>
        <v>0</v>
      </c>
      <c r="AF512" s="4">
        <f ca="1">$M$512*$Z$512</f>
        <v>9023.9862303327063</v>
      </c>
      <c r="AG512" s="4">
        <f>$O$512*$AA$512</f>
        <v>4733.4201192234295</v>
      </c>
    </row>
    <row r="513" spans="1:33" ht="11.25" customHeight="1" x14ac:dyDescent="0.25">
      <c r="A513" s="3" t="s">
        <v>21</v>
      </c>
      <c r="B513" s="3" t="s">
        <v>40</v>
      </c>
      <c r="C513" s="3" t="s">
        <v>23</v>
      </c>
      <c r="D513" s="3" t="s">
        <v>41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44440</v>
      </c>
      <c r="J513" s="4">
        <v>0</v>
      </c>
      <c r="K513" s="4">
        <v>0</v>
      </c>
      <c r="L513" s="4">
        <v>1994.5889999999999</v>
      </c>
      <c r="M513" s="4">
        <v>1994.5889999999999</v>
      </c>
      <c r="N513" s="4">
        <v>1994.5889999999999</v>
      </c>
      <c r="O513" s="4">
        <v>1994.5889999999999</v>
      </c>
      <c r="P513" s="4">
        <v>2816</v>
      </c>
      <c r="Q513" s="3" t="s">
        <v>26</v>
      </c>
      <c r="R513" s="3">
        <v>0</v>
      </c>
      <c r="S513" s="4">
        <v>0</v>
      </c>
      <c r="T513" s="4">
        <v>24</v>
      </c>
      <c r="U513" s="4">
        <v>63</v>
      </c>
      <c r="V513" s="4">
        <f>IF(ISERROR(VLOOKUP($S$513,'TAR FIN'!$A$1:$O$91,15,0)),0,VLOOKUP($S$513,'TAR FIN'!$A$1:$O$91,15,0))</f>
        <v>0</v>
      </c>
      <c r="W513" s="4">
        <f>IF(ISERROR(VLOOKUP($T$513,'TAR FIN'!$A$1:$O$91,15,0)),0,VLOOKUP($T$513,'TAR FIN'!$A$1:$O$91,15,0))</f>
        <v>275.13</v>
      </c>
      <c r="X513" s="4">
        <f>IF(ISERROR(VLOOKUP($U$513,'TAR FIN'!$A$1:$O$91,15,0)),0,VLOOKUP($U$513,'TAR FIN'!$A$1:$O$91,15,0))</f>
        <v>219.34</v>
      </c>
      <c r="Y513" s="4"/>
      <c r="Z513" s="4">
        <f ca="1">('TUSD BE'!$AM$36+'TUSD BF'!$AM$36+'TUSD CVA'!$AM$36)*(1-CUSTOS!$M$38)</f>
        <v>364.4729686309102</v>
      </c>
      <c r="AA513" s="4">
        <f>('TE BE'!$AB$26+'TE BF'!$AB$26+'TE CVA'!$AB$26)*(1-CUSTOS!$M$38)</f>
        <v>191.17977782719129</v>
      </c>
      <c r="AB513" s="4">
        <f>$K$513*$V$513</f>
        <v>0</v>
      </c>
      <c r="AC513" s="4">
        <f>$M$513*$W$513</f>
        <v>548771.27156999998</v>
      </c>
      <c r="AD513" s="4">
        <f>$O$513*$X$513</f>
        <v>437493.15126000001</v>
      </c>
      <c r="AE513" s="4">
        <f>$K$513*$Y$513</f>
        <v>0</v>
      </c>
      <c r="AF513" s="4">
        <f ca="1">$M$513*$Z$513</f>
        <v>726973.77402855852</v>
      </c>
      <c r="AG513" s="4">
        <f>$O$513*$AA$513</f>
        <v>381325.08187655965</v>
      </c>
    </row>
    <row r="514" spans="1:33" ht="11.25" customHeight="1" x14ac:dyDescent="0.25">
      <c r="A514" s="3" t="s">
        <v>27</v>
      </c>
      <c r="B514" s="3" t="s">
        <v>40</v>
      </c>
      <c r="C514" s="3" t="s">
        <v>23</v>
      </c>
      <c r="D514" s="3" t="s">
        <v>41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44440</v>
      </c>
      <c r="J514" s="4">
        <v>0</v>
      </c>
      <c r="K514" s="4">
        <v>0</v>
      </c>
      <c r="L514" s="4">
        <v>-1.4830000000000001</v>
      </c>
      <c r="M514" s="4">
        <v>-1.4830000000000001</v>
      </c>
      <c r="N514" s="4">
        <v>-1.4830000000000001</v>
      </c>
      <c r="O514" s="4">
        <v>-1.4830000000000001</v>
      </c>
      <c r="P514" s="4">
        <v>0</v>
      </c>
      <c r="Q514" s="3" t="s">
        <v>26</v>
      </c>
      <c r="R514" s="3">
        <v>0</v>
      </c>
      <c r="S514" s="4">
        <v>0</v>
      </c>
      <c r="T514" s="4">
        <v>24</v>
      </c>
      <c r="U514" s="4">
        <v>63</v>
      </c>
      <c r="V514" s="4">
        <f>IF(ISERROR(VLOOKUP($S$514,'TAR FIN'!$A$1:$O$91,15,0)),0,VLOOKUP($S$514,'TAR FIN'!$A$1:$O$91,15,0))</f>
        <v>0</v>
      </c>
      <c r="W514" s="4">
        <f>IF(ISERROR(VLOOKUP($T$514,'TAR FIN'!$A$1:$O$91,15,0)),0,VLOOKUP($T$514,'TAR FIN'!$A$1:$O$91,15,0))</f>
        <v>275.13</v>
      </c>
      <c r="X514" s="4">
        <f>IF(ISERROR(VLOOKUP($U$514,'TAR FIN'!$A$1:$O$91,15,0)),0,VLOOKUP($U$514,'TAR FIN'!$A$1:$O$91,15,0))</f>
        <v>219.34</v>
      </c>
      <c r="Y514" s="4"/>
      <c r="Z514" s="4">
        <f ca="1">('TUSD BE'!$AM$36+'TUSD BF'!$AM$36+'TUSD CVA'!$AM$36)*(1-CUSTOS!$M$38)</f>
        <v>364.4729686309102</v>
      </c>
      <c r="AA514" s="4">
        <f>('TE BE'!$AB$26+'TE BF'!$AB$26+'TE CVA'!$AB$26)*(1-CUSTOS!$M$38)</f>
        <v>191.17977782719129</v>
      </c>
      <c r="AB514" s="4">
        <f>$K$514*$V$514</f>
        <v>0</v>
      </c>
      <c r="AC514" s="4">
        <f>$M$514*$W$514</f>
        <v>-408.01779000000005</v>
      </c>
      <c r="AD514" s="4">
        <f>$O$514*$X$514</f>
        <v>-325.28122000000002</v>
      </c>
      <c r="AE514" s="4">
        <f>$K$514*$Y$514</f>
        <v>0</v>
      </c>
      <c r="AF514" s="4">
        <f ca="1">$M$514*$Z$514</f>
        <v>-540.5134124796399</v>
      </c>
      <c r="AG514" s="4">
        <f>$O$514*$AA$514</f>
        <v>-283.51961051772469</v>
      </c>
    </row>
    <row r="515" spans="1:33" ht="11.25" customHeight="1" x14ac:dyDescent="0.25">
      <c r="A515" s="3" t="s">
        <v>28</v>
      </c>
      <c r="B515" s="3" t="s">
        <v>40</v>
      </c>
      <c r="C515" s="3" t="s">
        <v>23</v>
      </c>
      <c r="D515" s="3" t="s">
        <v>41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44440</v>
      </c>
      <c r="J515" s="4">
        <v>0</v>
      </c>
      <c r="K515" s="4">
        <v>0</v>
      </c>
      <c r="L515" s="4">
        <v>163.57599999999999</v>
      </c>
      <c r="M515" s="4">
        <v>163.57599999999999</v>
      </c>
      <c r="N515" s="4">
        <v>163.57599999999999</v>
      </c>
      <c r="O515" s="4">
        <v>163.57599999999999</v>
      </c>
      <c r="P515" s="4">
        <v>130</v>
      </c>
      <c r="Q515" s="3" t="s">
        <v>26</v>
      </c>
      <c r="R515" s="3">
        <v>0</v>
      </c>
      <c r="S515" s="4">
        <v>0</v>
      </c>
      <c r="T515" s="4">
        <v>24</v>
      </c>
      <c r="U515" s="4">
        <v>63</v>
      </c>
      <c r="V515" s="4">
        <f>IF(ISERROR(VLOOKUP($S$515,'TAR FIN'!$A$1:$O$91,15,0)),0,VLOOKUP($S$515,'TAR FIN'!$A$1:$O$91,15,0))</f>
        <v>0</v>
      </c>
      <c r="W515" s="4">
        <f>IF(ISERROR(VLOOKUP($T$515,'TAR FIN'!$A$1:$O$91,15,0)),0,VLOOKUP($T$515,'TAR FIN'!$A$1:$O$91,15,0))</f>
        <v>275.13</v>
      </c>
      <c r="X515" s="4">
        <f>IF(ISERROR(VLOOKUP($U$515,'TAR FIN'!$A$1:$O$91,15,0)),0,VLOOKUP($U$515,'TAR FIN'!$A$1:$O$91,15,0))</f>
        <v>219.34</v>
      </c>
      <c r="Y515" s="4"/>
      <c r="Z515" s="4">
        <f ca="1">('TUSD BE'!$AM$36+'TUSD BF'!$AM$36+'TUSD CVA'!$AM$36)*(1-CUSTOS!$M$38)</f>
        <v>364.4729686309102</v>
      </c>
      <c r="AA515" s="4">
        <f>('TE BE'!$AB$26+'TE BF'!$AB$26+'TE CVA'!$AB$26)*(1-CUSTOS!$M$38)</f>
        <v>191.17977782719129</v>
      </c>
      <c r="AB515" s="4">
        <f>$K$515*$V$515</f>
        <v>0</v>
      </c>
      <c r="AC515" s="4">
        <f>$M$515*$W$515</f>
        <v>45004.664879999997</v>
      </c>
      <c r="AD515" s="4">
        <f>$O$515*$X$515</f>
        <v>35878.759839999999</v>
      </c>
      <c r="AE515" s="4">
        <f>$K$515*$Y$515</f>
        <v>0</v>
      </c>
      <c r="AF515" s="4">
        <f ca="1">$M$515*$Z$515</f>
        <v>59619.030316769764</v>
      </c>
      <c r="AG515" s="4">
        <f>$O$515*$AA$515</f>
        <v>31272.42333786064</v>
      </c>
    </row>
    <row r="516" spans="1:33" ht="11.25" customHeight="1" x14ac:dyDescent="0.25">
      <c r="A516" s="3" t="s">
        <v>21</v>
      </c>
      <c r="B516" s="3" t="s">
        <v>40</v>
      </c>
      <c r="C516" s="3" t="s">
        <v>23</v>
      </c>
      <c r="D516" s="3" t="s">
        <v>41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44470</v>
      </c>
      <c r="J516" s="4">
        <v>0</v>
      </c>
      <c r="K516" s="4">
        <v>0</v>
      </c>
      <c r="L516" s="4">
        <v>2005.1969999999999</v>
      </c>
      <c r="M516" s="4">
        <v>2005.1969999999999</v>
      </c>
      <c r="N516" s="4">
        <v>2005.1969999999999</v>
      </c>
      <c r="O516" s="4">
        <v>2005.1969999999999</v>
      </c>
      <c r="P516" s="4">
        <v>2802</v>
      </c>
      <c r="Q516" s="3" t="s">
        <v>26</v>
      </c>
      <c r="R516" s="3">
        <v>0</v>
      </c>
      <c r="S516" s="4">
        <v>0</v>
      </c>
      <c r="T516" s="4">
        <v>24</v>
      </c>
      <c r="U516" s="4">
        <v>63</v>
      </c>
      <c r="V516" s="4">
        <f>IF(ISERROR(VLOOKUP($S$516,'TAR FIN'!$A$1:$O$91,15,0)),0,VLOOKUP($S$516,'TAR FIN'!$A$1:$O$91,15,0))</f>
        <v>0</v>
      </c>
      <c r="W516" s="4">
        <f>IF(ISERROR(VLOOKUP($T$516,'TAR FIN'!$A$1:$O$91,15,0)),0,VLOOKUP($T$516,'TAR FIN'!$A$1:$O$91,15,0))</f>
        <v>275.13</v>
      </c>
      <c r="X516" s="4">
        <f>IF(ISERROR(VLOOKUP($U$516,'TAR FIN'!$A$1:$O$91,15,0)),0,VLOOKUP($U$516,'TAR FIN'!$A$1:$O$91,15,0))</f>
        <v>219.34</v>
      </c>
      <c r="Y516" s="4"/>
      <c r="Z516" s="4">
        <f ca="1">('TUSD BE'!$AM$36+'TUSD BF'!$AM$36+'TUSD CVA'!$AM$36)*(1-CUSTOS!$M$38)</f>
        <v>364.4729686309102</v>
      </c>
      <c r="AA516" s="4">
        <f>('TE BE'!$AB$26+'TE BF'!$AB$26+'TE CVA'!$AB$26)*(1-CUSTOS!$M$38)</f>
        <v>191.17977782719129</v>
      </c>
      <c r="AB516" s="4">
        <f>$K$516*$V$516</f>
        <v>0</v>
      </c>
      <c r="AC516" s="4">
        <f>$M$516*$W$516</f>
        <v>551689.85060999996</v>
      </c>
      <c r="AD516" s="4">
        <f>$O$516*$X$516</f>
        <v>439819.90998</v>
      </c>
      <c r="AE516" s="4">
        <f>$K$516*$Y$516</f>
        <v>0</v>
      </c>
      <c r="AF516" s="4">
        <f ca="1">$M$516*$Z$516</f>
        <v>730840.10327979515</v>
      </c>
      <c r="AG516" s="4">
        <f>$O$516*$AA$516</f>
        <v>383353.11695975048</v>
      </c>
    </row>
    <row r="517" spans="1:33" ht="11.25" customHeight="1" x14ac:dyDescent="0.25">
      <c r="A517" s="3" t="s">
        <v>27</v>
      </c>
      <c r="B517" s="3" t="s">
        <v>40</v>
      </c>
      <c r="C517" s="3" t="s">
        <v>23</v>
      </c>
      <c r="D517" s="3" t="s">
        <v>41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44470</v>
      </c>
      <c r="J517" s="4">
        <v>0</v>
      </c>
      <c r="K517" s="4">
        <v>0</v>
      </c>
      <c r="L517" s="4">
        <v>272.85000000000002</v>
      </c>
      <c r="M517" s="4">
        <v>272.85000000000002</v>
      </c>
      <c r="N517" s="4">
        <v>272.85000000000002</v>
      </c>
      <c r="O517" s="4">
        <v>272.85000000000002</v>
      </c>
      <c r="P517" s="4">
        <v>0</v>
      </c>
      <c r="Q517" s="3" t="s">
        <v>26</v>
      </c>
      <c r="R517" s="3">
        <v>0</v>
      </c>
      <c r="S517" s="4">
        <v>0</v>
      </c>
      <c r="T517" s="4">
        <v>24</v>
      </c>
      <c r="U517" s="4">
        <v>63</v>
      </c>
      <c r="V517" s="4">
        <f>IF(ISERROR(VLOOKUP($S$517,'TAR FIN'!$A$1:$O$91,15,0)),0,VLOOKUP($S$517,'TAR FIN'!$A$1:$O$91,15,0))</f>
        <v>0</v>
      </c>
      <c r="W517" s="4">
        <f>IF(ISERROR(VLOOKUP($T$517,'TAR FIN'!$A$1:$O$91,15,0)),0,VLOOKUP($T$517,'TAR FIN'!$A$1:$O$91,15,0))</f>
        <v>275.13</v>
      </c>
      <c r="X517" s="4">
        <f>IF(ISERROR(VLOOKUP($U$517,'TAR FIN'!$A$1:$O$91,15,0)),0,VLOOKUP($U$517,'TAR FIN'!$A$1:$O$91,15,0))</f>
        <v>219.34</v>
      </c>
      <c r="Y517" s="4"/>
      <c r="Z517" s="4">
        <f ca="1">('TUSD BE'!$AM$36+'TUSD BF'!$AM$36+'TUSD CVA'!$AM$36)*(1-CUSTOS!$M$38)</f>
        <v>364.4729686309102</v>
      </c>
      <c r="AA517" s="4">
        <f>('TE BE'!$AB$26+'TE BF'!$AB$26+'TE CVA'!$AB$26)*(1-CUSTOS!$M$38)</f>
        <v>191.17977782719129</v>
      </c>
      <c r="AB517" s="4">
        <f>$K$517*$V$517</f>
        <v>0</v>
      </c>
      <c r="AC517" s="4">
        <f>$M$517*$W$517</f>
        <v>75069.22050000001</v>
      </c>
      <c r="AD517" s="4">
        <f>$O$517*$X$517</f>
        <v>59846.919000000009</v>
      </c>
      <c r="AE517" s="4">
        <f>$K$517*$Y$517</f>
        <v>0</v>
      </c>
      <c r="AF517" s="4">
        <f ca="1">$M$517*$Z$517</f>
        <v>99446.449490943851</v>
      </c>
      <c r="AG517" s="4">
        <f>$O$517*$AA$517</f>
        <v>52163.402380149149</v>
      </c>
    </row>
    <row r="518" spans="1:33" ht="11.25" customHeight="1" x14ac:dyDescent="0.25">
      <c r="A518" s="3" t="s">
        <v>28</v>
      </c>
      <c r="B518" s="3" t="s">
        <v>40</v>
      </c>
      <c r="C518" s="3" t="s">
        <v>23</v>
      </c>
      <c r="D518" s="3" t="s">
        <v>41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44470</v>
      </c>
      <c r="J518" s="4">
        <v>0</v>
      </c>
      <c r="K518" s="4">
        <v>0</v>
      </c>
      <c r="L518" s="4">
        <v>198.13399999999999</v>
      </c>
      <c r="M518" s="4">
        <v>198.13399999999999</v>
      </c>
      <c r="N518" s="4">
        <v>198.13399999999999</v>
      </c>
      <c r="O518" s="4">
        <v>198.13399999999999</v>
      </c>
      <c r="P518" s="4">
        <v>140</v>
      </c>
      <c r="Q518" s="3" t="s">
        <v>26</v>
      </c>
      <c r="R518" s="3">
        <v>0</v>
      </c>
      <c r="S518" s="4">
        <v>0</v>
      </c>
      <c r="T518" s="4">
        <v>24</v>
      </c>
      <c r="U518" s="4">
        <v>63</v>
      </c>
      <c r="V518" s="4">
        <f>IF(ISERROR(VLOOKUP($S$518,'TAR FIN'!$A$1:$O$91,15,0)),0,VLOOKUP($S$518,'TAR FIN'!$A$1:$O$91,15,0))</f>
        <v>0</v>
      </c>
      <c r="W518" s="4">
        <f>IF(ISERROR(VLOOKUP($T$518,'TAR FIN'!$A$1:$O$91,15,0)),0,VLOOKUP($T$518,'TAR FIN'!$A$1:$O$91,15,0))</f>
        <v>275.13</v>
      </c>
      <c r="X518" s="4">
        <f>IF(ISERROR(VLOOKUP($U$518,'TAR FIN'!$A$1:$O$91,15,0)),0,VLOOKUP($U$518,'TAR FIN'!$A$1:$O$91,15,0))</f>
        <v>219.34</v>
      </c>
      <c r="Y518" s="4"/>
      <c r="Z518" s="4">
        <f ca="1">('TUSD BE'!$AM$36+'TUSD BF'!$AM$36+'TUSD CVA'!$AM$36)*(1-CUSTOS!$M$38)</f>
        <v>364.4729686309102</v>
      </c>
      <c r="AA518" s="4">
        <f>('TE BE'!$AB$26+'TE BF'!$AB$26+'TE CVA'!$AB$26)*(1-CUSTOS!$M$38)</f>
        <v>191.17977782719129</v>
      </c>
      <c r="AB518" s="4">
        <f>$K$518*$V$518</f>
        <v>0</v>
      </c>
      <c r="AC518" s="4">
        <f>$M$518*$W$518</f>
        <v>54512.607419999993</v>
      </c>
      <c r="AD518" s="4">
        <f>$O$518*$X$518</f>
        <v>43458.711559999996</v>
      </c>
      <c r="AE518" s="4">
        <f>$K$518*$Y$518</f>
        <v>0</v>
      </c>
      <c r="AF518" s="4">
        <f ca="1">$M$518*$Z$518</f>
        <v>72214.487166716761</v>
      </c>
      <c r="AG518" s="4">
        <f>$O$518*$AA$518</f>
        <v>37879.214100012716</v>
      </c>
    </row>
    <row r="519" spans="1:33" ht="11.25" customHeight="1" x14ac:dyDescent="0.25">
      <c r="A519" s="3" t="s">
        <v>21</v>
      </c>
      <c r="B519" s="3" t="s">
        <v>40</v>
      </c>
      <c r="C519" s="3" t="s">
        <v>23</v>
      </c>
      <c r="D519" s="3" t="s">
        <v>41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44501</v>
      </c>
      <c r="J519" s="4">
        <v>0</v>
      </c>
      <c r="K519" s="4">
        <v>0</v>
      </c>
      <c r="L519" s="4">
        <v>2034.308</v>
      </c>
      <c r="M519" s="4">
        <v>2034.308</v>
      </c>
      <c r="N519" s="4">
        <v>2034.308</v>
      </c>
      <c r="O519" s="4">
        <v>2034.308</v>
      </c>
      <c r="P519" s="4">
        <v>2784</v>
      </c>
      <c r="Q519" s="3" t="s">
        <v>26</v>
      </c>
      <c r="R519" s="3">
        <v>0</v>
      </c>
      <c r="S519" s="4">
        <v>0</v>
      </c>
      <c r="T519" s="4">
        <v>24</v>
      </c>
      <c r="U519" s="4">
        <v>63</v>
      </c>
      <c r="V519" s="4">
        <f>IF(ISERROR(VLOOKUP($S$519,'TAR FIN'!$A$1:$O$91,15,0)),0,VLOOKUP($S$519,'TAR FIN'!$A$1:$O$91,15,0))</f>
        <v>0</v>
      </c>
      <c r="W519" s="4">
        <f>IF(ISERROR(VLOOKUP($T$519,'TAR FIN'!$A$1:$O$91,15,0)),0,VLOOKUP($T$519,'TAR FIN'!$A$1:$O$91,15,0))</f>
        <v>275.13</v>
      </c>
      <c r="X519" s="4">
        <f>IF(ISERROR(VLOOKUP($U$519,'TAR FIN'!$A$1:$O$91,15,0)),0,VLOOKUP($U$519,'TAR FIN'!$A$1:$O$91,15,0))</f>
        <v>219.34</v>
      </c>
      <c r="Y519" s="4"/>
      <c r="Z519" s="4">
        <f ca="1">('TUSD BE'!$AM$36+'TUSD BF'!$AM$36+'TUSD CVA'!$AM$36)*(1-CUSTOS!$M$38)</f>
        <v>364.4729686309102</v>
      </c>
      <c r="AA519" s="4">
        <f>('TE BE'!$AB$26+'TE BF'!$AB$26+'TE CVA'!$AB$26)*(1-CUSTOS!$M$38)</f>
        <v>191.17977782719129</v>
      </c>
      <c r="AB519" s="4">
        <f>$K$519*$V$519</f>
        <v>0</v>
      </c>
      <c r="AC519" s="4">
        <f>$M$519*$W$519</f>
        <v>559699.16003999999</v>
      </c>
      <c r="AD519" s="4">
        <f>$O$519*$X$519</f>
        <v>446205.11671999999</v>
      </c>
      <c r="AE519" s="4">
        <f>$K$519*$Y$519</f>
        <v>0</v>
      </c>
      <c r="AF519" s="4">
        <f ca="1">$M$519*$Z$519</f>
        <v>741450.27586960967</v>
      </c>
      <c r="AG519" s="4">
        <f>$O$519*$AA$519</f>
        <v>388918.55147207784</v>
      </c>
    </row>
    <row r="520" spans="1:33" ht="11.25" customHeight="1" x14ac:dyDescent="0.25">
      <c r="A520" s="3" t="s">
        <v>27</v>
      </c>
      <c r="B520" s="3" t="s">
        <v>40</v>
      </c>
      <c r="C520" s="3" t="s">
        <v>23</v>
      </c>
      <c r="D520" s="3" t="s">
        <v>41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44501</v>
      </c>
      <c r="J520" s="4">
        <v>0</v>
      </c>
      <c r="K520" s="4">
        <v>0</v>
      </c>
      <c r="L520" s="4">
        <v>232.19200000000001</v>
      </c>
      <c r="M520" s="4">
        <v>232.19200000000001</v>
      </c>
      <c r="N520" s="4">
        <v>232.19200000000001</v>
      </c>
      <c r="O520" s="4">
        <v>232.19200000000001</v>
      </c>
      <c r="P520" s="4">
        <v>0</v>
      </c>
      <c r="Q520" s="3" t="s">
        <v>26</v>
      </c>
      <c r="R520" s="3">
        <v>0</v>
      </c>
      <c r="S520" s="4">
        <v>0</v>
      </c>
      <c r="T520" s="4">
        <v>24</v>
      </c>
      <c r="U520" s="4">
        <v>63</v>
      </c>
      <c r="V520" s="4">
        <f>IF(ISERROR(VLOOKUP($S$520,'TAR FIN'!$A$1:$O$91,15,0)),0,VLOOKUP($S$520,'TAR FIN'!$A$1:$O$91,15,0))</f>
        <v>0</v>
      </c>
      <c r="W520" s="4">
        <f>IF(ISERROR(VLOOKUP($T$520,'TAR FIN'!$A$1:$O$91,15,0)),0,VLOOKUP($T$520,'TAR FIN'!$A$1:$O$91,15,0))</f>
        <v>275.13</v>
      </c>
      <c r="X520" s="4">
        <f>IF(ISERROR(VLOOKUP($U$520,'TAR FIN'!$A$1:$O$91,15,0)),0,VLOOKUP($U$520,'TAR FIN'!$A$1:$O$91,15,0))</f>
        <v>219.34</v>
      </c>
      <c r="Y520" s="4"/>
      <c r="Z520" s="4">
        <f ca="1">('TUSD BE'!$AM$36+'TUSD BF'!$AM$36+'TUSD CVA'!$AM$36)*(1-CUSTOS!$M$38)</f>
        <v>364.4729686309102</v>
      </c>
      <c r="AA520" s="4">
        <f>('TE BE'!$AB$26+'TE BF'!$AB$26+'TE CVA'!$AB$26)*(1-CUSTOS!$M$38)</f>
        <v>191.17977782719129</v>
      </c>
      <c r="AB520" s="4">
        <f>$K$520*$V$520</f>
        <v>0</v>
      </c>
      <c r="AC520" s="4">
        <f>$M$520*$W$520</f>
        <v>63882.984960000002</v>
      </c>
      <c r="AD520" s="4">
        <f>$O$520*$X$520</f>
        <v>50928.993280000002</v>
      </c>
      <c r="AE520" s="4">
        <f>$K$520*$Y$520</f>
        <v>0</v>
      </c>
      <c r="AF520" s="4">
        <f ca="1">$M$520*$Z$520</f>
        <v>84627.7075323483</v>
      </c>
      <c r="AG520" s="4">
        <f>$O$520*$AA$520</f>
        <v>44390.414973251201</v>
      </c>
    </row>
    <row r="521" spans="1:33" ht="11.25" customHeight="1" x14ac:dyDescent="0.25">
      <c r="A521" s="3" t="s">
        <v>28</v>
      </c>
      <c r="B521" s="3" t="s">
        <v>40</v>
      </c>
      <c r="C521" s="3" t="s">
        <v>23</v>
      </c>
      <c r="D521" s="3" t="s">
        <v>41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44501</v>
      </c>
      <c r="J521" s="4">
        <v>0</v>
      </c>
      <c r="K521" s="4">
        <v>0</v>
      </c>
      <c r="L521" s="4">
        <v>145.69200000000001</v>
      </c>
      <c r="M521" s="4">
        <v>145.69200000000001</v>
      </c>
      <c r="N521" s="4">
        <v>145.69200000000001</v>
      </c>
      <c r="O521" s="4">
        <v>145.69200000000001</v>
      </c>
      <c r="P521" s="4">
        <v>154</v>
      </c>
      <c r="Q521" s="3" t="s">
        <v>26</v>
      </c>
      <c r="R521" s="3">
        <v>0</v>
      </c>
      <c r="S521" s="4">
        <v>0</v>
      </c>
      <c r="T521" s="4">
        <v>24</v>
      </c>
      <c r="U521" s="4">
        <v>63</v>
      </c>
      <c r="V521" s="4">
        <f>IF(ISERROR(VLOOKUP($S$521,'TAR FIN'!$A$1:$O$91,15,0)),0,VLOOKUP($S$521,'TAR FIN'!$A$1:$O$91,15,0))</f>
        <v>0</v>
      </c>
      <c r="W521" s="4">
        <f>IF(ISERROR(VLOOKUP($T$521,'TAR FIN'!$A$1:$O$91,15,0)),0,VLOOKUP($T$521,'TAR FIN'!$A$1:$O$91,15,0))</f>
        <v>275.13</v>
      </c>
      <c r="X521" s="4">
        <f>IF(ISERROR(VLOOKUP($U$521,'TAR FIN'!$A$1:$O$91,15,0)),0,VLOOKUP($U$521,'TAR FIN'!$A$1:$O$91,15,0))</f>
        <v>219.34</v>
      </c>
      <c r="Y521" s="4"/>
      <c r="Z521" s="4">
        <f ca="1">('TUSD BE'!$AM$36+'TUSD BF'!$AM$36+'TUSD CVA'!$AM$36)*(1-CUSTOS!$M$38)</f>
        <v>364.4729686309102</v>
      </c>
      <c r="AA521" s="4">
        <f>('TE BE'!$AB$26+'TE BF'!$AB$26+'TE CVA'!$AB$26)*(1-CUSTOS!$M$38)</f>
        <v>191.17977782719129</v>
      </c>
      <c r="AB521" s="4">
        <f>$K$521*$V$521</f>
        <v>0</v>
      </c>
      <c r="AC521" s="4">
        <f>$M$521*$W$521</f>
        <v>40084.239959999999</v>
      </c>
      <c r="AD521" s="4">
        <f>$O$521*$X$521</f>
        <v>31956.083280000003</v>
      </c>
      <c r="AE521" s="4">
        <f>$K$521*$Y$521</f>
        <v>0</v>
      </c>
      <c r="AF521" s="4">
        <f ca="1">$M$521*$Z$521</f>
        <v>53100.795745774572</v>
      </c>
      <c r="AG521" s="4">
        <f>$O$521*$AA$521</f>
        <v>27853.364191199154</v>
      </c>
    </row>
    <row r="522" spans="1:33" ht="11.25" customHeight="1" x14ac:dyDescent="0.25">
      <c r="A522" s="3" t="s">
        <v>21</v>
      </c>
      <c r="B522" s="3" t="s">
        <v>40</v>
      </c>
      <c r="C522" s="3" t="s">
        <v>23</v>
      </c>
      <c r="D522" s="3" t="s">
        <v>41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44531</v>
      </c>
      <c r="J522" s="4">
        <v>0</v>
      </c>
      <c r="K522" s="4">
        <v>0</v>
      </c>
      <c r="L522" s="4">
        <v>2076.846</v>
      </c>
      <c r="M522" s="4">
        <v>2076.846</v>
      </c>
      <c r="N522" s="4">
        <v>2076.846</v>
      </c>
      <c r="O522" s="4">
        <v>2076.846</v>
      </c>
      <c r="P522" s="4">
        <v>2764</v>
      </c>
      <c r="Q522" s="3" t="s">
        <v>26</v>
      </c>
      <c r="R522" s="3">
        <v>0</v>
      </c>
      <c r="S522" s="4">
        <v>0</v>
      </c>
      <c r="T522" s="4">
        <v>24</v>
      </c>
      <c r="U522" s="4">
        <v>63</v>
      </c>
      <c r="V522" s="4">
        <f>IF(ISERROR(VLOOKUP($S$522,'TAR FIN'!$A$1:$O$91,15,0)),0,VLOOKUP($S$522,'TAR FIN'!$A$1:$O$91,15,0))</f>
        <v>0</v>
      </c>
      <c r="W522" s="4">
        <f>IF(ISERROR(VLOOKUP($T$522,'TAR FIN'!$A$1:$O$91,15,0)),0,VLOOKUP($T$522,'TAR FIN'!$A$1:$O$91,15,0))</f>
        <v>275.13</v>
      </c>
      <c r="X522" s="4">
        <f>IF(ISERROR(VLOOKUP($U$522,'TAR FIN'!$A$1:$O$91,15,0)),0,VLOOKUP($U$522,'TAR FIN'!$A$1:$O$91,15,0))</f>
        <v>219.34</v>
      </c>
      <c r="Y522" s="4"/>
      <c r="Z522" s="4">
        <f ca="1">('TUSD BE'!$AM$36+'TUSD BF'!$AM$36+'TUSD CVA'!$AM$36)*(1-CUSTOS!$M$38)</f>
        <v>364.4729686309102</v>
      </c>
      <c r="AA522" s="4">
        <f>('TE BE'!$AB$26+'TE BF'!$AB$26+'TE CVA'!$AB$26)*(1-CUSTOS!$M$38)</f>
        <v>191.17977782719129</v>
      </c>
      <c r="AB522" s="4">
        <f>$K$522*$V$522</f>
        <v>0</v>
      </c>
      <c r="AC522" s="4">
        <f>$M$522*$W$522</f>
        <v>571402.63997999998</v>
      </c>
      <c r="AD522" s="4">
        <f>$O$522*$X$522</f>
        <v>455535.40164</v>
      </c>
      <c r="AE522" s="4">
        <f>$K$522*$Y$522</f>
        <v>0</v>
      </c>
      <c r="AF522" s="4">
        <f ca="1">$M$522*$Z$522</f>
        <v>756954.22700923134</v>
      </c>
      <c r="AG522" s="4">
        <f>$O$522*$AA$522</f>
        <v>397050.95686129091</v>
      </c>
    </row>
    <row r="523" spans="1:33" ht="11.25" customHeight="1" x14ac:dyDescent="0.25">
      <c r="A523" s="3" t="s">
        <v>28</v>
      </c>
      <c r="B523" s="3" t="s">
        <v>40</v>
      </c>
      <c r="C523" s="3" t="s">
        <v>23</v>
      </c>
      <c r="D523" s="3" t="s">
        <v>41</v>
      </c>
      <c r="E523" s="3" t="s">
        <v>25</v>
      </c>
      <c r="F523" s="3" t="s">
        <v>25</v>
      </c>
      <c r="G523" s="3" t="s">
        <v>25</v>
      </c>
      <c r="H523" s="3" t="s">
        <v>25</v>
      </c>
      <c r="I523" s="6">
        <v>44531</v>
      </c>
      <c r="J523" s="4">
        <v>0</v>
      </c>
      <c r="K523" s="4">
        <v>0</v>
      </c>
      <c r="L523" s="4">
        <v>145.10400000000001</v>
      </c>
      <c r="M523" s="4">
        <v>145.10400000000001</v>
      </c>
      <c r="N523" s="4">
        <v>145.10400000000001</v>
      </c>
      <c r="O523" s="4">
        <v>145.10400000000001</v>
      </c>
      <c r="P523" s="4">
        <v>167</v>
      </c>
      <c r="Q523" s="3" t="s">
        <v>26</v>
      </c>
      <c r="R523" s="3">
        <v>0</v>
      </c>
      <c r="S523" s="4">
        <v>0</v>
      </c>
      <c r="T523" s="4">
        <v>24</v>
      </c>
      <c r="U523" s="4">
        <v>63</v>
      </c>
      <c r="V523" s="4">
        <f>IF(ISERROR(VLOOKUP($S$523,'TAR FIN'!$A$1:$O$91,15,0)),0,VLOOKUP($S$523,'TAR FIN'!$A$1:$O$91,15,0))</f>
        <v>0</v>
      </c>
      <c r="W523" s="4">
        <f>IF(ISERROR(VLOOKUP($T$523,'TAR FIN'!$A$1:$O$91,15,0)),0,VLOOKUP($T$523,'TAR FIN'!$A$1:$O$91,15,0))</f>
        <v>275.13</v>
      </c>
      <c r="X523" s="4">
        <f>IF(ISERROR(VLOOKUP($U$523,'TAR FIN'!$A$1:$O$91,15,0)),0,VLOOKUP($U$523,'TAR FIN'!$A$1:$O$91,15,0))</f>
        <v>219.34</v>
      </c>
      <c r="Y523" s="4"/>
      <c r="Z523" s="4">
        <f ca="1">('TUSD BE'!$AM$36+'TUSD BF'!$AM$36+'TUSD CVA'!$AM$36)*(1-CUSTOS!$M$38)</f>
        <v>364.4729686309102</v>
      </c>
      <c r="AA523" s="4">
        <f>('TE BE'!$AB$26+'TE BF'!$AB$26+'TE CVA'!$AB$26)*(1-CUSTOS!$M$38)</f>
        <v>191.17977782719129</v>
      </c>
      <c r="AB523" s="4">
        <f>$K$523*$V$523</f>
        <v>0</v>
      </c>
      <c r="AC523" s="4">
        <f>$M$523*$W$523</f>
        <v>39922.463520000005</v>
      </c>
      <c r="AD523" s="4">
        <f>$O$523*$X$523</f>
        <v>31827.111360000003</v>
      </c>
      <c r="AE523" s="4">
        <f>$K$523*$Y$523</f>
        <v>0</v>
      </c>
      <c r="AF523" s="4">
        <f ca="1">$M$523*$Z$523</f>
        <v>52886.485640219602</v>
      </c>
      <c r="AG523" s="4">
        <f>$O$523*$AA$523</f>
        <v>27740.950481836768</v>
      </c>
    </row>
    <row r="524" spans="1:33" ht="11.25" customHeight="1" x14ac:dyDescent="0.25">
      <c r="A524" s="3" t="s">
        <v>21</v>
      </c>
      <c r="B524" s="3" t="s">
        <v>40</v>
      </c>
      <c r="C524" s="3" t="s">
        <v>23</v>
      </c>
      <c r="D524" s="3" t="s">
        <v>41</v>
      </c>
      <c r="E524" s="3" t="s">
        <v>25</v>
      </c>
      <c r="F524" s="3" t="s">
        <v>25</v>
      </c>
      <c r="G524" s="3" t="s">
        <v>25</v>
      </c>
      <c r="H524" s="3" t="s">
        <v>25</v>
      </c>
      <c r="I524" s="6">
        <v>44562</v>
      </c>
      <c r="J524" s="4">
        <v>0</v>
      </c>
      <c r="K524" s="4">
        <v>0</v>
      </c>
      <c r="L524" s="4">
        <v>2167.7890000000002</v>
      </c>
      <c r="M524" s="4">
        <v>2167.7890000000002</v>
      </c>
      <c r="N524" s="4">
        <v>2167.7890000000002</v>
      </c>
      <c r="O524" s="4">
        <v>2167.7890000000002</v>
      </c>
      <c r="P524" s="4">
        <v>2747</v>
      </c>
      <c r="Q524" s="3" t="s">
        <v>26</v>
      </c>
      <c r="R524" s="3">
        <v>0</v>
      </c>
      <c r="S524" s="4">
        <v>0</v>
      </c>
      <c r="T524" s="4">
        <v>24</v>
      </c>
      <c r="U524" s="4">
        <v>63</v>
      </c>
      <c r="V524" s="4">
        <f>IF(ISERROR(VLOOKUP($S$524,'TAR FIN'!$A$1:$O$91,15,0)),0,VLOOKUP($S$524,'TAR FIN'!$A$1:$O$91,15,0))</f>
        <v>0</v>
      </c>
      <c r="W524" s="4">
        <f>IF(ISERROR(VLOOKUP($T$524,'TAR FIN'!$A$1:$O$91,15,0)),0,VLOOKUP($T$524,'TAR FIN'!$A$1:$O$91,15,0))</f>
        <v>275.13</v>
      </c>
      <c r="X524" s="4">
        <f>IF(ISERROR(VLOOKUP($U$524,'TAR FIN'!$A$1:$O$91,15,0)),0,VLOOKUP($U$524,'TAR FIN'!$A$1:$O$91,15,0))</f>
        <v>219.34</v>
      </c>
      <c r="Y524" s="4"/>
      <c r="Z524" s="4">
        <f ca="1">('TUSD BE'!$AM$36+'TUSD BF'!$AM$36+'TUSD CVA'!$AM$36)*(1-CUSTOS!$M$38)</f>
        <v>364.4729686309102</v>
      </c>
      <c r="AA524" s="4">
        <f>('TE BE'!$AB$26+'TE BF'!$AB$26+'TE CVA'!$AB$26)*(1-CUSTOS!$M$38)</f>
        <v>191.17977782719129</v>
      </c>
      <c r="AB524" s="4">
        <f>$K$524*$V$524</f>
        <v>0</v>
      </c>
      <c r="AC524" s="4">
        <f>$M$524*$W$524</f>
        <v>596423.78757000004</v>
      </c>
      <c r="AD524" s="4">
        <f>$O$524*$X$524</f>
        <v>475482.83926000004</v>
      </c>
      <c r="AE524" s="4">
        <f>$K$524*$Y$524</f>
        <v>0</v>
      </c>
      <c r="AF524" s="4">
        <f ca="1">$M$524*$Z$524</f>
        <v>790100.49219543231</v>
      </c>
      <c r="AG524" s="4">
        <f>$O$524*$AA$524</f>
        <v>414437.4193962292</v>
      </c>
    </row>
    <row r="525" spans="1:33" ht="11.25" customHeight="1" x14ac:dyDescent="0.25">
      <c r="A525" s="3" t="s">
        <v>28</v>
      </c>
      <c r="B525" s="3" t="s">
        <v>40</v>
      </c>
      <c r="C525" s="3" t="s">
        <v>23</v>
      </c>
      <c r="D525" s="3" t="s">
        <v>41</v>
      </c>
      <c r="E525" s="3" t="s">
        <v>25</v>
      </c>
      <c r="F525" s="3" t="s">
        <v>25</v>
      </c>
      <c r="G525" s="3" t="s">
        <v>25</v>
      </c>
      <c r="H525" s="3" t="s">
        <v>25</v>
      </c>
      <c r="I525" s="6">
        <v>44562</v>
      </c>
      <c r="J525" s="4">
        <v>0</v>
      </c>
      <c r="K525" s="4">
        <v>0</v>
      </c>
      <c r="L525" s="4">
        <v>142.58199999999999</v>
      </c>
      <c r="M525" s="4">
        <v>142.58199999999999</v>
      </c>
      <c r="N525" s="4">
        <v>142.58199999999999</v>
      </c>
      <c r="O525" s="4">
        <v>142.58199999999999</v>
      </c>
      <c r="P525" s="4">
        <v>179</v>
      </c>
      <c r="Q525" s="3" t="s">
        <v>26</v>
      </c>
      <c r="R525" s="3">
        <v>0</v>
      </c>
      <c r="S525" s="4">
        <v>0</v>
      </c>
      <c r="T525" s="4">
        <v>24</v>
      </c>
      <c r="U525" s="4">
        <v>63</v>
      </c>
      <c r="V525" s="4">
        <f>IF(ISERROR(VLOOKUP($S$525,'TAR FIN'!$A$1:$O$91,15,0)),0,VLOOKUP($S$525,'TAR FIN'!$A$1:$O$91,15,0))</f>
        <v>0</v>
      </c>
      <c r="W525" s="4">
        <f>IF(ISERROR(VLOOKUP($T$525,'TAR FIN'!$A$1:$O$91,15,0)),0,VLOOKUP($T$525,'TAR FIN'!$A$1:$O$91,15,0))</f>
        <v>275.13</v>
      </c>
      <c r="X525" s="4">
        <f>IF(ISERROR(VLOOKUP($U$525,'TAR FIN'!$A$1:$O$91,15,0)),0,VLOOKUP($U$525,'TAR FIN'!$A$1:$O$91,15,0))</f>
        <v>219.34</v>
      </c>
      <c r="Y525" s="4"/>
      <c r="Z525" s="4">
        <f ca="1">('TUSD BE'!$AM$36+'TUSD BF'!$AM$36+'TUSD CVA'!$AM$36)*(1-CUSTOS!$M$38)</f>
        <v>364.4729686309102</v>
      </c>
      <c r="AA525" s="4">
        <f>('TE BE'!$AB$26+'TE BF'!$AB$26+'TE CVA'!$AB$26)*(1-CUSTOS!$M$38)</f>
        <v>191.17977782719129</v>
      </c>
      <c r="AB525" s="4">
        <f>$K$525*$V$525</f>
        <v>0</v>
      </c>
      <c r="AC525" s="4">
        <f>$M$525*$W$525</f>
        <v>39228.585659999997</v>
      </c>
      <c r="AD525" s="4">
        <f>$O$525*$X$525</f>
        <v>31273.935880000001</v>
      </c>
      <c r="AE525" s="4">
        <f>$K$525*$Y$525</f>
        <v>0</v>
      </c>
      <c r="AF525" s="4">
        <f ca="1">$M$525*$Z$525</f>
        <v>51967.284813332437</v>
      </c>
      <c r="AG525" s="4">
        <f>$O$525*$AA$525</f>
        <v>27258.795082156586</v>
      </c>
    </row>
    <row r="526" spans="1:33" ht="11.25" customHeight="1" x14ac:dyDescent="0.25">
      <c r="A526" s="3" t="s">
        <v>21</v>
      </c>
      <c r="B526" s="3" t="s">
        <v>40</v>
      </c>
      <c r="C526" s="3" t="s">
        <v>23</v>
      </c>
      <c r="D526" s="3" t="s">
        <v>41</v>
      </c>
      <c r="E526" s="3" t="s">
        <v>25</v>
      </c>
      <c r="F526" s="3" t="s">
        <v>25</v>
      </c>
      <c r="G526" s="3" t="s">
        <v>25</v>
      </c>
      <c r="H526" s="3" t="s">
        <v>25</v>
      </c>
      <c r="I526" s="6">
        <v>44593</v>
      </c>
      <c r="J526" s="4">
        <v>0</v>
      </c>
      <c r="K526" s="4">
        <v>0</v>
      </c>
      <c r="L526" s="4">
        <v>2222.8310000000001</v>
      </c>
      <c r="M526" s="4">
        <v>2222.8310000000001</v>
      </c>
      <c r="N526" s="4">
        <v>2222.8310000000001</v>
      </c>
      <c r="O526" s="4">
        <v>2222.8310000000001</v>
      </c>
      <c r="P526" s="4">
        <v>2732</v>
      </c>
      <c r="Q526" s="3" t="s">
        <v>26</v>
      </c>
      <c r="R526" s="3">
        <v>0</v>
      </c>
      <c r="S526" s="4">
        <v>0</v>
      </c>
      <c r="T526" s="4">
        <v>24</v>
      </c>
      <c r="U526" s="4">
        <v>63</v>
      </c>
      <c r="V526" s="4">
        <f>IF(ISERROR(VLOOKUP($S$526,'TAR FIN'!$A$1:$O$91,15,0)),0,VLOOKUP($S$526,'TAR FIN'!$A$1:$O$91,15,0))</f>
        <v>0</v>
      </c>
      <c r="W526" s="4">
        <f>IF(ISERROR(VLOOKUP($T$526,'TAR FIN'!$A$1:$O$91,15,0)),0,VLOOKUP($T$526,'TAR FIN'!$A$1:$O$91,15,0))</f>
        <v>275.13</v>
      </c>
      <c r="X526" s="4">
        <f>IF(ISERROR(VLOOKUP($U$526,'TAR FIN'!$A$1:$O$91,15,0)),0,VLOOKUP($U$526,'TAR FIN'!$A$1:$O$91,15,0))</f>
        <v>219.34</v>
      </c>
      <c r="Y526" s="4"/>
      <c r="Z526" s="4">
        <f ca="1">('TUSD BE'!$AM$36+'TUSD BF'!$AM$36+'TUSD CVA'!$AM$36)*(1-CUSTOS!$M$38)</f>
        <v>364.4729686309102</v>
      </c>
      <c r="AA526" s="4">
        <f>('TE BE'!$AB$26+'TE BF'!$AB$26+'TE CVA'!$AB$26)*(1-CUSTOS!$M$38)</f>
        <v>191.17977782719129</v>
      </c>
      <c r="AB526" s="4">
        <f>$K$526*$V$526</f>
        <v>0</v>
      </c>
      <c r="AC526" s="4">
        <f>$M$526*$W$526</f>
        <v>611567.49303000001</v>
      </c>
      <c r="AD526" s="4">
        <f>$O$526*$X$526</f>
        <v>487555.75154000003</v>
      </c>
      <c r="AE526" s="4">
        <f>$K$526*$Y$526</f>
        <v>0</v>
      </c>
      <c r="AF526" s="4">
        <f ca="1">$M$526*$Z$526</f>
        <v>810161.81333481485</v>
      </c>
      <c r="AG526" s="4">
        <f>$O$526*$AA$526</f>
        <v>424960.33672739344</v>
      </c>
    </row>
    <row r="527" spans="1:33" ht="11.25" customHeight="1" x14ac:dyDescent="0.25">
      <c r="A527" s="3" t="s">
        <v>27</v>
      </c>
      <c r="B527" s="3" t="s">
        <v>40</v>
      </c>
      <c r="C527" s="3" t="s">
        <v>23</v>
      </c>
      <c r="D527" s="3" t="s">
        <v>41</v>
      </c>
      <c r="E527" s="3" t="s">
        <v>25</v>
      </c>
      <c r="F527" s="3" t="s">
        <v>25</v>
      </c>
      <c r="G527" s="3" t="s">
        <v>25</v>
      </c>
      <c r="H527" s="3" t="s">
        <v>25</v>
      </c>
      <c r="I527" s="6">
        <v>44593</v>
      </c>
      <c r="J527" s="4">
        <v>0</v>
      </c>
      <c r="K527" s="4">
        <v>0</v>
      </c>
      <c r="L527" s="4">
        <v>-1.3819999999999999</v>
      </c>
      <c r="M527" s="4">
        <v>-1.3819999999999999</v>
      </c>
      <c r="N527" s="4">
        <v>-1.3819999999999999</v>
      </c>
      <c r="O527" s="4">
        <v>-1.3819999999999999</v>
      </c>
      <c r="P527" s="4">
        <v>0</v>
      </c>
      <c r="Q527" s="3" t="s">
        <v>26</v>
      </c>
      <c r="R527" s="3">
        <v>0</v>
      </c>
      <c r="S527" s="4">
        <v>0</v>
      </c>
      <c r="T527" s="4">
        <v>24</v>
      </c>
      <c r="U527" s="4">
        <v>63</v>
      </c>
      <c r="V527" s="4">
        <f>IF(ISERROR(VLOOKUP($S$527,'TAR FIN'!$A$1:$O$91,15,0)),0,VLOOKUP($S$527,'TAR FIN'!$A$1:$O$91,15,0))</f>
        <v>0</v>
      </c>
      <c r="W527" s="4">
        <f>IF(ISERROR(VLOOKUP($T$527,'TAR FIN'!$A$1:$O$91,15,0)),0,VLOOKUP($T$527,'TAR FIN'!$A$1:$O$91,15,0))</f>
        <v>275.13</v>
      </c>
      <c r="X527" s="4">
        <f>IF(ISERROR(VLOOKUP($U$527,'TAR FIN'!$A$1:$O$91,15,0)),0,VLOOKUP($U$527,'TAR FIN'!$A$1:$O$91,15,0))</f>
        <v>219.34</v>
      </c>
      <c r="Y527" s="4"/>
      <c r="Z527" s="4">
        <f ca="1">('TUSD BE'!$AM$36+'TUSD BF'!$AM$36+'TUSD CVA'!$AM$36)*(1-CUSTOS!$M$38)</f>
        <v>364.4729686309102</v>
      </c>
      <c r="AA527" s="4">
        <f>('TE BE'!$AB$26+'TE BF'!$AB$26+'TE CVA'!$AB$26)*(1-CUSTOS!$M$38)</f>
        <v>191.17977782719129</v>
      </c>
      <c r="AB527" s="4">
        <f>$K$527*$V$527</f>
        <v>0</v>
      </c>
      <c r="AC527" s="4">
        <f>$M$527*$W$527</f>
        <v>-380.22965999999997</v>
      </c>
      <c r="AD527" s="4">
        <f>$O$527*$X$527</f>
        <v>-303.12788</v>
      </c>
      <c r="AE527" s="4">
        <f>$K$527*$Y$527</f>
        <v>0</v>
      </c>
      <c r="AF527" s="4">
        <f ca="1">$M$527*$Z$527</f>
        <v>-503.70164264791788</v>
      </c>
      <c r="AG527" s="4">
        <f>$O$527*$AA$527</f>
        <v>-264.21045295717835</v>
      </c>
    </row>
    <row r="528" spans="1:33" ht="11.25" customHeight="1" x14ac:dyDescent="0.25">
      <c r="A528" s="3" t="s">
        <v>28</v>
      </c>
      <c r="B528" s="3" t="s">
        <v>40</v>
      </c>
      <c r="C528" s="3" t="s">
        <v>23</v>
      </c>
      <c r="D528" s="3" t="s">
        <v>41</v>
      </c>
      <c r="E528" s="3" t="s">
        <v>25</v>
      </c>
      <c r="F528" s="3" t="s">
        <v>25</v>
      </c>
      <c r="G528" s="3" t="s">
        <v>25</v>
      </c>
      <c r="H528" s="3" t="s">
        <v>25</v>
      </c>
      <c r="I528" s="6">
        <v>44593</v>
      </c>
      <c r="J528" s="4">
        <v>0</v>
      </c>
      <c r="K528" s="4">
        <v>0</v>
      </c>
      <c r="L528" s="4">
        <v>166.44300000000001</v>
      </c>
      <c r="M528" s="4">
        <v>166.44300000000001</v>
      </c>
      <c r="N528" s="4">
        <v>166.44300000000001</v>
      </c>
      <c r="O528" s="4">
        <v>166.44300000000001</v>
      </c>
      <c r="P528" s="4">
        <v>190</v>
      </c>
      <c r="Q528" s="3" t="s">
        <v>26</v>
      </c>
      <c r="R528" s="3">
        <v>0</v>
      </c>
      <c r="S528" s="4">
        <v>0</v>
      </c>
      <c r="T528" s="4">
        <v>24</v>
      </c>
      <c r="U528" s="4">
        <v>63</v>
      </c>
      <c r="V528" s="4">
        <f>IF(ISERROR(VLOOKUP($S$528,'TAR FIN'!$A$1:$O$91,15,0)),0,VLOOKUP($S$528,'TAR FIN'!$A$1:$O$91,15,0))</f>
        <v>0</v>
      </c>
      <c r="W528" s="4">
        <f>IF(ISERROR(VLOOKUP($T$528,'TAR FIN'!$A$1:$O$91,15,0)),0,VLOOKUP($T$528,'TAR FIN'!$A$1:$O$91,15,0))</f>
        <v>275.13</v>
      </c>
      <c r="X528" s="4">
        <f>IF(ISERROR(VLOOKUP($U$528,'TAR FIN'!$A$1:$O$91,15,0)),0,VLOOKUP($U$528,'TAR FIN'!$A$1:$O$91,15,0))</f>
        <v>219.34</v>
      </c>
      <c r="Y528" s="4"/>
      <c r="Z528" s="4">
        <f ca="1">('TUSD BE'!$AM$36+'TUSD BF'!$AM$36+'TUSD CVA'!$AM$36)*(1-CUSTOS!$M$38)</f>
        <v>364.4729686309102</v>
      </c>
      <c r="AA528" s="4">
        <f>('TE BE'!$AB$26+'TE BF'!$AB$26+'TE CVA'!$AB$26)*(1-CUSTOS!$M$38)</f>
        <v>191.17977782719129</v>
      </c>
      <c r="AB528" s="4">
        <f>$K$528*$V$528</f>
        <v>0</v>
      </c>
      <c r="AC528" s="4">
        <f>$M$528*$W$528</f>
        <v>45793.462590000003</v>
      </c>
      <c r="AD528" s="4">
        <f>$O$528*$X$528</f>
        <v>36507.607620000002</v>
      </c>
      <c r="AE528" s="4">
        <f>$K$528*$Y$528</f>
        <v>0</v>
      </c>
      <c r="AF528" s="4">
        <f ca="1">$M$528*$Z$528</f>
        <v>60663.974317834589</v>
      </c>
      <c r="AG528" s="4">
        <f>$O$528*$AA$528</f>
        <v>31820.535760891202</v>
      </c>
    </row>
    <row r="529" spans="1:33" ht="11.25" customHeight="1" x14ac:dyDescent="0.25">
      <c r="A529" s="3" t="s">
        <v>21</v>
      </c>
      <c r="B529" s="3" t="s">
        <v>40</v>
      </c>
      <c r="C529" s="3" t="s">
        <v>23</v>
      </c>
      <c r="D529" s="3" t="s">
        <v>41</v>
      </c>
      <c r="E529" s="3" t="s">
        <v>25</v>
      </c>
      <c r="F529" s="3" t="s">
        <v>25</v>
      </c>
      <c r="G529" s="3" t="s">
        <v>25</v>
      </c>
      <c r="H529" s="3" t="s">
        <v>25</v>
      </c>
      <c r="I529" s="6">
        <v>44621</v>
      </c>
      <c r="J529" s="4">
        <v>0</v>
      </c>
      <c r="K529" s="4">
        <v>0</v>
      </c>
      <c r="L529" s="4">
        <v>2046.8019999999999</v>
      </c>
      <c r="M529" s="4">
        <v>2046.8019999999999</v>
      </c>
      <c r="N529" s="4">
        <v>2046.8019999999999</v>
      </c>
      <c r="O529" s="4">
        <v>2046.8019999999999</v>
      </c>
      <c r="P529" s="4">
        <v>2718</v>
      </c>
      <c r="Q529" s="3" t="s">
        <v>26</v>
      </c>
      <c r="R529" s="3">
        <v>0</v>
      </c>
      <c r="S529" s="4">
        <v>0</v>
      </c>
      <c r="T529" s="4">
        <v>24</v>
      </c>
      <c r="U529" s="4">
        <v>63</v>
      </c>
      <c r="V529" s="4">
        <f>IF(ISERROR(VLOOKUP($S$529,'TAR FIN'!$A$1:$O$91,15,0)),0,VLOOKUP($S$529,'TAR FIN'!$A$1:$O$91,15,0))</f>
        <v>0</v>
      </c>
      <c r="W529" s="4">
        <f>IF(ISERROR(VLOOKUP($T$529,'TAR FIN'!$A$1:$O$91,15,0)),0,VLOOKUP($T$529,'TAR FIN'!$A$1:$O$91,15,0))</f>
        <v>275.13</v>
      </c>
      <c r="X529" s="4">
        <f>IF(ISERROR(VLOOKUP($U$529,'TAR FIN'!$A$1:$O$91,15,0)),0,VLOOKUP($U$529,'TAR FIN'!$A$1:$O$91,15,0))</f>
        <v>219.34</v>
      </c>
      <c r="Y529" s="4"/>
      <c r="Z529" s="4">
        <f ca="1">('TUSD BE'!$AM$36+'TUSD BF'!$AM$36+'TUSD CVA'!$AM$36)*(1-CUSTOS!$M$38)</f>
        <v>364.4729686309102</v>
      </c>
      <c r="AA529" s="4">
        <f>('TE BE'!$AB$26+'TE BF'!$AB$26+'TE CVA'!$AB$26)*(1-CUSTOS!$M$38)</f>
        <v>191.17977782719129</v>
      </c>
      <c r="AB529" s="4">
        <f>$K$529*$V$529</f>
        <v>0</v>
      </c>
      <c r="AC529" s="4">
        <f>$M$529*$W$529</f>
        <v>563136.63425999996</v>
      </c>
      <c r="AD529" s="4">
        <f>$O$529*$X$529</f>
        <v>448945.55067999999</v>
      </c>
      <c r="AE529" s="4">
        <f>$K$529*$Y$529</f>
        <v>0</v>
      </c>
      <c r="AF529" s="4">
        <f ca="1">$M$529*$Z$529</f>
        <v>746004.00113968423</v>
      </c>
      <c r="AG529" s="4">
        <f>$O$529*$AA$529</f>
        <v>391307.15161625075</v>
      </c>
    </row>
    <row r="530" spans="1:33" ht="11.25" customHeight="1" x14ac:dyDescent="0.25">
      <c r="A530" s="3" t="s">
        <v>28</v>
      </c>
      <c r="B530" s="3" t="s">
        <v>40</v>
      </c>
      <c r="C530" s="3" t="s">
        <v>23</v>
      </c>
      <c r="D530" s="3" t="s">
        <v>41</v>
      </c>
      <c r="E530" s="3" t="s">
        <v>25</v>
      </c>
      <c r="F530" s="3" t="s">
        <v>25</v>
      </c>
      <c r="G530" s="3" t="s">
        <v>25</v>
      </c>
      <c r="H530" s="3" t="s">
        <v>25</v>
      </c>
      <c r="I530" s="6">
        <v>44621</v>
      </c>
      <c r="J530" s="4">
        <v>0</v>
      </c>
      <c r="K530" s="4">
        <v>0</v>
      </c>
      <c r="L530" s="4">
        <v>189.286</v>
      </c>
      <c r="M530" s="4">
        <v>189.286</v>
      </c>
      <c r="N530" s="4">
        <v>189.286</v>
      </c>
      <c r="O530" s="4">
        <v>189.286</v>
      </c>
      <c r="P530" s="4">
        <v>200</v>
      </c>
      <c r="Q530" s="3" t="s">
        <v>26</v>
      </c>
      <c r="R530" s="3">
        <v>0</v>
      </c>
      <c r="S530" s="4">
        <v>0</v>
      </c>
      <c r="T530" s="4">
        <v>24</v>
      </c>
      <c r="U530" s="4">
        <v>63</v>
      </c>
      <c r="V530" s="4">
        <f>IF(ISERROR(VLOOKUP($S$530,'TAR FIN'!$A$1:$O$91,15,0)),0,VLOOKUP($S$530,'TAR FIN'!$A$1:$O$91,15,0))</f>
        <v>0</v>
      </c>
      <c r="W530" s="4">
        <f>IF(ISERROR(VLOOKUP($T$530,'TAR FIN'!$A$1:$O$91,15,0)),0,VLOOKUP($T$530,'TAR FIN'!$A$1:$O$91,15,0))</f>
        <v>275.13</v>
      </c>
      <c r="X530" s="4">
        <f>IF(ISERROR(VLOOKUP($U$530,'TAR FIN'!$A$1:$O$91,15,0)),0,VLOOKUP($U$530,'TAR FIN'!$A$1:$O$91,15,0))</f>
        <v>219.34</v>
      </c>
      <c r="Y530" s="4"/>
      <c r="Z530" s="4">
        <f ca="1">('TUSD BE'!$AM$36+'TUSD BF'!$AM$36+'TUSD CVA'!$AM$36)*(1-CUSTOS!$M$38)</f>
        <v>364.4729686309102</v>
      </c>
      <c r="AA530" s="4">
        <f>('TE BE'!$AB$26+'TE BF'!$AB$26+'TE CVA'!$AB$26)*(1-CUSTOS!$M$38)</f>
        <v>191.17977782719129</v>
      </c>
      <c r="AB530" s="4">
        <f>$K$530*$V$530</f>
        <v>0</v>
      </c>
      <c r="AC530" s="4">
        <f>$M$530*$W$530</f>
        <v>52078.257180000001</v>
      </c>
      <c r="AD530" s="4">
        <f>$O$530*$X$530</f>
        <v>41517.991240000003</v>
      </c>
      <c r="AE530" s="4">
        <f>$K$530*$Y$530</f>
        <v>0</v>
      </c>
      <c r="AF530" s="4">
        <f ca="1">$M$530*$Z$530</f>
        <v>68989.630340270465</v>
      </c>
      <c r="AG530" s="4">
        <f>$O$530*$AA$530</f>
        <v>36187.655425797733</v>
      </c>
    </row>
    <row r="531" spans="1:33" ht="11.25" customHeight="1" x14ac:dyDescent="0.25">
      <c r="A531" s="3" t="s">
        <v>21</v>
      </c>
      <c r="B531" s="3" t="s">
        <v>40</v>
      </c>
      <c r="C531" s="3" t="s">
        <v>23</v>
      </c>
      <c r="D531" s="3" t="s">
        <v>41</v>
      </c>
      <c r="E531" s="3" t="s">
        <v>25</v>
      </c>
      <c r="F531" s="3" t="s">
        <v>25</v>
      </c>
      <c r="G531" s="3" t="s">
        <v>25</v>
      </c>
      <c r="H531" s="3" t="s">
        <v>25</v>
      </c>
      <c r="I531" s="6">
        <v>44652</v>
      </c>
      <c r="J531" s="4">
        <v>0</v>
      </c>
      <c r="K531" s="4">
        <v>0</v>
      </c>
      <c r="L531" s="4">
        <v>1817.9490000000001</v>
      </c>
      <c r="M531" s="4">
        <v>1817.9490000000001</v>
      </c>
      <c r="N531" s="4">
        <v>1817.9490000000001</v>
      </c>
      <c r="O531" s="4">
        <v>1817.9490000000001</v>
      </c>
      <c r="P531" s="4">
        <v>2700</v>
      </c>
      <c r="Q531" s="3" t="s">
        <v>26</v>
      </c>
      <c r="R531" s="3">
        <v>0</v>
      </c>
      <c r="S531" s="4">
        <v>0</v>
      </c>
      <c r="T531" s="4">
        <v>24</v>
      </c>
      <c r="U531" s="4">
        <v>63</v>
      </c>
      <c r="V531" s="4">
        <f>IF(ISERROR(VLOOKUP($S$531,'TAR FIN'!$A$1:$O$91,15,0)),0,VLOOKUP($S$531,'TAR FIN'!$A$1:$O$91,15,0))</f>
        <v>0</v>
      </c>
      <c r="W531" s="4">
        <f>IF(ISERROR(VLOOKUP($T$531,'TAR FIN'!$A$1:$O$91,15,0)),0,VLOOKUP($T$531,'TAR FIN'!$A$1:$O$91,15,0))</f>
        <v>275.13</v>
      </c>
      <c r="X531" s="4">
        <f>IF(ISERROR(VLOOKUP($U$531,'TAR FIN'!$A$1:$O$91,15,0)),0,VLOOKUP($U$531,'TAR FIN'!$A$1:$O$91,15,0))</f>
        <v>219.34</v>
      </c>
      <c r="Y531" s="4"/>
      <c r="Z531" s="4">
        <f ca="1">('TUSD BE'!$AM$36+'TUSD BF'!$AM$36+'TUSD CVA'!$AM$36)*(1-CUSTOS!$M$38)</f>
        <v>364.4729686309102</v>
      </c>
      <c r="AA531" s="4">
        <f>('TE BE'!$AB$26+'TE BF'!$AB$26+'TE CVA'!$AB$26)*(1-CUSTOS!$M$38)</f>
        <v>191.17977782719129</v>
      </c>
      <c r="AB531" s="4">
        <f>$K$531*$V$531</f>
        <v>0</v>
      </c>
      <c r="AC531" s="4">
        <f>$M$531*$W$531</f>
        <v>500172.30836999998</v>
      </c>
      <c r="AD531" s="4">
        <f>$O$531*$X$531</f>
        <v>398748.93366000004</v>
      </c>
      <c r="AE531" s="4">
        <f>$K$531*$Y$531</f>
        <v>0</v>
      </c>
      <c r="AF531" s="4">
        <f ca="1">$M$531*$Z$531</f>
        <v>662593.26884959463</v>
      </c>
      <c r="AG531" s="4">
        <f>$O$531*$AA$531</f>
        <v>347555.0859211646</v>
      </c>
    </row>
    <row r="532" spans="1:33" ht="11.25" customHeight="1" x14ac:dyDescent="0.25">
      <c r="A532" s="3" t="s">
        <v>28</v>
      </c>
      <c r="B532" s="3" t="s">
        <v>40</v>
      </c>
      <c r="C532" s="3" t="s">
        <v>23</v>
      </c>
      <c r="D532" s="3" t="s">
        <v>41</v>
      </c>
      <c r="E532" s="3" t="s">
        <v>25</v>
      </c>
      <c r="F532" s="3" t="s">
        <v>25</v>
      </c>
      <c r="G532" s="3" t="s">
        <v>25</v>
      </c>
      <c r="H532" s="3" t="s">
        <v>25</v>
      </c>
      <c r="I532" s="6">
        <v>44652</v>
      </c>
      <c r="J532" s="4">
        <v>0</v>
      </c>
      <c r="K532" s="4">
        <v>0</v>
      </c>
      <c r="L532" s="4">
        <v>220.4</v>
      </c>
      <c r="M532" s="4">
        <v>220.4</v>
      </c>
      <c r="N532" s="4">
        <v>220.4</v>
      </c>
      <c r="O532" s="4">
        <v>220.4</v>
      </c>
      <c r="P532" s="4">
        <v>211</v>
      </c>
      <c r="Q532" s="3" t="s">
        <v>26</v>
      </c>
      <c r="R532" s="3">
        <v>0</v>
      </c>
      <c r="S532" s="4">
        <v>0</v>
      </c>
      <c r="T532" s="4">
        <v>24</v>
      </c>
      <c r="U532" s="4">
        <v>63</v>
      </c>
      <c r="V532" s="4">
        <f>IF(ISERROR(VLOOKUP($S$532,'TAR FIN'!$A$1:$O$91,15,0)),0,VLOOKUP($S$532,'TAR FIN'!$A$1:$O$91,15,0))</f>
        <v>0</v>
      </c>
      <c r="W532" s="4">
        <f>IF(ISERROR(VLOOKUP($T$532,'TAR FIN'!$A$1:$O$91,15,0)),0,VLOOKUP($T$532,'TAR FIN'!$A$1:$O$91,15,0))</f>
        <v>275.13</v>
      </c>
      <c r="X532" s="4">
        <f>IF(ISERROR(VLOOKUP($U$532,'TAR FIN'!$A$1:$O$91,15,0)),0,VLOOKUP($U$532,'TAR FIN'!$A$1:$O$91,15,0))</f>
        <v>219.34</v>
      </c>
      <c r="Y532" s="4"/>
      <c r="Z532" s="4">
        <f ca="1">('TUSD BE'!$AM$36+'TUSD BF'!$AM$36+'TUSD CVA'!$AM$36)*(1-CUSTOS!$M$38)</f>
        <v>364.4729686309102</v>
      </c>
      <c r="AA532" s="4">
        <f>('TE BE'!$AB$26+'TE BF'!$AB$26+'TE CVA'!$AB$26)*(1-CUSTOS!$M$38)</f>
        <v>191.17977782719129</v>
      </c>
      <c r="AB532" s="4">
        <f>$K$532*$V$532</f>
        <v>0</v>
      </c>
      <c r="AC532" s="4">
        <f>$M$532*$W$532</f>
        <v>60638.652000000002</v>
      </c>
      <c r="AD532" s="4">
        <f>$O$532*$X$532</f>
        <v>48342.536</v>
      </c>
      <c r="AE532" s="4">
        <f>$K$532*$Y$532</f>
        <v>0</v>
      </c>
      <c r="AF532" s="4">
        <f ca="1">$M$532*$Z$532</f>
        <v>80329.842286252606</v>
      </c>
      <c r="AG532" s="4">
        <f>$O$532*$AA$532</f>
        <v>42136.023033112964</v>
      </c>
    </row>
    <row r="533" spans="1:33" ht="11.25" customHeight="1" x14ac:dyDescent="0.25">
      <c r="A533" s="3" t="s">
        <v>21</v>
      </c>
      <c r="B533" s="3" t="s">
        <v>40</v>
      </c>
      <c r="C533" s="3" t="s">
        <v>23</v>
      </c>
      <c r="D533" s="3" t="s">
        <v>41</v>
      </c>
      <c r="E533" s="3" t="s">
        <v>25</v>
      </c>
      <c r="F533" s="3" t="s">
        <v>25</v>
      </c>
      <c r="G533" s="3" t="s">
        <v>25</v>
      </c>
      <c r="H533" s="3" t="s">
        <v>25</v>
      </c>
      <c r="I533" s="6">
        <v>44682</v>
      </c>
      <c r="J533" s="4">
        <v>0</v>
      </c>
      <c r="K533" s="4">
        <v>0</v>
      </c>
      <c r="L533" s="4">
        <v>1770.2080000000001</v>
      </c>
      <c r="M533" s="4">
        <v>1770.2080000000001</v>
      </c>
      <c r="N533" s="4">
        <v>1770.2080000000001</v>
      </c>
      <c r="O533" s="4">
        <v>1770.2080000000001</v>
      </c>
      <c r="P533" s="4">
        <v>2683</v>
      </c>
      <c r="Q533" s="3" t="s">
        <v>26</v>
      </c>
      <c r="R533" s="3">
        <v>0</v>
      </c>
      <c r="S533" s="4">
        <v>0</v>
      </c>
      <c r="T533" s="4">
        <v>24</v>
      </c>
      <c r="U533" s="4">
        <v>63</v>
      </c>
      <c r="V533" s="4">
        <f>IF(ISERROR(VLOOKUP($S$533,'TAR FIN'!$A$1:$O$91,15,0)),0,VLOOKUP($S$533,'TAR FIN'!$A$1:$O$91,15,0))</f>
        <v>0</v>
      </c>
      <c r="W533" s="4">
        <f>IF(ISERROR(VLOOKUP($T$533,'TAR FIN'!$A$1:$O$91,15,0)),0,VLOOKUP($T$533,'TAR FIN'!$A$1:$O$91,15,0))</f>
        <v>275.13</v>
      </c>
      <c r="X533" s="4">
        <f>IF(ISERROR(VLOOKUP($U$533,'TAR FIN'!$A$1:$O$91,15,0)),0,VLOOKUP($U$533,'TAR FIN'!$A$1:$O$91,15,0))</f>
        <v>219.34</v>
      </c>
      <c r="Y533" s="4"/>
      <c r="Z533" s="4">
        <f ca="1">('TUSD BE'!$AM$36+'TUSD BF'!$AM$36+'TUSD CVA'!$AM$36)*(1-CUSTOS!$M$38)</f>
        <v>364.4729686309102</v>
      </c>
      <c r="AA533" s="4">
        <f>('TE BE'!$AB$26+'TE BF'!$AB$26+'TE CVA'!$AB$26)*(1-CUSTOS!$M$38)</f>
        <v>191.17977782719129</v>
      </c>
      <c r="AB533" s="4">
        <f>$K$533*$V$533</f>
        <v>0</v>
      </c>
      <c r="AC533" s="4">
        <f>$M$533*$W$533</f>
        <v>487037.32704</v>
      </c>
      <c r="AD533" s="4">
        <f>$O$533*$X$533</f>
        <v>388277.42272000003</v>
      </c>
      <c r="AE533" s="4">
        <f>$K$533*$Y$533</f>
        <v>0</v>
      </c>
      <c r="AF533" s="4">
        <f ca="1">$M$533*$Z$533</f>
        <v>645192.96485418628</v>
      </c>
      <c r="AG533" s="4">
        <f>$O$533*$AA$533</f>
        <v>338427.97214791668</v>
      </c>
    </row>
    <row r="534" spans="1:33" ht="11.25" customHeight="1" x14ac:dyDescent="0.25">
      <c r="A534" s="3" t="s">
        <v>27</v>
      </c>
      <c r="B534" s="3" t="s">
        <v>40</v>
      </c>
      <c r="C534" s="3" t="s">
        <v>23</v>
      </c>
      <c r="D534" s="3" t="s">
        <v>41</v>
      </c>
      <c r="E534" s="3" t="s">
        <v>25</v>
      </c>
      <c r="F534" s="3" t="s">
        <v>25</v>
      </c>
      <c r="G534" s="3" t="s">
        <v>25</v>
      </c>
      <c r="H534" s="3" t="s">
        <v>25</v>
      </c>
      <c r="I534" s="6">
        <v>44682</v>
      </c>
      <c r="J534" s="4">
        <v>0</v>
      </c>
      <c r="K534" s="4">
        <v>0</v>
      </c>
      <c r="L534" s="4">
        <v>-1.9430000000000001</v>
      </c>
      <c r="M534" s="4">
        <v>-1.9430000000000001</v>
      </c>
      <c r="N534" s="4">
        <v>-1.9430000000000001</v>
      </c>
      <c r="O534" s="4">
        <v>-1.9430000000000001</v>
      </c>
      <c r="P534" s="4">
        <v>0</v>
      </c>
      <c r="Q534" s="3" t="s">
        <v>26</v>
      </c>
      <c r="R534" s="3">
        <v>0</v>
      </c>
      <c r="S534" s="4">
        <v>0</v>
      </c>
      <c r="T534" s="4">
        <v>24</v>
      </c>
      <c r="U534" s="4">
        <v>63</v>
      </c>
      <c r="V534" s="4">
        <f>IF(ISERROR(VLOOKUP($S$534,'TAR FIN'!$A$1:$O$91,15,0)),0,VLOOKUP($S$534,'TAR FIN'!$A$1:$O$91,15,0))</f>
        <v>0</v>
      </c>
      <c r="W534" s="4">
        <f>IF(ISERROR(VLOOKUP($T$534,'TAR FIN'!$A$1:$O$91,15,0)),0,VLOOKUP($T$534,'TAR FIN'!$A$1:$O$91,15,0))</f>
        <v>275.13</v>
      </c>
      <c r="X534" s="4">
        <f>IF(ISERROR(VLOOKUP($U$534,'TAR FIN'!$A$1:$O$91,15,0)),0,VLOOKUP($U$534,'TAR FIN'!$A$1:$O$91,15,0))</f>
        <v>219.34</v>
      </c>
      <c r="Y534" s="4"/>
      <c r="Z534" s="4">
        <f ca="1">('TUSD BE'!$AM$36+'TUSD BF'!$AM$36+'TUSD CVA'!$AM$36)*(1-CUSTOS!$M$38)</f>
        <v>364.4729686309102</v>
      </c>
      <c r="AA534" s="4">
        <f>('TE BE'!$AB$26+'TE BF'!$AB$26+'TE CVA'!$AB$26)*(1-CUSTOS!$M$38)</f>
        <v>191.17977782719129</v>
      </c>
      <c r="AB534" s="4">
        <f>$K$534*$V$534</f>
        <v>0</v>
      </c>
      <c r="AC534" s="4">
        <f>$M$534*$W$534</f>
        <v>-534.57758999999999</v>
      </c>
      <c r="AD534" s="4">
        <f>$O$534*$X$534</f>
        <v>-426.17762000000005</v>
      </c>
      <c r="AE534" s="4">
        <f>$K$534*$Y$534</f>
        <v>0</v>
      </c>
      <c r="AF534" s="4">
        <f ca="1">$M$534*$Z$534</f>
        <v>-708.17097804985849</v>
      </c>
      <c r="AG534" s="4">
        <f>$O$534*$AA$534</f>
        <v>-371.46230831823266</v>
      </c>
    </row>
    <row r="535" spans="1:33" ht="11.25" customHeight="1" x14ac:dyDescent="0.25">
      <c r="A535" s="3" t="s">
        <v>28</v>
      </c>
      <c r="B535" s="3" t="s">
        <v>40</v>
      </c>
      <c r="C535" s="3" t="s">
        <v>23</v>
      </c>
      <c r="D535" s="3" t="s">
        <v>41</v>
      </c>
      <c r="E535" s="3" t="s">
        <v>25</v>
      </c>
      <c r="F535" s="3" t="s">
        <v>25</v>
      </c>
      <c r="G535" s="3" t="s">
        <v>25</v>
      </c>
      <c r="H535" s="3" t="s">
        <v>25</v>
      </c>
      <c r="I535" s="6">
        <v>44682</v>
      </c>
      <c r="J535" s="4">
        <v>0</v>
      </c>
      <c r="K535" s="4">
        <v>0</v>
      </c>
      <c r="L535" s="4">
        <v>215.05799999999999</v>
      </c>
      <c r="M535" s="4">
        <v>215.05799999999999</v>
      </c>
      <c r="N535" s="4">
        <v>215.05799999999999</v>
      </c>
      <c r="O535" s="4">
        <v>215.05799999999999</v>
      </c>
      <c r="P535" s="4">
        <v>220</v>
      </c>
      <c r="Q535" s="3" t="s">
        <v>26</v>
      </c>
      <c r="R535" s="3">
        <v>0</v>
      </c>
      <c r="S535" s="4">
        <v>0</v>
      </c>
      <c r="T535" s="4">
        <v>24</v>
      </c>
      <c r="U535" s="4">
        <v>63</v>
      </c>
      <c r="V535" s="4">
        <f>IF(ISERROR(VLOOKUP($S$535,'TAR FIN'!$A$1:$O$91,15,0)),0,VLOOKUP($S$535,'TAR FIN'!$A$1:$O$91,15,0))</f>
        <v>0</v>
      </c>
      <c r="W535" s="4">
        <f>IF(ISERROR(VLOOKUP($T$535,'TAR FIN'!$A$1:$O$91,15,0)),0,VLOOKUP($T$535,'TAR FIN'!$A$1:$O$91,15,0))</f>
        <v>275.13</v>
      </c>
      <c r="X535" s="4">
        <f>IF(ISERROR(VLOOKUP($U$535,'TAR FIN'!$A$1:$O$91,15,0)),0,VLOOKUP($U$535,'TAR FIN'!$A$1:$O$91,15,0))</f>
        <v>219.34</v>
      </c>
      <c r="Y535" s="4"/>
      <c r="Z535" s="4">
        <f ca="1">('TUSD BE'!$AM$36+'TUSD BF'!$AM$36+'TUSD CVA'!$AM$36)*(1-CUSTOS!$M$38)</f>
        <v>364.4729686309102</v>
      </c>
      <c r="AA535" s="4">
        <f>('TE BE'!$AB$26+'TE BF'!$AB$26+'TE CVA'!$AB$26)*(1-CUSTOS!$M$38)</f>
        <v>191.17977782719129</v>
      </c>
      <c r="AB535" s="4">
        <f>$K$535*$V$535</f>
        <v>0</v>
      </c>
      <c r="AC535" s="4">
        <f>$M$535*$W$535</f>
        <v>59168.90754</v>
      </c>
      <c r="AD535" s="4">
        <f>$O$535*$X$535</f>
        <v>47170.82172</v>
      </c>
      <c r="AE535" s="4">
        <f>$K$535*$Y$535</f>
        <v>0</v>
      </c>
      <c r="AF535" s="4">
        <f ca="1">$M$535*$Z$535</f>
        <v>78382.827687826284</v>
      </c>
      <c r="AG535" s="4">
        <f>$O$535*$AA$535</f>
        <v>41114.740659960102</v>
      </c>
    </row>
    <row r="536" spans="1:33" ht="11.25" customHeight="1" x14ac:dyDescent="0.25">
      <c r="A536" s="3" t="s">
        <v>21</v>
      </c>
      <c r="B536" s="3" t="s">
        <v>40</v>
      </c>
      <c r="C536" s="3" t="s">
        <v>23</v>
      </c>
      <c r="D536" s="3" t="s">
        <v>41</v>
      </c>
      <c r="E536" s="3" t="s">
        <v>25</v>
      </c>
      <c r="F536" s="3" t="s">
        <v>25</v>
      </c>
      <c r="G536" s="3" t="s">
        <v>25</v>
      </c>
      <c r="H536" s="3" t="s">
        <v>25</v>
      </c>
      <c r="I536" s="6">
        <v>44713</v>
      </c>
      <c r="J536" s="4">
        <v>0</v>
      </c>
      <c r="K536" s="4">
        <v>0</v>
      </c>
      <c r="L536" s="4">
        <v>1768.6010000000001</v>
      </c>
      <c r="M536" s="4">
        <v>1768.6010000000001</v>
      </c>
      <c r="N536" s="4">
        <v>1768.6010000000001</v>
      </c>
      <c r="O536" s="4">
        <v>1768.6010000000001</v>
      </c>
      <c r="P536" s="4">
        <v>2659</v>
      </c>
      <c r="Q536" s="3" t="s">
        <v>26</v>
      </c>
      <c r="R536" s="3">
        <v>0</v>
      </c>
      <c r="S536" s="4">
        <v>0</v>
      </c>
      <c r="T536" s="4">
        <v>24</v>
      </c>
      <c r="U536" s="4">
        <v>63</v>
      </c>
      <c r="V536" s="4">
        <f>IF(ISERROR(VLOOKUP($S$536,'TAR FIN'!$A$1:$O$91,15,0)),0,VLOOKUP($S$536,'TAR FIN'!$A$1:$O$91,15,0))</f>
        <v>0</v>
      </c>
      <c r="W536" s="4">
        <f>IF(ISERROR(VLOOKUP($T$536,'TAR FIN'!$A$1:$O$91,15,0)),0,VLOOKUP($T$536,'TAR FIN'!$A$1:$O$91,15,0))</f>
        <v>275.13</v>
      </c>
      <c r="X536" s="4">
        <f>IF(ISERROR(VLOOKUP($U$536,'TAR FIN'!$A$1:$O$91,15,0)),0,VLOOKUP($U$536,'TAR FIN'!$A$1:$O$91,15,0))</f>
        <v>219.34</v>
      </c>
      <c r="Y536" s="4"/>
      <c r="Z536" s="4">
        <f ca="1">('TUSD BE'!$AM$36+'TUSD BF'!$AM$36+'TUSD CVA'!$AM$36)*(1-CUSTOS!$M$38)</f>
        <v>364.4729686309102</v>
      </c>
      <c r="AA536" s="4">
        <f>('TE BE'!$AB$26+'TE BF'!$AB$26+'TE CVA'!$AB$26)*(1-CUSTOS!$M$38)</f>
        <v>191.17977782719129</v>
      </c>
      <c r="AB536" s="4">
        <f>$K$536*$V$536</f>
        <v>0</v>
      </c>
      <c r="AC536" s="4">
        <f>$M$536*$W$536</f>
        <v>486595.19313000003</v>
      </c>
      <c r="AD536" s="4">
        <f>$O$536*$X$536</f>
        <v>387924.94334000006</v>
      </c>
      <c r="AE536" s="4">
        <f>$K$536*$Y$536</f>
        <v>0</v>
      </c>
      <c r="AF536" s="4">
        <f ca="1">$M$536*$Z$536</f>
        <v>644607.25679359643</v>
      </c>
      <c r="AG536" s="4">
        <f>$O$536*$AA$536</f>
        <v>338120.74624494836</v>
      </c>
    </row>
    <row r="537" spans="1:33" ht="11.25" customHeight="1" x14ac:dyDescent="0.25">
      <c r="A537" s="3" t="s">
        <v>27</v>
      </c>
      <c r="B537" s="3" t="s">
        <v>40</v>
      </c>
      <c r="C537" s="3" t="s">
        <v>23</v>
      </c>
      <c r="D537" s="3" t="s">
        <v>41</v>
      </c>
      <c r="E537" s="3" t="s">
        <v>25</v>
      </c>
      <c r="F537" s="3" t="s">
        <v>25</v>
      </c>
      <c r="G537" s="3" t="s">
        <v>25</v>
      </c>
      <c r="H537" s="3" t="s">
        <v>25</v>
      </c>
      <c r="I537" s="6">
        <v>44713</v>
      </c>
      <c r="J537" s="4">
        <v>0</v>
      </c>
      <c r="K537" s="4">
        <v>0</v>
      </c>
      <c r="L537" s="4">
        <v>1.6E-2</v>
      </c>
      <c r="M537" s="4">
        <v>1.6E-2</v>
      </c>
      <c r="N537" s="4">
        <v>1.6E-2</v>
      </c>
      <c r="O537" s="4">
        <v>1.6E-2</v>
      </c>
      <c r="P537" s="4">
        <v>0</v>
      </c>
      <c r="Q537" s="3" t="s">
        <v>26</v>
      </c>
      <c r="R537" s="3">
        <v>0</v>
      </c>
      <c r="S537" s="4">
        <v>0</v>
      </c>
      <c r="T537" s="4">
        <v>24</v>
      </c>
      <c r="U537" s="4">
        <v>63</v>
      </c>
      <c r="V537" s="4">
        <f>IF(ISERROR(VLOOKUP($S$537,'TAR FIN'!$A$1:$O$91,15,0)),0,VLOOKUP($S$537,'TAR FIN'!$A$1:$O$91,15,0))</f>
        <v>0</v>
      </c>
      <c r="W537" s="4">
        <f>IF(ISERROR(VLOOKUP($T$537,'TAR FIN'!$A$1:$O$91,15,0)),0,VLOOKUP($T$537,'TAR FIN'!$A$1:$O$91,15,0))</f>
        <v>275.13</v>
      </c>
      <c r="X537" s="4">
        <f>IF(ISERROR(VLOOKUP($U$537,'TAR FIN'!$A$1:$O$91,15,0)),0,VLOOKUP($U$537,'TAR FIN'!$A$1:$O$91,15,0))</f>
        <v>219.34</v>
      </c>
      <c r="Y537" s="4"/>
      <c r="Z537" s="4">
        <f ca="1">('TUSD BE'!$AM$36+'TUSD BF'!$AM$36+'TUSD CVA'!$AM$36)*(1-CUSTOS!$M$38)</f>
        <v>364.4729686309102</v>
      </c>
      <c r="AA537" s="4">
        <f>('TE BE'!$AB$26+'TE BF'!$AB$26+'TE CVA'!$AB$26)*(1-CUSTOS!$M$38)</f>
        <v>191.17977782719129</v>
      </c>
      <c r="AB537" s="4">
        <f>$K$537*$V$537</f>
        <v>0</v>
      </c>
      <c r="AC537" s="4">
        <f>$M$537*$W$537</f>
        <v>4.4020799999999998</v>
      </c>
      <c r="AD537" s="4">
        <f>$O$537*$X$537</f>
        <v>3.5094400000000001</v>
      </c>
      <c r="AE537" s="4">
        <f>$K$537*$Y$537</f>
        <v>0</v>
      </c>
      <c r="AF537" s="4">
        <f ca="1">$M$537*$Z$537</f>
        <v>5.8315674980945635</v>
      </c>
      <c r="AG537" s="4">
        <f>$O$537*$AA$537</f>
        <v>3.0588764452350605</v>
      </c>
    </row>
    <row r="538" spans="1:33" ht="11.25" customHeight="1" x14ac:dyDescent="0.25">
      <c r="A538" s="3" t="s">
        <v>28</v>
      </c>
      <c r="B538" s="3" t="s">
        <v>40</v>
      </c>
      <c r="C538" s="3" t="s">
        <v>23</v>
      </c>
      <c r="D538" s="3" t="s">
        <v>41</v>
      </c>
      <c r="E538" s="3" t="s">
        <v>25</v>
      </c>
      <c r="F538" s="3" t="s">
        <v>25</v>
      </c>
      <c r="G538" s="3" t="s">
        <v>25</v>
      </c>
      <c r="H538" s="3" t="s">
        <v>25</v>
      </c>
      <c r="I538" s="6">
        <v>44713</v>
      </c>
      <c r="J538" s="4">
        <v>0</v>
      </c>
      <c r="K538" s="4">
        <v>0</v>
      </c>
      <c r="L538" s="4">
        <v>272.21699999999998</v>
      </c>
      <c r="M538" s="4">
        <v>272.21699999999998</v>
      </c>
      <c r="N538" s="4">
        <v>272.21699999999998</v>
      </c>
      <c r="O538" s="4">
        <v>272.21699999999998</v>
      </c>
      <c r="P538" s="4">
        <v>234</v>
      </c>
      <c r="Q538" s="3" t="s">
        <v>26</v>
      </c>
      <c r="R538" s="3">
        <v>0</v>
      </c>
      <c r="S538" s="4">
        <v>0</v>
      </c>
      <c r="T538" s="4">
        <v>24</v>
      </c>
      <c r="U538" s="4">
        <v>63</v>
      </c>
      <c r="V538" s="4">
        <f>IF(ISERROR(VLOOKUP($S$538,'TAR FIN'!$A$1:$O$91,15,0)),0,VLOOKUP($S$538,'TAR FIN'!$A$1:$O$91,15,0))</f>
        <v>0</v>
      </c>
      <c r="W538" s="4">
        <f>IF(ISERROR(VLOOKUP($T$538,'TAR FIN'!$A$1:$O$91,15,0)),0,VLOOKUP($T$538,'TAR FIN'!$A$1:$O$91,15,0))</f>
        <v>275.13</v>
      </c>
      <c r="X538" s="4">
        <f>IF(ISERROR(VLOOKUP($U$538,'TAR FIN'!$A$1:$O$91,15,0)),0,VLOOKUP($U$538,'TAR FIN'!$A$1:$O$91,15,0))</f>
        <v>219.34</v>
      </c>
      <c r="Y538" s="4"/>
      <c r="Z538" s="4">
        <f ca="1">('TUSD BE'!$AM$36+'TUSD BF'!$AM$36+'TUSD CVA'!$AM$36)*(1-CUSTOS!$M$38)</f>
        <v>364.4729686309102</v>
      </c>
      <c r="AA538" s="4">
        <f>('TE BE'!$AB$26+'TE BF'!$AB$26+'TE CVA'!$AB$26)*(1-CUSTOS!$M$38)</f>
        <v>191.17977782719129</v>
      </c>
      <c r="AB538" s="4">
        <f>$K$538*$V$538</f>
        <v>0</v>
      </c>
      <c r="AC538" s="4">
        <f>$M$538*$W$538</f>
        <v>74895.063209999993</v>
      </c>
      <c r="AD538" s="4">
        <f>$O$538*$X$538</f>
        <v>59708.076779999996</v>
      </c>
      <c r="AE538" s="4">
        <f>$K$538*$Y$538</f>
        <v>0</v>
      </c>
      <c r="AF538" s="4">
        <f ca="1">$M$538*$Z$538</f>
        <v>99215.738101800482</v>
      </c>
      <c r="AG538" s="4">
        <f>$O$538*$AA$538</f>
        <v>52042.385580784525</v>
      </c>
    </row>
    <row r="539" spans="1:33" ht="11.25" customHeight="1" x14ac:dyDescent="0.25">
      <c r="A539" s="3" t="s">
        <v>21</v>
      </c>
      <c r="B539" s="3" t="s">
        <v>40</v>
      </c>
      <c r="C539" s="3" t="s">
        <v>23</v>
      </c>
      <c r="D539" s="3" t="s">
        <v>41</v>
      </c>
      <c r="E539" s="3" t="s">
        <v>25</v>
      </c>
      <c r="F539" s="3" t="s">
        <v>25</v>
      </c>
      <c r="G539" s="3" t="s">
        <v>25</v>
      </c>
      <c r="H539" s="3" t="s">
        <v>25</v>
      </c>
      <c r="I539" s="6">
        <v>44743</v>
      </c>
      <c r="J539" s="4">
        <v>0</v>
      </c>
      <c r="K539" s="4">
        <v>0</v>
      </c>
      <c r="L539" s="4">
        <v>1750.258</v>
      </c>
      <c r="M539" s="4">
        <v>1750.258</v>
      </c>
      <c r="N539" s="4">
        <v>1750.258</v>
      </c>
      <c r="O539" s="4">
        <v>1750.258</v>
      </c>
      <c r="P539" s="4">
        <v>2648</v>
      </c>
      <c r="Q539" s="3" t="s">
        <v>26</v>
      </c>
      <c r="R539" s="3">
        <v>0</v>
      </c>
      <c r="S539" s="4">
        <v>0</v>
      </c>
      <c r="T539" s="4">
        <v>24</v>
      </c>
      <c r="U539" s="4">
        <v>63</v>
      </c>
      <c r="V539" s="4">
        <f>IF(ISERROR(VLOOKUP($S$539,'TAR FIN'!$A$1:$O$91,15,0)),0,VLOOKUP($S$539,'TAR FIN'!$A$1:$O$91,15,0))</f>
        <v>0</v>
      </c>
      <c r="W539" s="4">
        <f>IF(ISERROR(VLOOKUP($T$539,'TAR FIN'!$A$1:$O$91,15,0)),0,VLOOKUP($T$539,'TAR FIN'!$A$1:$O$91,15,0))</f>
        <v>275.13</v>
      </c>
      <c r="X539" s="4">
        <f>IF(ISERROR(VLOOKUP($U$539,'TAR FIN'!$A$1:$O$91,15,0)),0,VLOOKUP($U$539,'TAR FIN'!$A$1:$O$91,15,0))</f>
        <v>219.34</v>
      </c>
      <c r="Y539" s="4"/>
      <c r="Z539" s="4">
        <f ca="1">('TUSD BE'!$AM$36+'TUSD BF'!$AM$36+'TUSD CVA'!$AM$36)*(1-CUSTOS!$M$38)</f>
        <v>364.4729686309102</v>
      </c>
      <c r="AA539" s="4">
        <f>('TE BE'!$AB$26+'TE BF'!$AB$26+'TE CVA'!$AB$26)*(1-CUSTOS!$M$38)</f>
        <v>191.17977782719129</v>
      </c>
      <c r="AB539" s="4">
        <f>$K$539*$V$539</f>
        <v>0</v>
      </c>
      <c r="AC539" s="4">
        <f>$M$539*$W$539</f>
        <v>481548.48353999999</v>
      </c>
      <c r="AD539" s="4">
        <f>$O$539*$X$539</f>
        <v>383901.58971999999</v>
      </c>
      <c r="AE539" s="4">
        <f>$K$539*$Y$539</f>
        <v>0</v>
      </c>
      <c r="AF539" s="4">
        <f ca="1">$M$539*$Z$539</f>
        <v>637921.72912999964</v>
      </c>
      <c r="AG539" s="4">
        <f>$O$539*$AA$539</f>
        <v>334613.93558026419</v>
      </c>
    </row>
    <row r="540" spans="1:33" ht="11.25" customHeight="1" x14ac:dyDescent="0.25">
      <c r="A540" s="3" t="s">
        <v>21</v>
      </c>
      <c r="B540" s="3" t="s">
        <v>40</v>
      </c>
      <c r="C540" s="3" t="s">
        <v>23</v>
      </c>
      <c r="D540" s="3" t="s">
        <v>41</v>
      </c>
      <c r="E540" s="3" t="s">
        <v>25</v>
      </c>
      <c r="F540" s="3" t="s">
        <v>25</v>
      </c>
      <c r="G540" s="3" t="s">
        <v>25</v>
      </c>
      <c r="H540" s="3" t="s">
        <v>25</v>
      </c>
      <c r="I540" s="6">
        <v>44774</v>
      </c>
      <c r="J540" s="4">
        <v>0</v>
      </c>
      <c r="K540" s="4">
        <v>0</v>
      </c>
      <c r="L540" s="4">
        <v>1788.298</v>
      </c>
      <c r="M540" s="4">
        <v>1788.298</v>
      </c>
      <c r="N540" s="4">
        <v>1788.298</v>
      </c>
      <c r="O540" s="4">
        <v>1788.298</v>
      </c>
      <c r="P540" s="4">
        <v>2647</v>
      </c>
      <c r="Q540" s="3" t="s">
        <v>26</v>
      </c>
      <c r="R540" s="3">
        <v>0</v>
      </c>
      <c r="S540" s="4">
        <v>0</v>
      </c>
      <c r="T540" s="4">
        <v>24</v>
      </c>
      <c r="U540" s="4">
        <v>63</v>
      </c>
      <c r="V540" s="4">
        <f>IF(ISERROR(VLOOKUP($S$540,'TAR FIN'!$A$1:$O$91,15,0)),0,VLOOKUP($S$540,'TAR FIN'!$A$1:$O$91,15,0))</f>
        <v>0</v>
      </c>
      <c r="W540" s="4">
        <f>IF(ISERROR(VLOOKUP($T$540,'TAR FIN'!$A$1:$O$91,15,0)),0,VLOOKUP($T$540,'TAR FIN'!$A$1:$O$91,15,0))</f>
        <v>275.13</v>
      </c>
      <c r="X540" s="4">
        <f>IF(ISERROR(VLOOKUP($U$540,'TAR FIN'!$A$1:$O$91,15,0)),0,VLOOKUP($U$540,'TAR FIN'!$A$1:$O$91,15,0))</f>
        <v>219.34</v>
      </c>
      <c r="Y540" s="4"/>
      <c r="Z540" s="4">
        <f ca="1">('TUSD BE'!$AM$36+'TUSD BF'!$AM$36+'TUSD CVA'!$AM$36)*(1-CUSTOS!$M$38)</f>
        <v>364.4729686309102</v>
      </c>
      <c r="AA540" s="4">
        <f>('TE BE'!$AB$26+'TE BF'!$AB$26+'TE CVA'!$AB$26)*(1-CUSTOS!$M$38)</f>
        <v>191.17977782719129</v>
      </c>
      <c r="AB540" s="4">
        <f>$K$540*$V$540</f>
        <v>0</v>
      </c>
      <c r="AC540" s="4">
        <f>$M$540*$W$540</f>
        <v>492014.42874</v>
      </c>
      <c r="AD540" s="4">
        <f>$O$540*$X$540</f>
        <v>392245.28331999999</v>
      </c>
      <c r="AE540" s="4">
        <f>$K$540*$Y$540</f>
        <v>0</v>
      </c>
      <c r="AF540" s="4">
        <f ca="1">$M$540*$Z$540</f>
        <v>651786.28085671947</v>
      </c>
      <c r="AG540" s="4">
        <f>$O$540*$AA$540</f>
        <v>341886.41432881053</v>
      </c>
    </row>
    <row r="541" spans="1:33" ht="11.25" customHeight="1" x14ac:dyDescent="0.25">
      <c r="A541" s="3" t="s">
        <v>28</v>
      </c>
      <c r="B541" s="3" t="s">
        <v>40</v>
      </c>
      <c r="C541" s="3" t="s">
        <v>23</v>
      </c>
      <c r="D541" s="3" t="s">
        <v>41</v>
      </c>
      <c r="E541" s="3" t="s">
        <v>25</v>
      </c>
      <c r="F541" s="3" t="s">
        <v>25</v>
      </c>
      <c r="G541" s="3" t="s">
        <v>25</v>
      </c>
      <c r="H541" s="3" t="s">
        <v>25</v>
      </c>
      <c r="I541" s="6">
        <v>44774</v>
      </c>
      <c r="J541" s="4">
        <v>0</v>
      </c>
      <c r="K541" s="4">
        <v>0</v>
      </c>
      <c r="L541" s="4">
        <v>261.53300000000002</v>
      </c>
      <c r="M541" s="4">
        <v>261.53300000000002</v>
      </c>
      <c r="N541" s="4">
        <v>261.53300000000002</v>
      </c>
      <c r="O541" s="4">
        <v>261.53300000000002</v>
      </c>
      <c r="P541" s="4">
        <v>242</v>
      </c>
      <c r="Q541" s="3" t="s">
        <v>26</v>
      </c>
      <c r="R541" s="3">
        <v>0</v>
      </c>
      <c r="S541" s="4">
        <v>0</v>
      </c>
      <c r="T541" s="4">
        <v>24</v>
      </c>
      <c r="U541" s="4">
        <v>63</v>
      </c>
      <c r="V541" s="4">
        <f>IF(ISERROR(VLOOKUP($S$541,'TAR FIN'!$A$1:$O$91,15,0)),0,VLOOKUP($S$541,'TAR FIN'!$A$1:$O$91,15,0))</f>
        <v>0</v>
      </c>
      <c r="W541" s="4">
        <f>IF(ISERROR(VLOOKUP($T$541,'TAR FIN'!$A$1:$O$91,15,0)),0,VLOOKUP($T$541,'TAR FIN'!$A$1:$O$91,15,0))</f>
        <v>275.13</v>
      </c>
      <c r="X541" s="4">
        <f>IF(ISERROR(VLOOKUP($U$541,'TAR FIN'!$A$1:$O$91,15,0)),0,VLOOKUP($U$541,'TAR FIN'!$A$1:$O$91,15,0))</f>
        <v>219.34</v>
      </c>
      <c r="Y541" s="4"/>
      <c r="Z541" s="4">
        <f ca="1">('TUSD BE'!$AM$36+'TUSD BF'!$AM$36+'TUSD CVA'!$AM$36)*(1-CUSTOS!$M$38)</f>
        <v>364.4729686309102</v>
      </c>
      <c r="AA541" s="4">
        <f>('TE BE'!$AB$26+'TE BF'!$AB$26+'TE CVA'!$AB$26)*(1-CUSTOS!$M$38)</f>
        <v>191.17977782719129</v>
      </c>
      <c r="AB541" s="4">
        <f>$K$541*$V$541</f>
        <v>0</v>
      </c>
      <c r="AC541" s="4">
        <f>$M$541*$W$541</f>
        <v>71955.574290000004</v>
      </c>
      <c r="AD541" s="4">
        <f>$O$541*$X$541</f>
        <v>57364.648220000003</v>
      </c>
      <c r="AE541" s="4">
        <f>$K$541*$Y$541</f>
        <v>0</v>
      </c>
      <c r="AF541" s="4">
        <f ca="1">$M$541*$Z$541</f>
        <v>95321.708904947838</v>
      </c>
      <c r="AG541" s="4">
        <f>$O$541*$AA$541</f>
        <v>49999.820834478822</v>
      </c>
    </row>
    <row r="542" spans="1:33" ht="11.25" customHeight="1" x14ac:dyDescent="0.25">
      <c r="A542" s="3" t="s">
        <v>21</v>
      </c>
      <c r="B542" s="3" t="s">
        <v>33</v>
      </c>
      <c r="C542" s="3" t="s">
        <v>23</v>
      </c>
      <c r="D542" s="3" t="s">
        <v>39</v>
      </c>
      <c r="E542" s="3" t="s">
        <v>25</v>
      </c>
      <c r="F542" s="3" t="s">
        <v>25</v>
      </c>
      <c r="G542" s="3" t="s">
        <v>25</v>
      </c>
      <c r="H542" s="3" t="s">
        <v>25</v>
      </c>
      <c r="I542" s="6">
        <v>44440</v>
      </c>
      <c r="J542" s="4">
        <v>0</v>
      </c>
      <c r="K542" s="4">
        <v>0</v>
      </c>
      <c r="L542" s="4">
        <v>891.15800000000002</v>
      </c>
      <c r="M542" s="4">
        <v>891.15800000000002</v>
      </c>
      <c r="N542" s="4">
        <v>891.15800000000002</v>
      </c>
      <c r="O542" s="4">
        <v>891.15800000000002</v>
      </c>
      <c r="P542" s="4">
        <v>1596</v>
      </c>
      <c r="Q542" s="3" t="s">
        <v>26</v>
      </c>
      <c r="R542" s="3">
        <v>0</v>
      </c>
      <c r="S542" s="4">
        <v>0</v>
      </c>
      <c r="T542" s="4">
        <v>35</v>
      </c>
      <c r="U542" s="4">
        <v>62</v>
      </c>
      <c r="V542" s="4">
        <f>IF(ISERROR(VLOOKUP($S$542,'TAR FIN'!$A$1:$O$91,15,0)),0,VLOOKUP($S$542,'TAR FIN'!$A$1:$O$91,15,0))</f>
        <v>0</v>
      </c>
      <c r="W542" s="4">
        <f>IF(ISERROR(VLOOKUP($T$542,'TAR FIN'!$A$1:$O$91,15,0)),0,VLOOKUP($T$542,'TAR FIN'!$A$1:$O$91,15,0))</f>
        <v>312.64999999999998</v>
      </c>
      <c r="X542" s="4">
        <f>IF(ISERROR(VLOOKUP($U$542,'TAR FIN'!$A$1:$O$91,15,0)),0,VLOOKUP($U$542,'TAR FIN'!$A$1:$O$91,15,0))</f>
        <v>249.25</v>
      </c>
      <c r="Y542" s="4"/>
      <c r="Z542" s="4">
        <f ca="1">('TUSD BE'!$AM$51+'TUSD BF'!$AM$51+'TUSD CVA'!$AM$51)*1</f>
        <v>387.73720067118109</v>
      </c>
      <c r="AA542" s="4">
        <f>('TE BE'!$AB$41+'TE BF'!$AB$41+'TE CVA'!$AB$41)*1</f>
        <v>203.38274236935246</v>
      </c>
      <c r="AB542" s="4">
        <f>$K$542*$V$542</f>
        <v>0</v>
      </c>
      <c r="AC542" s="4">
        <f>$M$542*$W$542</f>
        <v>278620.54869999998</v>
      </c>
      <c r="AD542" s="4">
        <f>$O$542*$X$542</f>
        <v>222121.13150000002</v>
      </c>
      <c r="AE542" s="4">
        <f>$K$542*$Y$542</f>
        <v>0</v>
      </c>
      <c r="AF542" s="4">
        <f ca="1">$M$542*$Z$542</f>
        <v>345535.10827572842</v>
      </c>
      <c r="AG542" s="4">
        <f>$O$542*$AA$542</f>
        <v>181246.1579243874</v>
      </c>
    </row>
    <row r="543" spans="1:33" ht="11.25" customHeight="1" x14ac:dyDescent="0.25">
      <c r="A543" s="3" t="s">
        <v>28</v>
      </c>
      <c r="B543" s="3" t="s">
        <v>33</v>
      </c>
      <c r="C543" s="3" t="s">
        <v>23</v>
      </c>
      <c r="D543" s="3" t="s">
        <v>39</v>
      </c>
      <c r="E543" s="3" t="s">
        <v>25</v>
      </c>
      <c r="F543" s="3" t="s">
        <v>25</v>
      </c>
      <c r="G543" s="3" t="s">
        <v>25</v>
      </c>
      <c r="H543" s="3" t="s">
        <v>25</v>
      </c>
      <c r="I543" s="6">
        <v>44440</v>
      </c>
      <c r="J543" s="4">
        <v>0</v>
      </c>
      <c r="K543" s="4">
        <v>0</v>
      </c>
      <c r="L543" s="4">
        <v>49.981999999999999</v>
      </c>
      <c r="M543" s="4">
        <v>49.981999999999999</v>
      </c>
      <c r="N543" s="4">
        <v>49.981999999999999</v>
      </c>
      <c r="O543" s="4">
        <v>49.981999999999999</v>
      </c>
      <c r="P543" s="4">
        <v>98</v>
      </c>
      <c r="Q543" s="3" t="s">
        <v>26</v>
      </c>
      <c r="R543" s="3">
        <v>0</v>
      </c>
      <c r="S543" s="4">
        <v>0</v>
      </c>
      <c r="T543" s="4">
        <v>35</v>
      </c>
      <c r="U543" s="4">
        <v>62</v>
      </c>
      <c r="V543" s="4">
        <f>IF(ISERROR(VLOOKUP($S$543,'TAR FIN'!$A$1:$O$91,15,0)),0,VLOOKUP($S$543,'TAR FIN'!$A$1:$O$91,15,0))</f>
        <v>0</v>
      </c>
      <c r="W543" s="4">
        <f>IF(ISERROR(VLOOKUP($T$543,'TAR FIN'!$A$1:$O$91,15,0)),0,VLOOKUP($T$543,'TAR FIN'!$A$1:$O$91,15,0))</f>
        <v>312.64999999999998</v>
      </c>
      <c r="X543" s="4">
        <f>IF(ISERROR(VLOOKUP($U$543,'TAR FIN'!$A$1:$O$91,15,0)),0,VLOOKUP($U$543,'TAR FIN'!$A$1:$O$91,15,0))</f>
        <v>249.25</v>
      </c>
      <c r="Y543" s="4"/>
      <c r="Z543" s="4">
        <f ca="1">('TUSD BE'!$AM$51+'TUSD BF'!$AM$51+'TUSD CVA'!$AM$51)*1</f>
        <v>387.73720067118109</v>
      </c>
      <c r="AA543" s="4">
        <f>('TE BE'!$AB$41+'TE BF'!$AB$41+'TE CVA'!$AB$41)*1</f>
        <v>203.38274236935246</v>
      </c>
      <c r="AB543" s="4">
        <f>$K$543*$V$543</f>
        <v>0</v>
      </c>
      <c r="AC543" s="4">
        <f>$M$543*$W$543</f>
        <v>15626.872299999999</v>
      </c>
      <c r="AD543" s="4">
        <f>$O$543*$X$543</f>
        <v>12458.013499999999</v>
      </c>
      <c r="AE543" s="4">
        <f>$K$543*$Y$543</f>
        <v>0</v>
      </c>
      <c r="AF543" s="4">
        <f ca="1">$M$543*$Z$543</f>
        <v>19379.880763946974</v>
      </c>
      <c r="AG543" s="4">
        <f>$O$543*$AA$543</f>
        <v>10165.476229104974</v>
      </c>
    </row>
    <row r="544" spans="1:33" ht="11.25" customHeight="1" x14ac:dyDescent="0.25">
      <c r="A544" s="3" t="s">
        <v>21</v>
      </c>
      <c r="B544" s="3" t="s">
        <v>33</v>
      </c>
      <c r="C544" s="3" t="s">
        <v>23</v>
      </c>
      <c r="D544" s="3" t="s">
        <v>39</v>
      </c>
      <c r="E544" s="3" t="s">
        <v>25</v>
      </c>
      <c r="F544" s="3" t="s">
        <v>25</v>
      </c>
      <c r="G544" s="3" t="s">
        <v>25</v>
      </c>
      <c r="H544" s="3" t="s">
        <v>25</v>
      </c>
      <c r="I544" s="6">
        <v>44470</v>
      </c>
      <c r="J544" s="4">
        <v>0</v>
      </c>
      <c r="K544" s="4">
        <v>0</v>
      </c>
      <c r="L544" s="4">
        <v>900.05899999999997</v>
      </c>
      <c r="M544" s="4">
        <v>900.05899999999997</v>
      </c>
      <c r="N544" s="4">
        <v>900.05899999999997</v>
      </c>
      <c r="O544" s="4">
        <v>900.05899999999997</v>
      </c>
      <c r="P544" s="4">
        <v>1597</v>
      </c>
      <c r="Q544" s="3" t="s">
        <v>26</v>
      </c>
      <c r="R544" s="3">
        <v>0</v>
      </c>
      <c r="S544" s="4">
        <v>0</v>
      </c>
      <c r="T544" s="4">
        <v>35</v>
      </c>
      <c r="U544" s="4">
        <v>62</v>
      </c>
      <c r="V544" s="4">
        <f>IF(ISERROR(VLOOKUP($S$544,'TAR FIN'!$A$1:$O$91,15,0)),0,VLOOKUP($S$544,'TAR FIN'!$A$1:$O$91,15,0))</f>
        <v>0</v>
      </c>
      <c r="W544" s="4">
        <f>IF(ISERROR(VLOOKUP($T$544,'TAR FIN'!$A$1:$O$91,15,0)),0,VLOOKUP($T$544,'TAR FIN'!$A$1:$O$91,15,0))</f>
        <v>312.64999999999998</v>
      </c>
      <c r="X544" s="4">
        <f>IF(ISERROR(VLOOKUP($U$544,'TAR FIN'!$A$1:$O$91,15,0)),0,VLOOKUP($U$544,'TAR FIN'!$A$1:$O$91,15,0))</f>
        <v>249.25</v>
      </c>
      <c r="Y544" s="4"/>
      <c r="Z544" s="4">
        <f ca="1">('TUSD BE'!$AM$51+'TUSD BF'!$AM$51+'TUSD CVA'!$AM$51)*1</f>
        <v>387.73720067118109</v>
      </c>
      <c r="AA544" s="4">
        <f>('TE BE'!$AB$41+'TE BF'!$AB$41+'TE CVA'!$AB$41)*1</f>
        <v>203.38274236935246</v>
      </c>
      <c r="AB544" s="4">
        <f>$K$544*$V$544</f>
        <v>0</v>
      </c>
      <c r="AC544" s="4">
        <f>$M$544*$W$544</f>
        <v>281403.44634999998</v>
      </c>
      <c r="AD544" s="4">
        <f>$O$544*$X$544</f>
        <v>224339.70574999999</v>
      </c>
      <c r="AE544" s="4">
        <f>$K$544*$Y$544</f>
        <v>0</v>
      </c>
      <c r="AF544" s="4">
        <f ca="1">$M$544*$Z$544</f>
        <v>348986.35709890258</v>
      </c>
      <c r="AG544" s="4">
        <f>$O$544*$AA$544</f>
        <v>183056.467714217</v>
      </c>
    </row>
    <row r="545" spans="1:33" ht="11.25" customHeight="1" x14ac:dyDescent="0.25">
      <c r="A545" s="3" t="s">
        <v>28</v>
      </c>
      <c r="B545" s="3" t="s">
        <v>33</v>
      </c>
      <c r="C545" s="3" t="s">
        <v>23</v>
      </c>
      <c r="D545" s="3" t="s">
        <v>39</v>
      </c>
      <c r="E545" s="3" t="s">
        <v>25</v>
      </c>
      <c r="F545" s="3" t="s">
        <v>25</v>
      </c>
      <c r="G545" s="3" t="s">
        <v>25</v>
      </c>
      <c r="H545" s="3" t="s">
        <v>25</v>
      </c>
      <c r="I545" s="6">
        <v>44470</v>
      </c>
      <c r="J545" s="4">
        <v>0</v>
      </c>
      <c r="K545" s="4">
        <v>0</v>
      </c>
      <c r="L545" s="4">
        <v>45.991999999999997</v>
      </c>
      <c r="M545" s="4">
        <v>45.991999999999997</v>
      </c>
      <c r="N545" s="4">
        <v>45.991999999999997</v>
      </c>
      <c r="O545" s="4">
        <v>45.991999999999997</v>
      </c>
      <c r="P545" s="4">
        <v>98</v>
      </c>
      <c r="Q545" s="3" t="s">
        <v>26</v>
      </c>
      <c r="R545" s="3">
        <v>0</v>
      </c>
      <c r="S545" s="4">
        <v>0</v>
      </c>
      <c r="T545" s="4">
        <v>35</v>
      </c>
      <c r="U545" s="4">
        <v>62</v>
      </c>
      <c r="V545" s="4">
        <f>IF(ISERROR(VLOOKUP($S$545,'TAR FIN'!$A$1:$O$91,15,0)),0,VLOOKUP($S$545,'TAR FIN'!$A$1:$O$91,15,0))</f>
        <v>0</v>
      </c>
      <c r="W545" s="4">
        <f>IF(ISERROR(VLOOKUP($T$545,'TAR FIN'!$A$1:$O$91,15,0)),0,VLOOKUP($T$545,'TAR FIN'!$A$1:$O$91,15,0))</f>
        <v>312.64999999999998</v>
      </c>
      <c r="X545" s="4">
        <f>IF(ISERROR(VLOOKUP($U$545,'TAR FIN'!$A$1:$O$91,15,0)),0,VLOOKUP($U$545,'TAR FIN'!$A$1:$O$91,15,0))</f>
        <v>249.25</v>
      </c>
      <c r="Y545" s="4"/>
      <c r="Z545" s="4">
        <f ca="1">('TUSD BE'!$AM$51+'TUSD BF'!$AM$51+'TUSD CVA'!$AM$51)*1</f>
        <v>387.73720067118109</v>
      </c>
      <c r="AA545" s="4">
        <f>('TE BE'!$AB$41+'TE BF'!$AB$41+'TE CVA'!$AB$41)*1</f>
        <v>203.38274236935246</v>
      </c>
      <c r="AB545" s="4">
        <f>$K$545*$V$545</f>
        <v>0</v>
      </c>
      <c r="AC545" s="4">
        <f>$M$545*$W$545</f>
        <v>14379.398799999999</v>
      </c>
      <c r="AD545" s="4">
        <f>$O$545*$X$545</f>
        <v>11463.505999999999</v>
      </c>
      <c r="AE545" s="4">
        <f>$K$545*$Y$545</f>
        <v>0</v>
      </c>
      <c r="AF545" s="4">
        <f ca="1">$M$545*$Z$545</f>
        <v>17832.80933326896</v>
      </c>
      <c r="AG545" s="4">
        <f>$O$545*$AA$545</f>
        <v>9353.979087051257</v>
      </c>
    </row>
    <row r="546" spans="1:33" ht="11.25" customHeight="1" x14ac:dyDescent="0.25">
      <c r="A546" s="3" t="s">
        <v>21</v>
      </c>
      <c r="B546" s="3" t="s">
        <v>33</v>
      </c>
      <c r="C546" s="3" t="s">
        <v>23</v>
      </c>
      <c r="D546" s="3" t="s">
        <v>39</v>
      </c>
      <c r="E546" s="3" t="s">
        <v>25</v>
      </c>
      <c r="F546" s="3" t="s">
        <v>25</v>
      </c>
      <c r="G546" s="3" t="s">
        <v>25</v>
      </c>
      <c r="H546" s="3" t="s">
        <v>25</v>
      </c>
      <c r="I546" s="6">
        <v>44501</v>
      </c>
      <c r="J546" s="4">
        <v>0</v>
      </c>
      <c r="K546" s="4">
        <v>0</v>
      </c>
      <c r="L546" s="4">
        <v>1000.95</v>
      </c>
      <c r="M546" s="4">
        <v>1000.95</v>
      </c>
      <c r="N546" s="4">
        <v>1000.95</v>
      </c>
      <c r="O546" s="4">
        <v>1000.95</v>
      </c>
      <c r="P546" s="4">
        <v>1591</v>
      </c>
      <c r="Q546" s="3" t="s">
        <v>26</v>
      </c>
      <c r="R546" s="3">
        <v>0</v>
      </c>
      <c r="S546" s="4">
        <v>0</v>
      </c>
      <c r="T546" s="4">
        <v>35</v>
      </c>
      <c r="U546" s="4">
        <v>62</v>
      </c>
      <c r="V546" s="4">
        <f>IF(ISERROR(VLOOKUP($S$546,'TAR FIN'!$A$1:$O$91,15,0)),0,VLOOKUP($S$546,'TAR FIN'!$A$1:$O$91,15,0))</f>
        <v>0</v>
      </c>
      <c r="W546" s="4">
        <f>IF(ISERROR(VLOOKUP($T$546,'TAR FIN'!$A$1:$O$91,15,0)),0,VLOOKUP($T$546,'TAR FIN'!$A$1:$O$91,15,0))</f>
        <v>312.64999999999998</v>
      </c>
      <c r="X546" s="4">
        <f>IF(ISERROR(VLOOKUP($U$546,'TAR FIN'!$A$1:$O$91,15,0)),0,VLOOKUP($U$546,'TAR FIN'!$A$1:$O$91,15,0))</f>
        <v>249.25</v>
      </c>
      <c r="Y546" s="4"/>
      <c r="Z546" s="4">
        <f ca="1">('TUSD BE'!$AM$51+'TUSD BF'!$AM$51+'TUSD CVA'!$AM$51)*1</f>
        <v>387.73720067118109</v>
      </c>
      <c r="AA546" s="4">
        <f>('TE BE'!$AB$41+'TE BF'!$AB$41+'TE CVA'!$AB$41)*1</f>
        <v>203.38274236935246</v>
      </c>
      <c r="AB546" s="4">
        <f>$K$546*$V$546</f>
        <v>0</v>
      </c>
      <c r="AC546" s="4">
        <f>$M$546*$W$546</f>
        <v>312947.01750000002</v>
      </c>
      <c r="AD546" s="4">
        <f>$O$546*$X$546</f>
        <v>249486.78750000001</v>
      </c>
      <c r="AE546" s="4">
        <f>$K$546*$Y$546</f>
        <v>0</v>
      </c>
      <c r="AF546" s="4">
        <f ca="1">$M$546*$Z$546</f>
        <v>388105.55101181875</v>
      </c>
      <c r="AG546" s="4">
        <f>$O$546*$AA$546</f>
        <v>203575.95597460336</v>
      </c>
    </row>
    <row r="547" spans="1:33" ht="11.25" customHeight="1" x14ac:dyDescent="0.25">
      <c r="A547" s="3" t="s">
        <v>27</v>
      </c>
      <c r="B547" s="3" t="s">
        <v>33</v>
      </c>
      <c r="C547" s="3" t="s">
        <v>23</v>
      </c>
      <c r="D547" s="3" t="s">
        <v>39</v>
      </c>
      <c r="E547" s="3" t="s">
        <v>25</v>
      </c>
      <c r="F547" s="3" t="s">
        <v>25</v>
      </c>
      <c r="G547" s="3" t="s">
        <v>25</v>
      </c>
      <c r="H547" s="3" t="s">
        <v>25</v>
      </c>
      <c r="I547" s="6">
        <v>44501</v>
      </c>
      <c r="J547" s="4">
        <v>0</v>
      </c>
      <c r="K547" s="4">
        <v>0</v>
      </c>
      <c r="L547" s="4">
        <v>-0.83399999999999996</v>
      </c>
      <c r="M547" s="4">
        <v>-0.83399999999999996</v>
      </c>
      <c r="N547" s="4">
        <v>-0.83399999999999996</v>
      </c>
      <c r="O547" s="4">
        <v>-0.83399999999999996</v>
      </c>
      <c r="P547" s="4">
        <v>0</v>
      </c>
      <c r="Q547" s="3" t="s">
        <v>26</v>
      </c>
      <c r="R547" s="3">
        <v>0</v>
      </c>
      <c r="S547" s="4">
        <v>0</v>
      </c>
      <c r="T547" s="4">
        <v>35</v>
      </c>
      <c r="U547" s="4">
        <v>62</v>
      </c>
      <c r="V547" s="4">
        <f>IF(ISERROR(VLOOKUP($S$547,'TAR FIN'!$A$1:$O$91,15,0)),0,VLOOKUP($S$547,'TAR FIN'!$A$1:$O$91,15,0))</f>
        <v>0</v>
      </c>
      <c r="W547" s="4">
        <f>IF(ISERROR(VLOOKUP($T$547,'TAR FIN'!$A$1:$O$91,15,0)),0,VLOOKUP($T$547,'TAR FIN'!$A$1:$O$91,15,0))</f>
        <v>312.64999999999998</v>
      </c>
      <c r="X547" s="4">
        <f>IF(ISERROR(VLOOKUP($U$547,'TAR FIN'!$A$1:$O$91,15,0)),0,VLOOKUP($U$547,'TAR FIN'!$A$1:$O$91,15,0))</f>
        <v>249.25</v>
      </c>
      <c r="Y547" s="4"/>
      <c r="Z547" s="4">
        <f ca="1">('TUSD BE'!$AM$51+'TUSD BF'!$AM$51+'TUSD CVA'!$AM$51)*1</f>
        <v>387.73720067118109</v>
      </c>
      <c r="AA547" s="4">
        <f>('TE BE'!$AB$41+'TE BF'!$AB$41+'TE CVA'!$AB$41)*1</f>
        <v>203.38274236935246</v>
      </c>
      <c r="AB547" s="4">
        <f>$K$547*$V$547</f>
        <v>0</v>
      </c>
      <c r="AC547" s="4">
        <f>$M$547*$W$547</f>
        <v>-260.75009999999997</v>
      </c>
      <c r="AD547" s="4">
        <f>$O$547*$X$547</f>
        <v>-207.87449999999998</v>
      </c>
      <c r="AE547" s="4">
        <f>$K$547*$Y$547</f>
        <v>0</v>
      </c>
      <c r="AF547" s="4">
        <f ca="1">$M$547*$Z$547</f>
        <v>-323.37282535976499</v>
      </c>
      <c r="AG547" s="4">
        <f>$O$547*$AA$547</f>
        <v>-169.62120713603994</v>
      </c>
    </row>
    <row r="548" spans="1:33" ht="11.25" customHeight="1" x14ac:dyDescent="0.25">
      <c r="A548" s="3" t="s">
        <v>28</v>
      </c>
      <c r="B548" s="3" t="s">
        <v>33</v>
      </c>
      <c r="C548" s="3" t="s">
        <v>23</v>
      </c>
      <c r="D548" s="3" t="s">
        <v>39</v>
      </c>
      <c r="E548" s="3" t="s">
        <v>25</v>
      </c>
      <c r="F548" s="3" t="s">
        <v>25</v>
      </c>
      <c r="G548" s="3" t="s">
        <v>25</v>
      </c>
      <c r="H548" s="3" t="s">
        <v>25</v>
      </c>
      <c r="I548" s="6">
        <v>44501</v>
      </c>
      <c r="J548" s="4">
        <v>0</v>
      </c>
      <c r="K548" s="4">
        <v>0</v>
      </c>
      <c r="L548" s="4">
        <v>36.094999999999999</v>
      </c>
      <c r="M548" s="4">
        <v>36.094999999999999</v>
      </c>
      <c r="N548" s="4">
        <v>36.094999999999999</v>
      </c>
      <c r="O548" s="4">
        <v>36.094999999999999</v>
      </c>
      <c r="P548" s="4">
        <v>104</v>
      </c>
      <c r="Q548" s="3" t="s">
        <v>26</v>
      </c>
      <c r="R548" s="3">
        <v>0</v>
      </c>
      <c r="S548" s="4">
        <v>0</v>
      </c>
      <c r="T548" s="4">
        <v>35</v>
      </c>
      <c r="U548" s="4">
        <v>62</v>
      </c>
      <c r="V548" s="4">
        <f>IF(ISERROR(VLOOKUP($S$548,'TAR FIN'!$A$1:$O$91,15,0)),0,VLOOKUP($S$548,'TAR FIN'!$A$1:$O$91,15,0))</f>
        <v>0</v>
      </c>
      <c r="W548" s="4">
        <f>IF(ISERROR(VLOOKUP($T$548,'TAR FIN'!$A$1:$O$91,15,0)),0,VLOOKUP($T$548,'TAR FIN'!$A$1:$O$91,15,0))</f>
        <v>312.64999999999998</v>
      </c>
      <c r="X548" s="4">
        <f>IF(ISERROR(VLOOKUP($U$548,'TAR FIN'!$A$1:$O$91,15,0)),0,VLOOKUP($U$548,'TAR FIN'!$A$1:$O$91,15,0))</f>
        <v>249.25</v>
      </c>
      <c r="Y548" s="4"/>
      <c r="Z548" s="4">
        <f ca="1">('TUSD BE'!$AM$51+'TUSD BF'!$AM$51+'TUSD CVA'!$AM$51)*1</f>
        <v>387.73720067118109</v>
      </c>
      <c r="AA548" s="4">
        <f>('TE BE'!$AB$41+'TE BF'!$AB$41+'TE CVA'!$AB$41)*1</f>
        <v>203.38274236935246</v>
      </c>
      <c r="AB548" s="4">
        <f>$K$548*$V$548</f>
        <v>0</v>
      </c>
      <c r="AC548" s="4">
        <f>$M$548*$W$548</f>
        <v>11285.101749999998</v>
      </c>
      <c r="AD548" s="4">
        <f>$O$548*$X$548</f>
        <v>8996.6787499999991</v>
      </c>
      <c r="AE548" s="4">
        <f>$K$548*$Y$548</f>
        <v>0</v>
      </c>
      <c r="AF548" s="4">
        <f ca="1">$M$548*$Z$548</f>
        <v>13995.37425822628</v>
      </c>
      <c r="AG548" s="4">
        <f>$O$548*$AA$548</f>
        <v>7341.1000858217767</v>
      </c>
    </row>
    <row r="549" spans="1:33" ht="11.25" customHeight="1" x14ac:dyDescent="0.25">
      <c r="A549" s="3" t="s">
        <v>21</v>
      </c>
      <c r="B549" s="3" t="s">
        <v>33</v>
      </c>
      <c r="C549" s="3" t="s">
        <v>23</v>
      </c>
      <c r="D549" s="3" t="s">
        <v>39</v>
      </c>
      <c r="E549" s="3" t="s">
        <v>25</v>
      </c>
      <c r="F549" s="3" t="s">
        <v>25</v>
      </c>
      <c r="G549" s="3" t="s">
        <v>25</v>
      </c>
      <c r="H549" s="3" t="s">
        <v>25</v>
      </c>
      <c r="I549" s="6">
        <v>44531</v>
      </c>
      <c r="J549" s="4">
        <v>0</v>
      </c>
      <c r="K549" s="4">
        <v>0</v>
      </c>
      <c r="L549" s="4">
        <v>1108.1130000000001</v>
      </c>
      <c r="M549" s="4">
        <v>1108.1130000000001</v>
      </c>
      <c r="N549" s="4">
        <v>1108.1130000000001</v>
      </c>
      <c r="O549" s="4">
        <v>1108.1130000000001</v>
      </c>
      <c r="P549" s="4">
        <v>1589</v>
      </c>
      <c r="Q549" s="3" t="s">
        <v>26</v>
      </c>
      <c r="R549" s="3">
        <v>0</v>
      </c>
      <c r="S549" s="4">
        <v>0</v>
      </c>
      <c r="T549" s="4">
        <v>35</v>
      </c>
      <c r="U549" s="4">
        <v>62</v>
      </c>
      <c r="V549" s="4">
        <f>IF(ISERROR(VLOOKUP($S$549,'TAR FIN'!$A$1:$O$91,15,0)),0,VLOOKUP($S$549,'TAR FIN'!$A$1:$O$91,15,0))</f>
        <v>0</v>
      </c>
      <c r="W549" s="4">
        <f>IF(ISERROR(VLOOKUP($T$549,'TAR FIN'!$A$1:$O$91,15,0)),0,VLOOKUP($T$549,'TAR FIN'!$A$1:$O$91,15,0))</f>
        <v>312.64999999999998</v>
      </c>
      <c r="X549" s="4">
        <f>IF(ISERROR(VLOOKUP($U$549,'TAR FIN'!$A$1:$O$91,15,0)),0,VLOOKUP($U$549,'TAR FIN'!$A$1:$O$91,15,0))</f>
        <v>249.25</v>
      </c>
      <c r="Y549" s="4"/>
      <c r="Z549" s="4">
        <f ca="1">('TUSD BE'!$AM$51+'TUSD BF'!$AM$51+'TUSD CVA'!$AM$51)*1</f>
        <v>387.73720067118109</v>
      </c>
      <c r="AA549" s="4">
        <f>('TE BE'!$AB$41+'TE BF'!$AB$41+'TE CVA'!$AB$41)*1</f>
        <v>203.38274236935246</v>
      </c>
      <c r="AB549" s="4">
        <f>$K$549*$V$549</f>
        <v>0</v>
      </c>
      <c r="AC549" s="4">
        <f>$M$549*$W$549</f>
        <v>346451.52944999997</v>
      </c>
      <c r="AD549" s="4">
        <f>$O$549*$X$549</f>
        <v>276197.16525000002</v>
      </c>
      <c r="AE549" s="4">
        <f>$K$549*$Y$549</f>
        <v>0</v>
      </c>
      <c r="AF549" s="4">
        <f ca="1">$M$549*$Z$549</f>
        <v>429656.63264734449</v>
      </c>
      <c r="AG549" s="4">
        <f>$O$549*$AA$549</f>
        <v>225371.06079513027</v>
      </c>
    </row>
    <row r="550" spans="1:33" ht="11.25" customHeight="1" x14ac:dyDescent="0.25">
      <c r="A550" s="3" t="s">
        <v>28</v>
      </c>
      <c r="B550" s="3" t="s">
        <v>33</v>
      </c>
      <c r="C550" s="3" t="s">
        <v>23</v>
      </c>
      <c r="D550" s="3" t="s">
        <v>39</v>
      </c>
      <c r="E550" s="3" t="s">
        <v>25</v>
      </c>
      <c r="F550" s="3" t="s">
        <v>25</v>
      </c>
      <c r="G550" s="3" t="s">
        <v>25</v>
      </c>
      <c r="H550" s="3" t="s">
        <v>25</v>
      </c>
      <c r="I550" s="6">
        <v>44531</v>
      </c>
      <c r="J550" s="4">
        <v>0</v>
      </c>
      <c r="K550" s="4">
        <v>0</v>
      </c>
      <c r="L550" s="4">
        <v>38.073</v>
      </c>
      <c r="M550" s="4">
        <v>38.073</v>
      </c>
      <c r="N550" s="4">
        <v>38.073</v>
      </c>
      <c r="O550" s="4">
        <v>38.073</v>
      </c>
      <c r="P550" s="4">
        <v>111</v>
      </c>
      <c r="Q550" s="3" t="s">
        <v>26</v>
      </c>
      <c r="R550" s="3">
        <v>0</v>
      </c>
      <c r="S550" s="4">
        <v>0</v>
      </c>
      <c r="T550" s="4">
        <v>35</v>
      </c>
      <c r="U550" s="4">
        <v>62</v>
      </c>
      <c r="V550" s="4">
        <f>IF(ISERROR(VLOOKUP($S$550,'TAR FIN'!$A$1:$O$91,15,0)),0,VLOOKUP($S$550,'TAR FIN'!$A$1:$O$91,15,0))</f>
        <v>0</v>
      </c>
      <c r="W550" s="4">
        <f>IF(ISERROR(VLOOKUP($T$550,'TAR FIN'!$A$1:$O$91,15,0)),0,VLOOKUP($T$550,'TAR FIN'!$A$1:$O$91,15,0))</f>
        <v>312.64999999999998</v>
      </c>
      <c r="X550" s="4">
        <f>IF(ISERROR(VLOOKUP($U$550,'TAR FIN'!$A$1:$O$91,15,0)),0,VLOOKUP($U$550,'TAR FIN'!$A$1:$O$91,15,0))</f>
        <v>249.25</v>
      </c>
      <c r="Y550" s="4"/>
      <c r="Z550" s="4">
        <f ca="1">('TUSD BE'!$AM$51+'TUSD BF'!$AM$51+'TUSD CVA'!$AM$51)*1</f>
        <v>387.73720067118109</v>
      </c>
      <c r="AA550" s="4">
        <f>('TE BE'!$AB$41+'TE BF'!$AB$41+'TE CVA'!$AB$41)*1</f>
        <v>203.38274236935246</v>
      </c>
      <c r="AB550" s="4">
        <f>$K$550*$V$550</f>
        <v>0</v>
      </c>
      <c r="AC550" s="4">
        <f>$M$550*$W$550</f>
        <v>11903.523449999999</v>
      </c>
      <c r="AD550" s="4">
        <f>$O$550*$X$550</f>
        <v>9489.6952500000007</v>
      </c>
      <c r="AE550" s="4">
        <f>$K$550*$Y$550</f>
        <v>0</v>
      </c>
      <c r="AF550" s="4">
        <f ca="1">$M$550*$Z$550</f>
        <v>14762.318441153877</v>
      </c>
      <c r="AG550" s="4">
        <f>$O$550*$AA$550</f>
        <v>7743.3911502283563</v>
      </c>
    </row>
    <row r="551" spans="1:33" ht="11.25" customHeight="1" x14ac:dyDescent="0.25">
      <c r="A551" s="3" t="s">
        <v>21</v>
      </c>
      <c r="B551" s="3" t="s">
        <v>33</v>
      </c>
      <c r="C551" s="3" t="s">
        <v>23</v>
      </c>
      <c r="D551" s="3" t="s">
        <v>39</v>
      </c>
      <c r="E551" s="3" t="s">
        <v>25</v>
      </c>
      <c r="F551" s="3" t="s">
        <v>25</v>
      </c>
      <c r="G551" s="3" t="s">
        <v>25</v>
      </c>
      <c r="H551" s="3" t="s">
        <v>25</v>
      </c>
      <c r="I551" s="6">
        <v>44562</v>
      </c>
      <c r="J551" s="4">
        <v>0</v>
      </c>
      <c r="K551" s="4">
        <v>0</v>
      </c>
      <c r="L551" s="4">
        <v>1103.248</v>
      </c>
      <c r="M551" s="4">
        <v>1103.248</v>
      </c>
      <c r="N551" s="4">
        <v>1103.248</v>
      </c>
      <c r="O551" s="4">
        <v>1103.248</v>
      </c>
      <c r="P551" s="4">
        <v>1594</v>
      </c>
      <c r="Q551" s="3" t="s">
        <v>26</v>
      </c>
      <c r="R551" s="3">
        <v>0</v>
      </c>
      <c r="S551" s="4">
        <v>0</v>
      </c>
      <c r="T551" s="4">
        <v>35</v>
      </c>
      <c r="U551" s="4">
        <v>62</v>
      </c>
      <c r="V551" s="4">
        <f>IF(ISERROR(VLOOKUP($S$551,'TAR FIN'!$A$1:$O$91,15,0)),0,VLOOKUP($S$551,'TAR FIN'!$A$1:$O$91,15,0))</f>
        <v>0</v>
      </c>
      <c r="W551" s="4">
        <f>IF(ISERROR(VLOOKUP($T$551,'TAR FIN'!$A$1:$O$91,15,0)),0,VLOOKUP($T$551,'TAR FIN'!$A$1:$O$91,15,0))</f>
        <v>312.64999999999998</v>
      </c>
      <c r="X551" s="4">
        <f>IF(ISERROR(VLOOKUP($U$551,'TAR FIN'!$A$1:$O$91,15,0)),0,VLOOKUP($U$551,'TAR FIN'!$A$1:$O$91,15,0))</f>
        <v>249.25</v>
      </c>
      <c r="Y551" s="4"/>
      <c r="Z551" s="4">
        <f ca="1">('TUSD BE'!$AM$51+'TUSD BF'!$AM$51+'TUSD CVA'!$AM$51)*1</f>
        <v>387.73720067118109</v>
      </c>
      <c r="AA551" s="4">
        <f>('TE BE'!$AB$41+'TE BF'!$AB$41+'TE CVA'!$AB$41)*1</f>
        <v>203.38274236935246</v>
      </c>
      <c r="AB551" s="4">
        <f>$K$551*$V$551</f>
        <v>0</v>
      </c>
      <c r="AC551" s="4">
        <f>$M$551*$W$551</f>
        <v>344930.48719999997</v>
      </c>
      <c r="AD551" s="4">
        <f>$O$551*$X$551</f>
        <v>274984.56400000001</v>
      </c>
      <c r="AE551" s="4">
        <f>$K$551*$Y$551</f>
        <v>0</v>
      </c>
      <c r="AF551" s="4">
        <f ca="1">$M$551*$Z$551</f>
        <v>427770.29116607923</v>
      </c>
      <c r="AG551" s="4">
        <f>$O$551*$AA$551</f>
        <v>224381.60375350338</v>
      </c>
    </row>
    <row r="552" spans="1:33" ht="11.25" customHeight="1" x14ac:dyDescent="0.25">
      <c r="A552" s="3" t="s">
        <v>28</v>
      </c>
      <c r="B552" s="3" t="s">
        <v>33</v>
      </c>
      <c r="C552" s="3" t="s">
        <v>23</v>
      </c>
      <c r="D552" s="3" t="s">
        <v>39</v>
      </c>
      <c r="E552" s="3" t="s">
        <v>25</v>
      </c>
      <c r="F552" s="3" t="s">
        <v>25</v>
      </c>
      <c r="G552" s="3" t="s">
        <v>25</v>
      </c>
      <c r="H552" s="3" t="s">
        <v>25</v>
      </c>
      <c r="I552" s="6">
        <v>44562</v>
      </c>
      <c r="J552" s="4">
        <v>0</v>
      </c>
      <c r="K552" s="4">
        <v>0</v>
      </c>
      <c r="L552" s="4">
        <v>37.479999999999997</v>
      </c>
      <c r="M552" s="4">
        <v>37.479999999999997</v>
      </c>
      <c r="N552" s="4">
        <v>37.479999999999997</v>
      </c>
      <c r="O552" s="4">
        <v>37.479999999999997</v>
      </c>
      <c r="P552" s="4">
        <v>116</v>
      </c>
      <c r="Q552" s="3" t="s">
        <v>26</v>
      </c>
      <c r="R552" s="3">
        <v>0</v>
      </c>
      <c r="S552" s="4">
        <v>0</v>
      </c>
      <c r="T552" s="4">
        <v>35</v>
      </c>
      <c r="U552" s="4">
        <v>62</v>
      </c>
      <c r="V552" s="4">
        <f>IF(ISERROR(VLOOKUP($S$552,'TAR FIN'!$A$1:$O$91,15,0)),0,VLOOKUP($S$552,'TAR FIN'!$A$1:$O$91,15,0))</f>
        <v>0</v>
      </c>
      <c r="W552" s="4">
        <f>IF(ISERROR(VLOOKUP($T$552,'TAR FIN'!$A$1:$O$91,15,0)),0,VLOOKUP($T$552,'TAR FIN'!$A$1:$O$91,15,0))</f>
        <v>312.64999999999998</v>
      </c>
      <c r="X552" s="4">
        <f>IF(ISERROR(VLOOKUP($U$552,'TAR FIN'!$A$1:$O$91,15,0)),0,VLOOKUP($U$552,'TAR FIN'!$A$1:$O$91,15,0))</f>
        <v>249.25</v>
      </c>
      <c r="Y552" s="4"/>
      <c r="Z552" s="4">
        <f ca="1">('TUSD BE'!$AM$51+'TUSD BF'!$AM$51+'TUSD CVA'!$AM$51)*1</f>
        <v>387.73720067118109</v>
      </c>
      <c r="AA552" s="4">
        <f>('TE BE'!$AB$41+'TE BF'!$AB$41+'TE CVA'!$AB$41)*1</f>
        <v>203.38274236935246</v>
      </c>
      <c r="AB552" s="4">
        <f>$K$552*$V$552</f>
        <v>0</v>
      </c>
      <c r="AC552" s="4">
        <f>$M$552*$W$552</f>
        <v>11718.121999999998</v>
      </c>
      <c r="AD552" s="4">
        <f>$O$552*$X$552</f>
        <v>9341.89</v>
      </c>
      <c r="AE552" s="4">
        <f>$K$552*$Y$552</f>
        <v>0</v>
      </c>
      <c r="AF552" s="4">
        <f ca="1">$M$552*$Z$552</f>
        <v>14532.390281155866</v>
      </c>
      <c r="AG552" s="4">
        <f>$O$552*$AA$552</f>
        <v>7622.7851840033291</v>
      </c>
    </row>
    <row r="553" spans="1:33" ht="11.25" customHeight="1" x14ac:dyDescent="0.25">
      <c r="A553" s="3" t="s">
        <v>21</v>
      </c>
      <c r="B553" s="3" t="s">
        <v>33</v>
      </c>
      <c r="C553" s="3" t="s">
        <v>23</v>
      </c>
      <c r="D553" s="3" t="s">
        <v>39</v>
      </c>
      <c r="E553" s="3" t="s">
        <v>25</v>
      </c>
      <c r="F553" s="3" t="s">
        <v>25</v>
      </c>
      <c r="G553" s="3" t="s">
        <v>25</v>
      </c>
      <c r="H553" s="3" t="s">
        <v>25</v>
      </c>
      <c r="I553" s="6">
        <v>44593</v>
      </c>
      <c r="J553" s="4">
        <v>0</v>
      </c>
      <c r="K553" s="4">
        <v>0</v>
      </c>
      <c r="L553" s="4">
        <v>1315.626</v>
      </c>
      <c r="M553" s="4">
        <v>1315.626</v>
      </c>
      <c r="N553" s="4">
        <v>1315.626</v>
      </c>
      <c r="O553" s="4">
        <v>1315.626</v>
      </c>
      <c r="P553" s="4">
        <v>1598</v>
      </c>
      <c r="Q553" s="3" t="s">
        <v>26</v>
      </c>
      <c r="R553" s="3">
        <v>0</v>
      </c>
      <c r="S553" s="4">
        <v>0</v>
      </c>
      <c r="T553" s="4">
        <v>35</v>
      </c>
      <c r="U553" s="4">
        <v>62</v>
      </c>
      <c r="V553" s="4">
        <f>IF(ISERROR(VLOOKUP($S$553,'TAR FIN'!$A$1:$O$91,15,0)),0,VLOOKUP($S$553,'TAR FIN'!$A$1:$O$91,15,0))</f>
        <v>0</v>
      </c>
      <c r="W553" s="4">
        <f>IF(ISERROR(VLOOKUP($T$553,'TAR FIN'!$A$1:$O$91,15,0)),0,VLOOKUP($T$553,'TAR FIN'!$A$1:$O$91,15,0))</f>
        <v>312.64999999999998</v>
      </c>
      <c r="X553" s="4">
        <f>IF(ISERROR(VLOOKUP($U$553,'TAR FIN'!$A$1:$O$91,15,0)),0,VLOOKUP($U$553,'TAR FIN'!$A$1:$O$91,15,0))</f>
        <v>249.25</v>
      </c>
      <c r="Y553" s="4"/>
      <c r="Z553" s="4">
        <f ca="1">('TUSD BE'!$AM$51+'TUSD BF'!$AM$51+'TUSD CVA'!$AM$51)*1</f>
        <v>387.73720067118109</v>
      </c>
      <c r="AA553" s="4">
        <f>('TE BE'!$AB$41+'TE BF'!$AB$41+'TE CVA'!$AB$41)*1</f>
        <v>203.38274236935246</v>
      </c>
      <c r="AB553" s="4">
        <f>$K$553*$V$553</f>
        <v>0</v>
      </c>
      <c r="AC553" s="4">
        <f>$M$553*$W$553</f>
        <v>411330.46889999998</v>
      </c>
      <c r="AD553" s="4">
        <f>$O$553*$X$553</f>
        <v>327919.78049999999</v>
      </c>
      <c r="AE553" s="4">
        <f>$K$553*$Y$553</f>
        <v>0</v>
      </c>
      <c r="AF553" s="4">
        <f ca="1">$M$553*$Z$553</f>
        <v>510117.1423702233</v>
      </c>
      <c r="AG553" s="4">
        <f>$O$553*$AA$553</f>
        <v>267575.62381242169</v>
      </c>
    </row>
    <row r="554" spans="1:33" ht="11.25" customHeight="1" x14ac:dyDescent="0.25">
      <c r="A554" s="3" t="s">
        <v>28</v>
      </c>
      <c r="B554" s="3" t="s">
        <v>33</v>
      </c>
      <c r="C554" s="3" t="s">
        <v>23</v>
      </c>
      <c r="D554" s="3" t="s">
        <v>39</v>
      </c>
      <c r="E554" s="3" t="s">
        <v>25</v>
      </c>
      <c r="F554" s="3" t="s">
        <v>25</v>
      </c>
      <c r="G554" s="3" t="s">
        <v>25</v>
      </c>
      <c r="H554" s="3" t="s">
        <v>25</v>
      </c>
      <c r="I554" s="6">
        <v>44593</v>
      </c>
      <c r="J554" s="4">
        <v>0</v>
      </c>
      <c r="K554" s="4">
        <v>0</v>
      </c>
      <c r="L554" s="4">
        <v>62.204000000000001</v>
      </c>
      <c r="M554" s="4">
        <v>62.204000000000001</v>
      </c>
      <c r="N554" s="4">
        <v>62.204000000000001</v>
      </c>
      <c r="O554" s="4">
        <v>62.204000000000001</v>
      </c>
      <c r="P554" s="4">
        <v>119</v>
      </c>
      <c r="Q554" s="3" t="s">
        <v>26</v>
      </c>
      <c r="R554" s="3">
        <v>0</v>
      </c>
      <c r="S554" s="4">
        <v>0</v>
      </c>
      <c r="T554" s="4">
        <v>35</v>
      </c>
      <c r="U554" s="4">
        <v>62</v>
      </c>
      <c r="V554" s="4">
        <f>IF(ISERROR(VLOOKUP($S$554,'TAR FIN'!$A$1:$O$91,15,0)),0,VLOOKUP($S$554,'TAR FIN'!$A$1:$O$91,15,0))</f>
        <v>0</v>
      </c>
      <c r="W554" s="4">
        <f>IF(ISERROR(VLOOKUP($T$554,'TAR FIN'!$A$1:$O$91,15,0)),0,VLOOKUP($T$554,'TAR FIN'!$A$1:$O$91,15,0))</f>
        <v>312.64999999999998</v>
      </c>
      <c r="X554" s="4">
        <f>IF(ISERROR(VLOOKUP($U$554,'TAR FIN'!$A$1:$O$91,15,0)),0,VLOOKUP($U$554,'TAR FIN'!$A$1:$O$91,15,0))</f>
        <v>249.25</v>
      </c>
      <c r="Y554" s="4"/>
      <c r="Z554" s="4">
        <f ca="1">('TUSD BE'!$AM$51+'TUSD BF'!$AM$51+'TUSD CVA'!$AM$51)*1</f>
        <v>387.73720067118109</v>
      </c>
      <c r="AA554" s="4">
        <f>('TE BE'!$AB$41+'TE BF'!$AB$41+'TE CVA'!$AB$41)*1</f>
        <v>203.38274236935246</v>
      </c>
      <c r="AB554" s="4">
        <f>$K$554*$V$554</f>
        <v>0</v>
      </c>
      <c r="AC554" s="4">
        <f>$M$554*$W$554</f>
        <v>19448.080599999998</v>
      </c>
      <c r="AD554" s="4">
        <f>$O$554*$X$554</f>
        <v>15504.347</v>
      </c>
      <c r="AE554" s="4">
        <f>$K$554*$Y$554</f>
        <v>0</v>
      </c>
      <c r="AF554" s="4">
        <f ca="1">$M$554*$Z$554</f>
        <v>24118.804830550147</v>
      </c>
      <c r="AG554" s="4">
        <f>$O$554*$AA$554</f>
        <v>12651.2201063432</v>
      </c>
    </row>
    <row r="555" spans="1:33" ht="11.25" customHeight="1" x14ac:dyDescent="0.25">
      <c r="A555" s="3" t="s">
        <v>21</v>
      </c>
      <c r="B555" s="3" t="s">
        <v>33</v>
      </c>
      <c r="C555" s="3" t="s">
        <v>23</v>
      </c>
      <c r="D555" s="3" t="s">
        <v>39</v>
      </c>
      <c r="E555" s="3" t="s">
        <v>25</v>
      </c>
      <c r="F555" s="3" t="s">
        <v>25</v>
      </c>
      <c r="G555" s="3" t="s">
        <v>25</v>
      </c>
      <c r="H555" s="3" t="s">
        <v>25</v>
      </c>
      <c r="I555" s="6">
        <v>44621</v>
      </c>
      <c r="J555" s="4">
        <v>0</v>
      </c>
      <c r="K555" s="4">
        <v>0</v>
      </c>
      <c r="L555" s="4">
        <v>1138.4780000000001</v>
      </c>
      <c r="M555" s="4">
        <v>1138.4780000000001</v>
      </c>
      <c r="N555" s="4">
        <v>1138.4780000000001</v>
      </c>
      <c r="O555" s="4">
        <v>1138.4780000000001</v>
      </c>
      <c r="P555" s="4">
        <v>1594</v>
      </c>
      <c r="Q555" s="3" t="s">
        <v>26</v>
      </c>
      <c r="R555" s="3">
        <v>0</v>
      </c>
      <c r="S555" s="4">
        <v>0</v>
      </c>
      <c r="T555" s="4">
        <v>35</v>
      </c>
      <c r="U555" s="4">
        <v>62</v>
      </c>
      <c r="V555" s="4">
        <f>IF(ISERROR(VLOOKUP($S$555,'TAR FIN'!$A$1:$O$91,15,0)),0,VLOOKUP($S$555,'TAR FIN'!$A$1:$O$91,15,0))</f>
        <v>0</v>
      </c>
      <c r="W555" s="4">
        <f>IF(ISERROR(VLOOKUP($T$555,'TAR FIN'!$A$1:$O$91,15,0)),0,VLOOKUP($T$555,'TAR FIN'!$A$1:$O$91,15,0))</f>
        <v>312.64999999999998</v>
      </c>
      <c r="X555" s="4">
        <f>IF(ISERROR(VLOOKUP($U$555,'TAR FIN'!$A$1:$O$91,15,0)),0,VLOOKUP($U$555,'TAR FIN'!$A$1:$O$91,15,0))</f>
        <v>249.25</v>
      </c>
      <c r="Y555" s="4"/>
      <c r="Z555" s="4">
        <f ca="1">('TUSD BE'!$AM$51+'TUSD BF'!$AM$51+'TUSD CVA'!$AM$51)*1</f>
        <v>387.73720067118109</v>
      </c>
      <c r="AA555" s="4">
        <f>('TE BE'!$AB$41+'TE BF'!$AB$41+'TE CVA'!$AB$41)*1</f>
        <v>203.38274236935246</v>
      </c>
      <c r="AB555" s="4">
        <f>$K$555*$V$555</f>
        <v>0</v>
      </c>
      <c r="AC555" s="4">
        <f>$M$555*$W$555</f>
        <v>355945.14669999998</v>
      </c>
      <c r="AD555" s="4">
        <f>$O$555*$X$555</f>
        <v>283765.64150000003</v>
      </c>
      <c r="AE555" s="4">
        <f>$K$555*$Y$555</f>
        <v>0</v>
      </c>
      <c r="AF555" s="4">
        <f ca="1">$M$555*$Z$555</f>
        <v>441430.27274572494</v>
      </c>
      <c r="AG555" s="4">
        <f>$O$555*$AA$555</f>
        <v>231546.77776717566</v>
      </c>
    </row>
    <row r="556" spans="1:33" ht="11.25" customHeight="1" x14ac:dyDescent="0.25">
      <c r="A556" s="3" t="s">
        <v>28</v>
      </c>
      <c r="B556" s="3" t="s">
        <v>33</v>
      </c>
      <c r="C556" s="3" t="s">
        <v>23</v>
      </c>
      <c r="D556" s="3" t="s">
        <v>39</v>
      </c>
      <c r="E556" s="3" t="s">
        <v>25</v>
      </c>
      <c r="F556" s="3" t="s">
        <v>25</v>
      </c>
      <c r="G556" s="3" t="s">
        <v>25</v>
      </c>
      <c r="H556" s="3" t="s">
        <v>25</v>
      </c>
      <c r="I556" s="6">
        <v>44621</v>
      </c>
      <c r="J556" s="4">
        <v>0</v>
      </c>
      <c r="K556" s="4">
        <v>0</v>
      </c>
      <c r="L556" s="4">
        <v>75.635000000000005</v>
      </c>
      <c r="M556" s="4">
        <v>75.635000000000005</v>
      </c>
      <c r="N556" s="4">
        <v>75.635000000000005</v>
      </c>
      <c r="O556" s="4">
        <v>75.635000000000005</v>
      </c>
      <c r="P556" s="4">
        <v>124</v>
      </c>
      <c r="Q556" s="3" t="s">
        <v>26</v>
      </c>
      <c r="R556" s="3">
        <v>0</v>
      </c>
      <c r="S556" s="4">
        <v>0</v>
      </c>
      <c r="T556" s="4">
        <v>35</v>
      </c>
      <c r="U556" s="4">
        <v>62</v>
      </c>
      <c r="V556" s="4">
        <f>IF(ISERROR(VLOOKUP($S$556,'TAR FIN'!$A$1:$O$91,15,0)),0,VLOOKUP($S$556,'TAR FIN'!$A$1:$O$91,15,0))</f>
        <v>0</v>
      </c>
      <c r="W556" s="4">
        <f>IF(ISERROR(VLOOKUP($T$556,'TAR FIN'!$A$1:$O$91,15,0)),0,VLOOKUP($T$556,'TAR FIN'!$A$1:$O$91,15,0))</f>
        <v>312.64999999999998</v>
      </c>
      <c r="X556" s="4">
        <f>IF(ISERROR(VLOOKUP($U$556,'TAR FIN'!$A$1:$O$91,15,0)),0,VLOOKUP($U$556,'TAR FIN'!$A$1:$O$91,15,0))</f>
        <v>249.25</v>
      </c>
      <c r="Y556" s="4"/>
      <c r="Z556" s="4">
        <f ca="1">('TUSD BE'!$AM$51+'TUSD BF'!$AM$51+'TUSD CVA'!$AM$51)*1</f>
        <v>387.73720067118109</v>
      </c>
      <c r="AA556" s="4">
        <f>('TE BE'!$AB$41+'TE BF'!$AB$41+'TE CVA'!$AB$41)*1</f>
        <v>203.38274236935246</v>
      </c>
      <c r="AB556" s="4">
        <f>$K$556*$V$556</f>
        <v>0</v>
      </c>
      <c r="AC556" s="4">
        <f>$M$556*$W$556</f>
        <v>23647.282749999998</v>
      </c>
      <c r="AD556" s="4">
        <f>$O$556*$X$556</f>
        <v>18852.02375</v>
      </c>
      <c r="AE556" s="4">
        <f>$K$556*$Y$556</f>
        <v>0</v>
      </c>
      <c r="AF556" s="4">
        <f ca="1">$M$556*$Z$556</f>
        <v>29326.503172764784</v>
      </c>
      <c r="AG556" s="4">
        <f>$O$556*$AA$556</f>
        <v>15382.853719105975</v>
      </c>
    </row>
    <row r="557" spans="1:33" ht="11.25" customHeight="1" x14ac:dyDescent="0.25">
      <c r="A557" s="3" t="s">
        <v>21</v>
      </c>
      <c r="B557" s="3" t="s">
        <v>33</v>
      </c>
      <c r="C557" s="3" t="s">
        <v>23</v>
      </c>
      <c r="D557" s="3" t="s">
        <v>39</v>
      </c>
      <c r="E557" s="3" t="s">
        <v>25</v>
      </c>
      <c r="F557" s="3" t="s">
        <v>25</v>
      </c>
      <c r="G557" s="3" t="s">
        <v>25</v>
      </c>
      <c r="H557" s="3" t="s">
        <v>25</v>
      </c>
      <c r="I557" s="6">
        <v>44652</v>
      </c>
      <c r="J557" s="4">
        <v>0</v>
      </c>
      <c r="K557" s="4">
        <v>0</v>
      </c>
      <c r="L557" s="4">
        <v>961.86400000000003</v>
      </c>
      <c r="M557" s="4">
        <v>961.86400000000003</v>
      </c>
      <c r="N557" s="4">
        <v>961.86400000000003</v>
      </c>
      <c r="O557" s="4">
        <v>961.86400000000003</v>
      </c>
      <c r="P557" s="4">
        <v>1590</v>
      </c>
      <c r="Q557" s="3" t="s">
        <v>26</v>
      </c>
      <c r="R557" s="3">
        <v>0</v>
      </c>
      <c r="S557" s="4">
        <v>0</v>
      </c>
      <c r="T557" s="4">
        <v>35</v>
      </c>
      <c r="U557" s="4">
        <v>62</v>
      </c>
      <c r="V557" s="4">
        <f>IF(ISERROR(VLOOKUP($S$557,'TAR FIN'!$A$1:$O$91,15,0)),0,VLOOKUP($S$557,'TAR FIN'!$A$1:$O$91,15,0))</f>
        <v>0</v>
      </c>
      <c r="W557" s="4">
        <f>IF(ISERROR(VLOOKUP($T$557,'TAR FIN'!$A$1:$O$91,15,0)),0,VLOOKUP($T$557,'TAR FIN'!$A$1:$O$91,15,0))</f>
        <v>312.64999999999998</v>
      </c>
      <c r="X557" s="4">
        <f>IF(ISERROR(VLOOKUP($U$557,'TAR FIN'!$A$1:$O$91,15,0)),0,VLOOKUP($U$557,'TAR FIN'!$A$1:$O$91,15,0))</f>
        <v>249.25</v>
      </c>
      <c r="Y557" s="4"/>
      <c r="Z557" s="4">
        <f ca="1">('TUSD BE'!$AM$51+'TUSD BF'!$AM$51+'TUSD CVA'!$AM$51)*1</f>
        <v>387.73720067118109</v>
      </c>
      <c r="AA557" s="4">
        <f>('TE BE'!$AB$41+'TE BF'!$AB$41+'TE CVA'!$AB$41)*1</f>
        <v>203.38274236935246</v>
      </c>
      <c r="AB557" s="4">
        <f>$K$557*$V$557</f>
        <v>0</v>
      </c>
      <c r="AC557" s="4">
        <f>$M$557*$W$557</f>
        <v>300726.77960000001</v>
      </c>
      <c r="AD557" s="4">
        <f>$O$557*$X$557</f>
        <v>239744.60200000001</v>
      </c>
      <c r="AE557" s="4">
        <f>$K$557*$Y$557</f>
        <v>0</v>
      </c>
      <c r="AF557" s="4">
        <f ca="1">$M$557*$Z$557</f>
        <v>372950.45478638494</v>
      </c>
      <c r="AG557" s="4">
        <f>$O$557*$AA$557</f>
        <v>195626.53810635483</v>
      </c>
    </row>
    <row r="558" spans="1:33" ht="11.25" customHeight="1" x14ac:dyDescent="0.25">
      <c r="A558" s="3" t="s">
        <v>28</v>
      </c>
      <c r="B558" s="3" t="s">
        <v>33</v>
      </c>
      <c r="C558" s="3" t="s">
        <v>23</v>
      </c>
      <c r="D558" s="3" t="s">
        <v>39</v>
      </c>
      <c r="E558" s="3" t="s">
        <v>25</v>
      </c>
      <c r="F558" s="3" t="s">
        <v>25</v>
      </c>
      <c r="G558" s="3" t="s">
        <v>25</v>
      </c>
      <c r="H558" s="3" t="s">
        <v>25</v>
      </c>
      <c r="I558" s="6">
        <v>44652</v>
      </c>
      <c r="J558" s="4">
        <v>0</v>
      </c>
      <c r="K558" s="4">
        <v>0</v>
      </c>
      <c r="L558" s="4">
        <v>58.238</v>
      </c>
      <c r="M558" s="4">
        <v>58.238</v>
      </c>
      <c r="N558" s="4">
        <v>58.238</v>
      </c>
      <c r="O558" s="4">
        <v>58.238</v>
      </c>
      <c r="P558" s="4">
        <v>129</v>
      </c>
      <c r="Q558" s="3" t="s">
        <v>26</v>
      </c>
      <c r="R558" s="3">
        <v>0</v>
      </c>
      <c r="S558" s="4">
        <v>0</v>
      </c>
      <c r="T558" s="4">
        <v>35</v>
      </c>
      <c r="U558" s="4">
        <v>62</v>
      </c>
      <c r="V558" s="4">
        <f>IF(ISERROR(VLOOKUP($S$558,'TAR FIN'!$A$1:$O$91,15,0)),0,VLOOKUP($S$558,'TAR FIN'!$A$1:$O$91,15,0))</f>
        <v>0</v>
      </c>
      <c r="W558" s="4">
        <f>IF(ISERROR(VLOOKUP($T$558,'TAR FIN'!$A$1:$O$91,15,0)),0,VLOOKUP($T$558,'TAR FIN'!$A$1:$O$91,15,0))</f>
        <v>312.64999999999998</v>
      </c>
      <c r="X558" s="4">
        <f>IF(ISERROR(VLOOKUP($U$558,'TAR FIN'!$A$1:$O$91,15,0)),0,VLOOKUP($U$558,'TAR FIN'!$A$1:$O$91,15,0))</f>
        <v>249.25</v>
      </c>
      <c r="Y558" s="4"/>
      <c r="Z558" s="4">
        <f ca="1">('TUSD BE'!$AM$51+'TUSD BF'!$AM$51+'TUSD CVA'!$AM$51)*1</f>
        <v>387.73720067118109</v>
      </c>
      <c r="AA558" s="4">
        <f>('TE BE'!$AB$41+'TE BF'!$AB$41+'TE CVA'!$AB$41)*1</f>
        <v>203.38274236935246</v>
      </c>
      <c r="AB558" s="4">
        <f>$K$558*$V$558</f>
        <v>0</v>
      </c>
      <c r="AC558" s="4">
        <f>$M$558*$W$558</f>
        <v>18208.110699999997</v>
      </c>
      <c r="AD558" s="4">
        <f>$O$558*$X$558</f>
        <v>14515.8215</v>
      </c>
      <c r="AE558" s="4">
        <f>$K$558*$Y$558</f>
        <v>0</v>
      </c>
      <c r="AF558" s="4">
        <f ca="1">$M$558*$Z$558</f>
        <v>22581.039092688243</v>
      </c>
      <c r="AG558" s="4">
        <f>$O$558*$AA$558</f>
        <v>11844.604150106348</v>
      </c>
    </row>
    <row r="559" spans="1:33" ht="11.25" customHeight="1" x14ac:dyDescent="0.25">
      <c r="A559" s="3" t="s">
        <v>21</v>
      </c>
      <c r="B559" s="3" t="s">
        <v>33</v>
      </c>
      <c r="C559" s="3" t="s">
        <v>23</v>
      </c>
      <c r="D559" s="3" t="s">
        <v>39</v>
      </c>
      <c r="E559" s="3" t="s">
        <v>25</v>
      </c>
      <c r="F559" s="3" t="s">
        <v>25</v>
      </c>
      <c r="G559" s="3" t="s">
        <v>25</v>
      </c>
      <c r="H559" s="3" t="s">
        <v>25</v>
      </c>
      <c r="I559" s="6">
        <v>44682</v>
      </c>
      <c r="J559" s="4">
        <v>0</v>
      </c>
      <c r="K559" s="4">
        <v>0</v>
      </c>
      <c r="L559" s="4">
        <v>842.56200000000001</v>
      </c>
      <c r="M559" s="4">
        <v>842.56200000000001</v>
      </c>
      <c r="N559" s="4">
        <v>842.56200000000001</v>
      </c>
      <c r="O559" s="4">
        <v>842.56200000000001</v>
      </c>
      <c r="P559" s="4">
        <v>1579</v>
      </c>
      <c r="Q559" s="3" t="s">
        <v>26</v>
      </c>
      <c r="R559" s="3">
        <v>0</v>
      </c>
      <c r="S559" s="4">
        <v>0</v>
      </c>
      <c r="T559" s="4">
        <v>35</v>
      </c>
      <c r="U559" s="4">
        <v>62</v>
      </c>
      <c r="V559" s="4">
        <f>IF(ISERROR(VLOOKUP($S$559,'TAR FIN'!$A$1:$O$91,15,0)),0,VLOOKUP($S$559,'TAR FIN'!$A$1:$O$91,15,0))</f>
        <v>0</v>
      </c>
      <c r="W559" s="4">
        <f>IF(ISERROR(VLOOKUP($T$559,'TAR FIN'!$A$1:$O$91,15,0)),0,VLOOKUP($T$559,'TAR FIN'!$A$1:$O$91,15,0))</f>
        <v>312.64999999999998</v>
      </c>
      <c r="X559" s="4">
        <f>IF(ISERROR(VLOOKUP($U$559,'TAR FIN'!$A$1:$O$91,15,0)),0,VLOOKUP($U$559,'TAR FIN'!$A$1:$O$91,15,0))</f>
        <v>249.25</v>
      </c>
      <c r="Y559" s="4"/>
      <c r="Z559" s="4">
        <f ca="1">('TUSD BE'!$AM$51+'TUSD BF'!$AM$51+'TUSD CVA'!$AM$51)*1</f>
        <v>387.73720067118109</v>
      </c>
      <c r="AA559" s="4">
        <f>('TE BE'!$AB$41+'TE BF'!$AB$41+'TE CVA'!$AB$41)*1</f>
        <v>203.38274236935246</v>
      </c>
      <c r="AB559" s="4">
        <f>$K$559*$V$559</f>
        <v>0</v>
      </c>
      <c r="AC559" s="4">
        <f>$M$559*$W$559</f>
        <v>263427.00929999998</v>
      </c>
      <c r="AD559" s="4">
        <f>$O$559*$X$559</f>
        <v>210008.5785</v>
      </c>
      <c r="AE559" s="4">
        <f>$K$559*$Y$559</f>
        <v>0</v>
      </c>
      <c r="AF559" s="4">
        <f ca="1">$M$559*$Z$559</f>
        <v>326692.63127191167</v>
      </c>
      <c r="AG559" s="4">
        <f>$O$559*$AA$559</f>
        <v>171362.57017620635</v>
      </c>
    </row>
    <row r="560" spans="1:33" ht="11.25" customHeight="1" x14ac:dyDescent="0.25">
      <c r="A560" s="3" t="s">
        <v>27</v>
      </c>
      <c r="B560" s="3" t="s">
        <v>33</v>
      </c>
      <c r="C560" s="3" t="s">
        <v>23</v>
      </c>
      <c r="D560" s="3" t="s">
        <v>39</v>
      </c>
      <c r="E560" s="3" t="s">
        <v>25</v>
      </c>
      <c r="F560" s="3" t="s">
        <v>25</v>
      </c>
      <c r="G560" s="3" t="s">
        <v>25</v>
      </c>
      <c r="H560" s="3" t="s">
        <v>25</v>
      </c>
      <c r="I560" s="6">
        <v>44682</v>
      </c>
      <c r="J560" s="4">
        <v>0</v>
      </c>
      <c r="K560" s="4">
        <v>0</v>
      </c>
      <c r="L560" s="4">
        <v>-5.1109999999999998</v>
      </c>
      <c r="M560" s="4">
        <v>-5.1109999999999998</v>
      </c>
      <c r="N560" s="4">
        <v>-5.1109999999999998</v>
      </c>
      <c r="O560" s="4">
        <v>-5.1109999999999998</v>
      </c>
      <c r="P560" s="4">
        <v>0</v>
      </c>
      <c r="Q560" s="3" t="s">
        <v>26</v>
      </c>
      <c r="R560" s="3">
        <v>0</v>
      </c>
      <c r="S560" s="4">
        <v>0</v>
      </c>
      <c r="T560" s="4">
        <v>35</v>
      </c>
      <c r="U560" s="4">
        <v>62</v>
      </c>
      <c r="V560" s="4">
        <f>IF(ISERROR(VLOOKUP($S$560,'TAR FIN'!$A$1:$O$91,15,0)),0,VLOOKUP($S$560,'TAR FIN'!$A$1:$O$91,15,0))</f>
        <v>0</v>
      </c>
      <c r="W560" s="4">
        <f>IF(ISERROR(VLOOKUP($T$560,'TAR FIN'!$A$1:$O$91,15,0)),0,VLOOKUP($T$560,'TAR FIN'!$A$1:$O$91,15,0))</f>
        <v>312.64999999999998</v>
      </c>
      <c r="X560" s="4">
        <f>IF(ISERROR(VLOOKUP($U$560,'TAR FIN'!$A$1:$O$91,15,0)),0,VLOOKUP($U$560,'TAR FIN'!$A$1:$O$91,15,0))</f>
        <v>249.25</v>
      </c>
      <c r="Y560" s="4"/>
      <c r="Z560" s="4">
        <f ca="1">('TUSD BE'!$AM$51+'TUSD BF'!$AM$51+'TUSD CVA'!$AM$51)*1</f>
        <v>387.73720067118109</v>
      </c>
      <c r="AA560" s="4">
        <f>('TE BE'!$AB$41+'TE BF'!$AB$41+'TE CVA'!$AB$41)*1</f>
        <v>203.38274236935246</v>
      </c>
      <c r="AB560" s="4">
        <f>$K$560*$V$560</f>
        <v>0</v>
      </c>
      <c r="AC560" s="4">
        <f>$M$560*$W$560</f>
        <v>-1597.9541499999998</v>
      </c>
      <c r="AD560" s="4">
        <f>$O$560*$X$560</f>
        <v>-1273.9167499999999</v>
      </c>
      <c r="AE560" s="4">
        <f>$K$560*$Y$560</f>
        <v>0</v>
      </c>
      <c r="AF560" s="4">
        <f ca="1">$M$560*$Z$560</f>
        <v>-1981.7248326304064</v>
      </c>
      <c r="AG560" s="4">
        <f>$O$560*$AA$560</f>
        <v>-1039.4891962497604</v>
      </c>
    </row>
    <row r="561" spans="1:33" ht="11.25" customHeight="1" x14ac:dyDescent="0.25">
      <c r="A561" s="3" t="s">
        <v>28</v>
      </c>
      <c r="B561" s="3" t="s">
        <v>33</v>
      </c>
      <c r="C561" s="3" t="s">
        <v>23</v>
      </c>
      <c r="D561" s="3" t="s">
        <v>39</v>
      </c>
      <c r="E561" s="3" t="s">
        <v>25</v>
      </c>
      <c r="F561" s="3" t="s">
        <v>25</v>
      </c>
      <c r="G561" s="3" t="s">
        <v>25</v>
      </c>
      <c r="H561" s="3" t="s">
        <v>25</v>
      </c>
      <c r="I561" s="6">
        <v>44682</v>
      </c>
      <c r="J561" s="4">
        <v>0</v>
      </c>
      <c r="K561" s="4">
        <v>0</v>
      </c>
      <c r="L561" s="4">
        <v>55.405999999999999</v>
      </c>
      <c r="M561" s="4">
        <v>55.405999999999999</v>
      </c>
      <c r="N561" s="4">
        <v>55.405999999999999</v>
      </c>
      <c r="O561" s="4">
        <v>55.405999999999999</v>
      </c>
      <c r="P561" s="4">
        <v>133</v>
      </c>
      <c r="Q561" s="3" t="s">
        <v>26</v>
      </c>
      <c r="R561" s="3">
        <v>0</v>
      </c>
      <c r="S561" s="4">
        <v>0</v>
      </c>
      <c r="T561" s="4">
        <v>35</v>
      </c>
      <c r="U561" s="4">
        <v>62</v>
      </c>
      <c r="V561" s="4">
        <f>IF(ISERROR(VLOOKUP($S$561,'TAR FIN'!$A$1:$O$91,15,0)),0,VLOOKUP($S$561,'TAR FIN'!$A$1:$O$91,15,0))</f>
        <v>0</v>
      </c>
      <c r="W561" s="4">
        <f>IF(ISERROR(VLOOKUP($T$561,'TAR FIN'!$A$1:$O$91,15,0)),0,VLOOKUP($T$561,'TAR FIN'!$A$1:$O$91,15,0))</f>
        <v>312.64999999999998</v>
      </c>
      <c r="X561" s="4">
        <f>IF(ISERROR(VLOOKUP($U$561,'TAR FIN'!$A$1:$O$91,15,0)),0,VLOOKUP($U$561,'TAR FIN'!$A$1:$O$91,15,0))</f>
        <v>249.25</v>
      </c>
      <c r="Y561" s="4"/>
      <c r="Z561" s="4">
        <f ca="1">('TUSD BE'!$AM$51+'TUSD BF'!$AM$51+'TUSD CVA'!$AM$51)*1</f>
        <v>387.73720067118109</v>
      </c>
      <c r="AA561" s="4">
        <f>('TE BE'!$AB$41+'TE BF'!$AB$41+'TE CVA'!$AB$41)*1</f>
        <v>203.38274236935246</v>
      </c>
      <c r="AB561" s="4">
        <f>$K$561*$V$561</f>
        <v>0</v>
      </c>
      <c r="AC561" s="4">
        <f>$M$561*$W$561</f>
        <v>17322.685899999997</v>
      </c>
      <c r="AD561" s="4">
        <f>$O$561*$X$561</f>
        <v>13809.9455</v>
      </c>
      <c r="AE561" s="4">
        <f>$K$561*$Y$561</f>
        <v>0</v>
      </c>
      <c r="AF561" s="4">
        <f ca="1">$M$561*$Z$561</f>
        <v>21482.967340387459</v>
      </c>
      <c r="AG561" s="4">
        <f>$O$561*$AA$561</f>
        <v>11268.624223716342</v>
      </c>
    </row>
    <row r="562" spans="1:33" ht="11.25" customHeight="1" x14ac:dyDescent="0.25">
      <c r="A562" s="3" t="s">
        <v>21</v>
      </c>
      <c r="B562" s="3" t="s">
        <v>33</v>
      </c>
      <c r="C562" s="3" t="s">
        <v>23</v>
      </c>
      <c r="D562" s="3" t="s">
        <v>39</v>
      </c>
      <c r="E562" s="3" t="s">
        <v>25</v>
      </c>
      <c r="F562" s="3" t="s">
        <v>25</v>
      </c>
      <c r="G562" s="3" t="s">
        <v>25</v>
      </c>
      <c r="H562" s="3" t="s">
        <v>25</v>
      </c>
      <c r="I562" s="6">
        <v>44713</v>
      </c>
      <c r="J562" s="4">
        <v>0</v>
      </c>
      <c r="K562" s="4">
        <v>0</v>
      </c>
      <c r="L562" s="4">
        <v>850.51099999999997</v>
      </c>
      <c r="M562" s="4">
        <v>850.51099999999997</v>
      </c>
      <c r="N562" s="4">
        <v>850.51099999999997</v>
      </c>
      <c r="O562" s="4">
        <v>850.51099999999997</v>
      </c>
      <c r="P562" s="4">
        <v>1579</v>
      </c>
      <c r="Q562" s="3" t="s">
        <v>26</v>
      </c>
      <c r="R562" s="3">
        <v>0</v>
      </c>
      <c r="S562" s="4">
        <v>0</v>
      </c>
      <c r="T562" s="4">
        <v>35</v>
      </c>
      <c r="U562" s="4">
        <v>62</v>
      </c>
      <c r="V562" s="4">
        <f>IF(ISERROR(VLOOKUP($S$562,'TAR FIN'!$A$1:$O$91,15,0)),0,VLOOKUP($S$562,'TAR FIN'!$A$1:$O$91,15,0))</f>
        <v>0</v>
      </c>
      <c r="W562" s="4">
        <f>IF(ISERROR(VLOOKUP($T$562,'TAR FIN'!$A$1:$O$91,15,0)),0,VLOOKUP($T$562,'TAR FIN'!$A$1:$O$91,15,0))</f>
        <v>312.64999999999998</v>
      </c>
      <c r="X562" s="4">
        <f>IF(ISERROR(VLOOKUP($U$562,'TAR FIN'!$A$1:$O$91,15,0)),0,VLOOKUP($U$562,'TAR FIN'!$A$1:$O$91,15,0))</f>
        <v>249.25</v>
      </c>
      <c r="Y562" s="4"/>
      <c r="Z562" s="4">
        <f ca="1">('TUSD BE'!$AM$51+'TUSD BF'!$AM$51+'TUSD CVA'!$AM$51)*1</f>
        <v>387.73720067118109</v>
      </c>
      <c r="AA562" s="4">
        <f>('TE BE'!$AB$41+'TE BF'!$AB$41+'TE CVA'!$AB$41)*1</f>
        <v>203.38274236935246</v>
      </c>
      <c r="AB562" s="4">
        <f>$K$562*$V$562</f>
        <v>0</v>
      </c>
      <c r="AC562" s="4">
        <f>$M$562*$W$562</f>
        <v>265912.26414999994</v>
      </c>
      <c r="AD562" s="4">
        <f>$O$562*$X$562</f>
        <v>211989.86674999999</v>
      </c>
      <c r="AE562" s="4">
        <f>$K$562*$Y$562</f>
        <v>0</v>
      </c>
      <c r="AF562" s="4">
        <f ca="1">$M$562*$Z$562</f>
        <v>329774.75428004691</v>
      </c>
      <c r="AG562" s="4">
        <f>$O$562*$AA$562</f>
        <v>172979.25959530033</v>
      </c>
    </row>
    <row r="563" spans="1:33" ht="11.25" customHeight="1" x14ac:dyDescent="0.25">
      <c r="A563" s="3" t="s">
        <v>28</v>
      </c>
      <c r="B563" s="3" t="s">
        <v>33</v>
      </c>
      <c r="C563" s="3" t="s">
        <v>23</v>
      </c>
      <c r="D563" s="3" t="s">
        <v>39</v>
      </c>
      <c r="E563" s="3" t="s">
        <v>25</v>
      </c>
      <c r="F563" s="3" t="s">
        <v>25</v>
      </c>
      <c r="G563" s="3" t="s">
        <v>25</v>
      </c>
      <c r="H563" s="3" t="s">
        <v>25</v>
      </c>
      <c r="I563" s="6">
        <v>44713</v>
      </c>
      <c r="J563" s="4">
        <v>0</v>
      </c>
      <c r="K563" s="4">
        <v>0</v>
      </c>
      <c r="L563" s="4">
        <v>64.302000000000007</v>
      </c>
      <c r="M563" s="4">
        <v>64.302000000000007</v>
      </c>
      <c r="N563" s="4">
        <v>64.302000000000007</v>
      </c>
      <c r="O563" s="4">
        <v>64.302000000000007</v>
      </c>
      <c r="P563" s="4">
        <v>135</v>
      </c>
      <c r="Q563" s="3" t="s">
        <v>26</v>
      </c>
      <c r="R563" s="3">
        <v>0</v>
      </c>
      <c r="S563" s="4">
        <v>0</v>
      </c>
      <c r="T563" s="4">
        <v>35</v>
      </c>
      <c r="U563" s="4">
        <v>62</v>
      </c>
      <c r="V563" s="4">
        <f>IF(ISERROR(VLOOKUP($S$563,'TAR FIN'!$A$1:$O$91,15,0)),0,VLOOKUP($S$563,'TAR FIN'!$A$1:$O$91,15,0))</f>
        <v>0</v>
      </c>
      <c r="W563" s="4">
        <f>IF(ISERROR(VLOOKUP($T$563,'TAR FIN'!$A$1:$O$91,15,0)),0,VLOOKUP($T$563,'TAR FIN'!$A$1:$O$91,15,0))</f>
        <v>312.64999999999998</v>
      </c>
      <c r="X563" s="4">
        <f>IF(ISERROR(VLOOKUP($U$563,'TAR FIN'!$A$1:$O$91,15,0)),0,VLOOKUP($U$563,'TAR FIN'!$A$1:$O$91,15,0))</f>
        <v>249.25</v>
      </c>
      <c r="Y563" s="4"/>
      <c r="Z563" s="4">
        <f ca="1">('TUSD BE'!$AM$51+'TUSD BF'!$AM$51+'TUSD CVA'!$AM$51)*1</f>
        <v>387.73720067118109</v>
      </c>
      <c r="AA563" s="4">
        <f>('TE BE'!$AB$41+'TE BF'!$AB$41+'TE CVA'!$AB$41)*1</f>
        <v>203.38274236935246</v>
      </c>
      <c r="AB563" s="4">
        <f>$K$563*$V$563</f>
        <v>0</v>
      </c>
      <c r="AC563" s="4">
        <f>$M$563*$W$563</f>
        <v>20104.0203</v>
      </c>
      <c r="AD563" s="4">
        <f>$O$563*$X$563</f>
        <v>16027.273500000001</v>
      </c>
      <c r="AE563" s="4">
        <f>$K$563*$Y$563</f>
        <v>0</v>
      </c>
      <c r="AF563" s="4">
        <f ca="1">$M$563*$Z$563</f>
        <v>24932.277477558288</v>
      </c>
      <c r="AG563" s="4">
        <f>$O$563*$AA$563</f>
        <v>13077.917099834103</v>
      </c>
    </row>
    <row r="564" spans="1:33" ht="11.25" customHeight="1" x14ac:dyDescent="0.25">
      <c r="A564" s="3" t="s">
        <v>21</v>
      </c>
      <c r="B564" s="3" t="s">
        <v>33</v>
      </c>
      <c r="C564" s="3" t="s">
        <v>23</v>
      </c>
      <c r="D564" s="3" t="s">
        <v>39</v>
      </c>
      <c r="E564" s="3" t="s">
        <v>25</v>
      </c>
      <c r="F564" s="3" t="s">
        <v>25</v>
      </c>
      <c r="G564" s="3" t="s">
        <v>25</v>
      </c>
      <c r="H564" s="3" t="s">
        <v>25</v>
      </c>
      <c r="I564" s="6">
        <v>44743</v>
      </c>
      <c r="J564" s="4">
        <v>0</v>
      </c>
      <c r="K564" s="4">
        <v>0</v>
      </c>
      <c r="L564" s="4">
        <v>824.33699999999999</v>
      </c>
      <c r="M564" s="4">
        <v>824.33699999999999</v>
      </c>
      <c r="N564" s="4">
        <v>824.33699999999999</v>
      </c>
      <c r="O564" s="4">
        <v>824.33699999999999</v>
      </c>
      <c r="P564" s="4">
        <v>1579</v>
      </c>
      <c r="Q564" s="3" t="s">
        <v>26</v>
      </c>
      <c r="R564" s="3">
        <v>0</v>
      </c>
      <c r="S564" s="4">
        <v>0</v>
      </c>
      <c r="T564" s="4">
        <v>35</v>
      </c>
      <c r="U564" s="4">
        <v>62</v>
      </c>
      <c r="V564" s="4">
        <f>IF(ISERROR(VLOOKUP($S$564,'TAR FIN'!$A$1:$O$91,15,0)),0,VLOOKUP($S$564,'TAR FIN'!$A$1:$O$91,15,0))</f>
        <v>0</v>
      </c>
      <c r="W564" s="4">
        <f>IF(ISERROR(VLOOKUP($T$564,'TAR FIN'!$A$1:$O$91,15,0)),0,VLOOKUP($T$564,'TAR FIN'!$A$1:$O$91,15,0))</f>
        <v>312.64999999999998</v>
      </c>
      <c r="X564" s="4">
        <f>IF(ISERROR(VLOOKUP($U$564,'TAR FIN'!$A$1:$O$91,15,0)),0,VLOOKUP($U$564,'TAR FIN'!$A$1:$O$91,15,0))</f>
        <v>249.25</v>
      </c>
      <c r="Y564" s="4"/>
      <c r="Z564" s="4">
        <f ca="1">('TUSD BE'!$AM$51+'TUSD BF'!$AM$51+'TUSD CVA'!$AM$51)*1</f>
        <v>387.73720067118109</v>
      </c>
      <c r="AA564" s="4">
        <f>('TE BE'!$AB$41+'TE BF'!$AB$41+'TE CVA'!$AB$41)*1</f>
        <v>203.38274236935246</v>
      </c>
      <c r="AB564" s="4">
        <f>$K$564*$V$564</f>
        <v>0</v>
      </c>
      <c r="AC564" s="4">
        <f>$M$564*$W$564</f>
        <v>257728.96304999999</v>
      </c>
      <c r="AD564" s="4">
        <f>$O$564*$X$564</f>
        <v>205465.99724999999</v>
      </c>
      <c r="AE564" s="4">
        <f>$K$564*$Y$564</f>
        <v>0</v>
      </c>
      <c r="AF564" s="4">
        <f ca="1">$M$564*$Z$564</f>
        <v>319626.12078967941</v>
      </c>
      <c r="AG564" s="4">
        <f>$O$564*$AA$564</f>
        <v>167655.91969652488</v>
      </c>
    </row>
    <row r="565" spans="1:33" ht="11.25" customHeight="1" x14ac:dyDescent="0.25">
      <c r="A565" s="3" t="s">
        <v>27</v>
      </c>
      <c r="B565" s="3" t="s">
        <v>33</v>
      </c>
      <c r="C565" s="3" t="s">
        <v>23</v>
      </c>
      <c r="D565" s="3" t="s">
        <v>39</v>
      </c>
      <c r="E565" s="3" t="s">
        <v>25</v>
      </c>
      <c r="F565" s="3" t="s">
        <v>25</v>
      </c>
      <c r="G565" s="3" t="s">
        <v>25</v>
      </c>
      <c r="H565" s="3" t="s">
        <v>25</v>
      </c>
      <c r="I565" s="6">
        <v>44743</v>
      </c>
      <c r="J565" s="4">
        <v>0</v>
      </c>
      <c r="K565" s="4">
        <v>0</v>
      </c>
      <c r="L565" s="4">
        <v>-0.98399999999999999</v>
      </c>
      <c r="M565" s="4">
        <v>-0.98399999999999999</v>
      </c>
      <c r="N565" s="4">
        <v>-0.98399999999999999</v>
      </c>
      <c r="O565" s="4">
        <v>-0.98399999999999999</v>
      </c>
      <c r="P565" s="4">
        <v>0</v>
      </c>
      <c r="Q565" s="3" t="s">
        <v>26</v>
      </c>
      <c r="R565" s="3">
        <v>0</v>
      </c>
      <c r="S565" s="4">
        <v>0</v>
      </c>
      <c r="T565" s="4">
        <v>35</v>
      </c>
      <c r="U565" s="4">
        <v>62</v>
      </c>
      <c r="V565" s="4">
        <f>IF(ISERROR(VLOOKUP($S$565,'TAR FIN'!$A$1:$O$91,15,0)),0,VLOOKUP($S$565,'TAR FIN'!$A$1:$O$91,15,0))</f>
        <v>0</v>
      </c>
      <c r="W565" s="4">
        <f>IF(ISERROR(VLOOKUP($T$565,'TAR FIN'!$A$1:$O$91,15,0)),0,VLOOKUP($T$565,'TAR FIN'!$A$1:$O$91,15,0))</f>
        <v>312.64999999999998</v>
      </c>
      <c r="X565" s="4">
        <f>IF(ISERROR(VLOOKUP($U$565,'TAR FIN'!$A$1:$O$91,15,0)),0,VLOOKUP($U$565,'TAR FIN'!$A$1:$O$91,15,0))</f>
        <v>249.25</v>
      </c>
      <c r="Y565" s="4"/>
      <c r="Z565" s="4">
        <f ca="1">('TUSD BE'!$AM$51+'TUSD BF'!$AM$51+'TUSD CVA'!$AM$51)*1</f>
        <v>387.73720067118109</v>
      </c>
      <c r="AA565" s="4">
        <f>('TE BE'!$AB$41+'TE BF'!$AB$41+'TE CVA'!$AB$41)*1</f>
        <v>203.38274236935246</v>
      </c>
      <c r="AB565" s="4">
        <f>$K$565*$V$565</f>
        <v>0</v>
      </c>
      <c r="AC565" s="4">
        <f>$M$565*$W$565</f>
        <v>-307.64759999999995</v>
      </c>
      <c r="AD565" s="4">
        <f>$O$565*$X$565</f>
        <v>-245.262</v>
      </c>
      <c r="AE565" s="4">
        <f>$K$565*$Y$565</f>
        <v>0</v>
      </c>
      <c r="AF565" s="4">
        <f ca="1">$M$565*$Z$565</f>
        <v>-381.53340546044217</v>
      </c>
      <c r="AG565" s="4">
        <f>$O$565*$AA$565</f>
        <v>-200.12861849144281</v>
      </c>
    </row>
    <row r="566" spans="1:33" ht="11.25" customHeight="1" x14ac:dyDescent="0.25">
      <c r="A566" s="3" t="s">
        <v>21</v>
      </c>
      <c r="B566" s="3" t="s">
        <v>33</v>
      </c>
      <c r="C566" s="3" t="s">
        <v>23</v>
      </c>
      <c r="D566" s="3" t="s">
        <v>39</v>
      </c>
      <c r="E566" s="3" t="s">
        <v>25</v>
      </c>
      <c r="F566" s="3" t="s">
        <v>25</v>
      </c>
      <c r="G566" s="3" t="s">
        <v>25</v>
      </c>
      <c r="H566" s="3" t="s">
        <v>25</v>
      </c>
      <c r="I566" s="6">
        <v>44774</v>
      </c>
      <c r="J566" s="4">
        <v>0</v>
      </c>
      <c r="K566" s="4">
        <v>0</v>
      </c>
      <c r="L566" s="4">
        <v>868.79499999999996</v>
      </c>
      <c r="M566" s="4">
        <v>868.79499999999996</v>
      </c>
      <c r="N566" s="4">
        <v>868.79499999999996</v>
      </c>
      <c r="O566" s="4">
        <v>868.79499999999996</v>
      </c>
      <c r="P566" s="4">
        <v>1577</v>
      </c>
      <c r="Q566" s="3" t="s">
        <v>26</v>
      </c>
      <c r="R566" s="3">
        <v>0</v>
      </c>
      <c r="S566" s="4">
        <v>0</v>
      </c>
      <c r="T566" s="4">
        <v>35</v>
      </c>
      <c r="U566" s="4">
        <v>62</v>
      </c>
      <c r="V566" s="4">
        <f>IF(ISERROR(VLOOKUP($S$566,'TAR FIN'!$A$1:$O$91,15,0)),0,VLOOKUP($S$566,'TAR FIN'!$A$1:$O$91,15,0))</f>
        <v>0</v>
      </c>
      <c r="W566" s="4">
        <f>IF(ISERROR(VLOOKUP($T$566,'TAR FIN'!$A$1:$O$91,15,0)),0,VLOOKUP($T$566,'TAR FIN'!$A$1:$O$91,15,0))</f>
        <v>312.64999999999998</v>
      </c>
      <c r="X566" s="4">
        <f>IF(ISERROR(VLOOKUP($U$566,'TAR FIN'!$A$1:$O$91,15,0)),0,VLOOKUP($U$566,'TAR FIN'!$A$1:$O$91,15,0))</f>
        <v>249.25</v>
      </c>
      <c r="Y566" s="4"/>
      <c r="Z566" s="4">
        <f ca="1">('TUSD BE'!$AM$51+'TUSD BF'!$AM$51+'TUSD CVA'!$AM$51)*1</f>
        <v>387.73720067118109</v>
      </c>
      <c r="AA566" s="4">
        <f>('TE BE'!$AB$41+'TE BF'!$AB$41+'TE CVA'!$AB$41)*1</f>
        <v>203.38274236935246</v>
      </c>
      <c r="AB566" s="4">
        <f>$K$566*$V$566</f>
        <v>0</v>
      </c>
      <c r="AC566" s="4">
        <f>$M$566*$W$566</f>
        <v>271628.75674999994</v>
      </c>
      <c r="AD566" s="4">
        <f>$O$566*$X$566</f>
        <v>216547.15375</v>
      </c>
      <c r="AE566" s="4">
        <f>$K$566*$Y$566</f>
        <v>0</v>
      </c>
      <c r="AF566" s="4">
        <f ca="1">$M$566*$Z$566</f>
        <v>336864.14125711878</v>
      </c>
      <c r="AG566" s="4">
        <f>$O$566*$AA$566</f>
        <v>176697.90965678156</v>
      </c>
    </row>
    <row r="567" spans="1:33" ht="11.25" customHeight="1" x14ac:dyDescent="0.25">
      <c r="A567" s="3" t="s">
        <v>28</v>
      </c>
      <c r="B567" s="3" t="s">
        <v>33</v>
      </c>
      <c r="C567" s="3" t="s">
        <v>23</v>
      </c>
      <c r="D567" s="3" t="s">
        <v>39</v>
      </c>
      <c r="E567" s="3" t="s">
        <v>25</v>
      </c>
      <c r="F567" s="3" t="s">
        <v>25</v>
      </c>
      <c r="G567" s="3" t="s">
        <v>25</v>
      </c>
      <c r="H567" s="3" t="s">
        <v>25</v>
      </c>
      <c r="I567" s="6">
        <v>44774</v>
      </c>
      <c r="J567" s="4">
        <v>0</v>
      </c>
      <c r="K567" s="4">
        <v>0</v>
      </c>
      <c r="L567" s="4">
        <v>71.453999999999994</v>
      </c>
      <c r="M567" s="4">
        <v>71.453999999999994</v>
      </c>
      <c r="N567" s="4">
        <v>71.453999999999994</v>
      </c>
      <c r="O567" s="4">
        <v>71.453999999999994</v>
      </c>
      <c r="P567" s="4">
        <v>138</v>
      </c>
      <c r="Q567" s="3" t="s">
        <v>26</v>
      </c>
      <c r="R567" s="3">
        <v>0</v>
      </c>
      <c r="S567" s="4">
        <v>0</v>
      </c>
      <c r="T567" s="4">
        <v>35</v>
      </c>
      <c r="U567" s="4">
        <v>62</v>
      </c>
      <c r="V567" s="4">
        <f>IF(ISERROR(VLOOKUP($S$567,'TAR FIN'!$A$1:$O$91,15,0)),0,VLOOKUP($S$567,'TAR FIN'!$A$1:$O$91,15,0))</f>
        <v>0</v>
      </c>
      <c r="W567" s="4">
        <f>IF(ISERROR(VLOOKUP($T$567,'TAR FIN'!$A$1:$O$91,15,0)),0,VLOOKUP($T$567,'TAR FIN'!$A$1:$O$91,15,0))</f>
        <v>312.64999999999998</v>
      </c>
      <c r="X567" s="4">
        <f>IF(ISERROR(VLOOKUP($U$567,'TAR FIN'!$A$1:$O$91,15,0)),0,VLOOKUP($U$567,'TAR FIN'!$A$1:$O$91,15,0))</f>
        <v>249.25</v>
      </c>
      <c r="Y567" s="4"/>
      <c r="Z567" s="4">
        <f ca="1">('TUSD BE'!$AM$51+'TUSD BF'!$AM$51+'TUSD CVA'!$AM$51)*1</f>
        <v>387.73720067118109</v>
      </c>
      <c r="AA567" s="4">
        <f>('TE BE'!$AB$41+'TE BF'!$AB$41+'TE CVA'!$AB$41)*1</f>
        <v>203.38274236935246</v>
      </c>
      <c r="AB567" s="4">
        <f>$K$567*$V$567</f>
        <v>0</v>
      </c>
      <c r="AC567" s="4">
        <f>$M$567*$W$567</f>
        <v>22340.093099999995</v>
      </c>
      <c r="AD567" s="4">
        <f>$O$567*$X$567</f>
        <v>17809.909499999998</v>
      </c>
      <c r="AE567" s="4">
        <f>$K$567*$Y$567</f>
        <v>0</v>
      </c>
      <c r="AF567" s="4">
        <f ca="1">$M$567*$Z$567</f>
        <v>27705.373936758569</v>
      </c>
      <c r="AG567" s="4">
        <f>$O$567*$AA$567</f>
        <v>14532.510473259708</v>
      </c>
    </row>
    <row r="568" spans="1:33" ht="11.25" customHeight="1" x14ac:dyDescent="0.25">
      <c r="A568" s="3" t="s">
        <v>21</v>
      </c>
      <c r="B568" s="3" t="s">
        <v>33</v>
      </c>
      <c r="C568" s="3" t="s">
        <v>23</v>
      </c>
      <c r="D568" s="3" t="s">
        <v>49</v>
      </c>
      <c r="E568" s="3" t="s">
        <v>25</v>
      </c>
      <c r="F568" s="3" t="s">
        <v>25</v>
      </c>
      <c r="G568" s="3" t="s">
        <v>25</v>
      </c>
      <c r="H568" s="3" t="s">
        <v>25</v>
      </c>
      <c r="I568" s="6">
        <v>44440</v>
      </c>
      <c r="J568" s="4">
        <v>0</v>
      </c>
      <c r="K568" s="4">
        <v>0</v>
      </c>
      <c r="L568" s="4">
        <v>9.0060000000000002</v>
      </c>
      <c r="M568" s="4">
        <v>9.0060000000000002</v>
      </c>
      <c r="N568" s="4">
        <v>9.0060000000000002</v>
      </c>
      <c r="O568" s="4">
        <v>9.0060000000000002</v>
      </c>
      <c r="P568" s="4">
        <v>4</v>
      </c>
      <c r="Q568" s="3" t="s">
        <v>26</v>
      </c>
      <c r="R568" s="3">
        <v>0</v>
      </c>
      <c r="S568" s="4">
        <v>0</v>
      </c>
      <c r="T568" s="4">
        <v>35</v>
      </c>
      <c r="U568" s="4">
        <v>62</v>
      </c>
      <c r="V568" s="4">
        <f>IF(ISERROR(VLOOKUP($S$568,'TAR FIN'!$A$1:$O$91,15,0)),0,VLOOKUP($S$568,'TAR FIN'!$A$1:$O$91,15,0))</f>
        <v>0</v>
      </c>
      <c r="W568" s="4">
        <f>IF(ISERROR(VLOOKUP($T$568,'TAR FIN'!$A$1:$O$91,15,0)),0,VLOOKUP($T$568,'TAR FIN'!$A$1:$O$91,15,0))</f>
        <v>312.64999999999998</v>
      </c>
      <c r="X568" s="4">
        <f>IF(ISERROR(VLOOKUP($U$568,'TAR FIN'!$A$1:$O$91,15,0)),0,VLOOKUP($U$568,'TAR FIN'!$A$1:$O$91,15,0))</f>
        <v>249.25</v>
      </c>
      <c r="Y568" s="4"/>
      <c r="Z568" s="4">
        <f ca="1">('TUSD BE'!$AM$51+'TUSD BF'!$AM$51+'TUSD CVA'!$AM$51)*1</f>
        <v>387.73720067118109</v>
      </c>
      <c r="AA568" s="4">
        <f>('TE BE'!$AB$41+'TE BF'!$AB$41+'TE CVA'!$AB$41)*1</f>
        <v>203.38274236935246</v>
      </c>
      <c r="AB568" s="4">
        <f>$K$568*$V$568</f>
        <v>0</v>
      </c>
      <c r="AC568" s="4">
        <f>$M$568*$W$568</f>
        <v>2815.7258999999999</v>
      </c>
      <c r="AD568" s="4">
        <f>$O$568*$X$568</f>
        <v>2244.7455</v>
      </c>
      <c r="AE568" s="4">
        <f>$K$568*$Y$568</f>
        <v>0</v>
      </c>
      <c r="AF568" s="4">
        <f ca="1">$M$568*$Z$568</f>
        <v>3491.9612292446568</v>
      </c>
      <c r="AG568" s="4">
        <f>$O$568*$AA$568</f>
        <v>1831.6649777783882</v>
      </c>
    </row>
    <row r="569" spans="1:33" ht="11.25" customHeight="1" x14ac:dyDescent="0.25">
      <c r="A569" s="3" t="s">
        <v>21</v>
      </c>
      <c r="B569" s="3" t="s">
        <v>33</v>
      </c>
      <c r="C569" s="3" t="s">
        <v>23</v>
      </c>
      <c r="D569" s="3" t="s">
        <v>49</v>
      </c>
      <c r="E569" s="3" t="s">
        <v>25</v>
      </c>
      <c r="F569" s="3" t="s">
        <v>25</v>
      </c>
      <c r="G569" s="3" t="s">
        <v>25</v>
      </c>
      <c r="H569" s="3" t="s">
        <v>25</v>
      </c>
      <c r="I569" s="6">
        <v>44470</v>
      </c>
      <c r="J569" s="4">
        <v>0</v>
      </c>
      <c r="K569" s="4">
        <v>0</v>
      </c>
      <c r="L569" s="4">
        <v>9.5549999999999997</v>
      </c>
      <c r="M569" s="4">
        <v>9.5549999999999997</v>
      </c>
      <c r="N569" s="4">
        <v>9.5549999999999997</v>
      </c>
      <c r="O569" s="4">
        <v>9.5549999999999997</v>
      </c>
      <c r="P569" s="4">
        <v>4</v>
      </c>
      <c r="Q569" s="3" t="s">
        <v>26</v>
      </c>
      <c r="R569" s="3">
        <v>0</v>
      </c>
      <c r="S569" s="4">
        <v>0</v>
      </c>
      <c r="T569" s="4">
        <v>35</v>
      </c>
      <c r="U569" s="4">
        <v>62</v>
      </c>
      <c r="V569" s="4">
        <f>IF(ISERROR(VLOOKUP($S$569,'TAR FIN'!$A$1:$O$91,15,0)),0,VLOOKUP($S$569,'TAR FIN'!$A$1:$O$91,15,0))</f>
        <v>0</v>
      </c>
      <c r="W569" s="4">
        <f>IF(ISERROR(VLOOKUP($T$569,'TAR FIN'!$A$1:$O$91,15,0)),0,VLOOKUP($T$569,'TAR FIN'!$A$1:$O$91,15,0))</f>
        <v>312.64999999999998</v>
      </c>
      <c r="X569" s="4">
        <f>IF(ISERROR(VLOOKUP($U$569,'TAR FIN'!$A$1:$O$91,15,0)),0,VLOOKUP($U$569,'TAR FIN'!$A$1:$O$91,15,0))</f>
        <v>249.25</v>
      </c>
      <c r="Y569" s="4"/>
      <c r="Z569" s="4">
        <f ca="1">('TUSD BE'!$AM$51+'TUSD BF'!$AM$51+'TUSD CVA'!$AM$51)*1</f>
        <v>387.73720067118109</v>
      </c>
      <c r="AA569" s="4">
        <f>('TE BE'!$AB$41+'TE BF'!$AB$41+'TE CVA'!$AB$41)*1</f>
        <v>203.38274236935246</v>
      </c>
      <c r="AB569" s="4">
        <f>$K$569*$V$569</f>
        <v>0</v>
      </c>
      <c r="AC569" s="4">
        <f>$M$569*$W$569</f>
        <v>2987.3707499999996</v>
      </c>
      <c r="AD569" s="4">
        <f>$O$569*$X$569</f>
        <v>2381.5837499999998</v>
      </c>
      <c r="AE569" s="4">
        <f>$K$569*$Y$569</f>
        <v>0</v>
      </c>
      <c r="AF569" s="4">
        <f ca="1">$M$569*$Z$569</f>
        <v>3704.8289524131351</v>
      </c>
      <c r="AG569" s="4">
        <f>$O$569*$AA$569</f>
        <v>1943.3221033391626</v>
      </c>
    </row>
    <row r="570" spans="1:33" ht="11.25" customHeight="1" x14ac:dyDescent="0.25">
      <c r="A570" s="3" t="s">
        <v>21</v>
      </c>
      <c r="B570" s="3" t="s">
        <v>33</v>
      </c>
      <c r="C570" s="3" t="s">
        <v>23</v>
      </c>
      <c r="D570" s="3" t="s">
        <v>49</v>
      </c>
      <c r="E570" s="3" t="s">
        <v>25</v>
      </c>
      <c r="F570" s="3" t="s">
        <v>25</v>
      </c>
      <c r="G570" s="3" t="s">
        <v>25</v>
      </c>
      <c r="H570" s="3" t="s">
        <v>25</v>
      </c>
      <c r="I570" s="6">
        <v>44501</v>
      </c>
      <c r="J570" s="4">
        <v>0</v>
      </c>
      <c r="K570" s="4">
        <v>0</v>
      </c>
      <c r="L570" s="4">
        <v>10.901</v>
      </c>
      <c r="M570" s="4">
        <v>10.901</v>
      </c>
      <c r="N570" s="4">
        <v>10.901</v>
      </c>
      <c r="O570" s="4">
        <v>10.901</v>
      </c>
      <c r="P570" s="4">
        <v>4</v>
      </c>
      <c r="Q570" s="3" t="s">
        <v>26</v>
      </c>
      <c r="R570" s="3">
        <v>0</v>
      </c>
      <c r="S570" s="4">
        <v>0</v>
      </c>
      <c r="T570" s="4">
        <v>35</v>
      </c>
      <c r="U570" s="4">
        <v>62</v>
      </c>
      <c r="V570" s="4">
        <f>IF(ISERROR(VLOOKUP($S$570,'TAR FIN'!$A$1:$O$91,15,0)),0,VLOOKUP($S$570,'TAR FIN'!$A$1:$O$91,15,0))</f>
        <v>0</v>
      </c>
      <c r="W570" s="4">
        <f>IF(ISERROR(VLOOKUP($T$570,'TAR FIN'!$A$1:$O$91,15,0)),0,VLOOKUP($T$570,'TAR FIN'!$A$1:$O$91,15,0))</f>
        <v>312.64999999999998</v>
      </c>
      <c r="X570" s="4">
        <f>IF(ISERROR(VLOOKUP($U$570,'TAR FIN'!$A$1:$O$91,15,0)),0,VLOOKUP($U$570,'TAR FIN'!$A$1:$O$91,15,0))</f>
        <v>249.25</v>
      </c>
      <c r="Y570" s="4"/>
      <c r="Z570" s="4">
        <f ca="1">('TUSD BE'!$AM$51+'TUSD BF'!$AM$51+'TUSD CVA'!$AM$51)*1</f>
        <v>387.73720067118109</v>
      </c>
      <c r="AA570" s="4">
        <f>('TE BE'!$AB$41+'TE BF'!$AB$41+'TE CVA'!$AB$41)*1</f>
        <v>203.38274236935246</v>
      </c>
      <c r="AB570" s="4">
        <f>$K$570*$V$570</f>
        <v>0</v>
      </c>
      <c r="AC570" s="4">
        <f>$M$570*$W$570</f>
        <v>3408.1976499999996</v>
      </c>
      <c r="AD570" s="4">
        <f>$O$570*$X$570</f>
        <v>2717.0742500000001</v>
      </c>
      <c r="AE570" s="4">
        <f>$K$570*$Y$570</f>
        <v>0</v>
      </c>
      <c r="AF570" s="4">
        <f ca="1">$M$570*$Z$570</f>
        <v>4226.7232245165451</v>
      </c>
      <c r="AG570" s="4">
        <f>$O$570*$AA$570</f>
        <v>2217.0752745683112</v>
      </c>
    </row>
    <row r="571" spans="1:33" ht="11.25" customHeight="1" x14ac:dyDescent="0.25">
      <c r="A571" s="3" t="s">
        <v>21</v>
      </c>
      <c r="B571" s="3" t="s">
        <v>33</v>
      </c>
      <c r="C571" s="3" t="s">
        <v>23</v>
      </c>
      <c r="D571" s="3" t="s">
        <v>49</v>
      </c>
      <c r="E571" s="3" t="s">
        <v>25</v>
      </c>
      <c r="F571" s="3" t="s">
        <v>25</v>
      </c>
      <c r="G571" s="3" t="s">
        <v>25</v>
      </c>
      <c r="H571" s="3" t="s">
        <v>25</v>
      </c>
      <c r="I571" s="6">
        <v>44531</v>
      </c>
      <c r="J571" s="4">
        <v>0</v>
      </c>
      <c r="K571" s="4">
        <v>0</v>
      </c>
      <c r="L571" s="4">
        <v>11.895</v>
      </c>
      <c r="M571" s="4">
        <v>11.895</v>
      </c>
      <c r="N571" s="4">
        <v>11.895</v>
      </c>
      <c r="O571" s="4">
        <v>11.895</v>
      </c>
      <c r="P571" s="4">
        <v>5</v>
      </c>
      <c r="Q571" s="3" t="s">
        <v>26</v>
      </c>
      <c r="R571" s="3">
        <v>0</v>
      </c>
      <c r="S571" s="4">
        <v>0</v>
      </c>
      <c r="T571" s="4">
        <v>35</v>
      </c>
      <c r="U571" s="4">
        <v>62</v>
      </c>
      <c r="V571" s="4">
        <f>IF(ISERROR(VLOOKUP($S$571,'TAR FIN'!$A$1:$O$91,15,0)),0,VLOOKUP($S$571,'TAR FIN'!$A$1:$O$91,15,0))</f>
        <v>0</v>
      </c>
      <c r="W571" s="4">
        <f>IF(ISERROR(VLOOKUP($T$571,'TAR FIN'!$A$1:$O$91,15,0)),0,VLOOKUP($T$571,'TAR FIN'!$A$1:$O$91,15,0))</f>
        <v>312.64999999999998</v>
      </c>
      <c r="X571" s="4">
        <f>IF(ISERROR(VLOOKUP($U$571,'TAR FIN'!$A$1:$O$91,15,0)),0,VLOOKUP($U$571,'TAR FIN'!$A$1:$O$91,15,0))</f>
        <v>249.25</v>
      </c>
      <c r="Y571" s="4"/>
      <c r="Z571" s="4">
        <f ca="1">('TUSD BE'!$AM$51+'TUSD BF'!$AM$51+'TUSD CVA'!$AM$51)*1</f>
        <v>387.73720067118109</v>
      </c>
      <c r="AA571" s="4">
        <f>('TE BE'!$AB$41+'TE BF'!$AB$41+'TE CVA'!$AB$41)*1</f>
        <v>203.38274236935246</v>
      </c>
      <c r="AB571" s="4">
        <f>$K$571*$V$571</f>
        <v>0</v>
      </c>
      <c r="AC571" s="4">
        <f>$M$571*$W$571</f>
        <v>3718.9717499999997</v>
      </c>
      <c r="AD571" s="4">
        <f>$O$571*$X$571</f>
        <v>2964.8287499999997</v>
      </c>
      <c r="AE571" s="4">
        <f>$K$571*$Y$571</f>
        <v>0</v>
      </c>
      <c r="AF571" s="4">
        <f ca="1">$M$571*$Z$571</f>
        <v>4612.1340019836989</v>
      </c>
      <c r="AG571" s="4">
        <f>$O$571*$AA$571</f>
        <v>2419.2377204834474</v>
      </c>
    </row>
    <row r="572" spans="1:33" ht="11.25" customHeight="1" x14ac:dyDescent="0.25">
      <c r="A572" s="3" t="s">
        <v>21</v>
      </c>
      <c r="B572" s="3" t="s">
        <v>33</v>
      </c>
      <c r="C572" s="3" t="s">
        <v>23</v>
      </c>
      <c r="D572" s="3" t="s">
        <v>49</v>
      </c>
      <c r="E572" s="3" t="s">
        <v>25</v>
      </c>
      <c r="F572" s="3" t="s">
        <v>25</v>
      </c>
      <c r="G572" s="3" t="s">
        <v>25</v>
      </c>
      <c r="H572" s="3" t="s">
        <v>25</v>
      </c>
      <c r="I572" s="6">
        <v>44562</v>
      </c>
      <c r="J572" s="4">
        <v>0</v>
      </c>
      <c r="K572" s="4">
        <v>0</v>
      </c>
      <c r="L572" s="4">
        <v>13.579000000000001</v>
      </c>
      <c r="M572" s="4">
        <v>13.579000000000001</v>
      </c>
      <c r="N572" s="4">
        <v>13.579000000000001</v>
      </c>
      <c r="O572" s="4">
        <v>13.579000000000001</v>
      </c>
      <c r="P572" s="4">
        <v>5</v>
      </c>
      <c r="Q572" s="3" t="s">
        <v>26</v>
      </c>
      <c r="R572" s="3">
        <v>0</v>
      </c>
      <c r="S572" s="4">
        <v>0</v>
      </c>
      <c r="T572" s="4">
        <v>35</v>
      </c>
      <c r="U572" s="4">
        <v>62</v>
      </c>
      <c r="V572" s="4">
        <f>IF(ISERROR(VLOOKUP($S$572,'TAR FIN'!$A$1:$O$91,15,0)),0,VLOOKUP($S$572,'TAR FIN'!$A$1:$O$91,15,0))</f>
        <v>0</v>
      </c>
      <c r="W572" s="4">
        <f>IF(ISERROR(VLOOKUP($T$572,'TAR FIN'!$A$1:$O$91,15,0)),0,VLOOKUP($T$572,'TAR FIN'!$A$1:$O$91,15,0))</f>
        <v>312.64999999999998</v>
      </c>
      <c r="X572" s="4">
        <f>IF(ISERROR(VLOOKUP($U$572,'TAR FIN'!$A$1:$O$91,15,0)),0,VLOOKUP($U$572,'TAR FIN'!$A$1:$O$91,15,0))</f>
        <v>249.25</v>
      </c>
      <c r="Y572" s="4"/>
      <c r="Z572" s="4">
        <f ca="1">('TUSD BE'!$AM$51+'TUSD BF'!$AM$51+'TUSD CVA'!$AM$51)*1</f>
        <v>387.73720067118109</v>
      </c>
      <c r="AA572" s="4">
        <f>('TE BE'!$AB$41+'TE BF'!$AB$41+'TE CVA'!$AB$41)*1</f>
        <v>203.38274236935246</v>
      </c>
      <c r="AB572" s="4">
        <f>$K$572*$V$572</f>
        <v>0</v>
      </c>
      <c r="AC572" s="4">
        <f>$M$572*$W$572</f>
        <v>4245.4743499999995</v>
      </c>
      <c r="AD572" s="4">
        <f>$O$572*$X$572</f>
        <v>3384.5657500000002</v>
      </c>
      <c r="AE572" s="4">
        <f>$K$572*$Y$572</f>
        <v>0</v>
      </c>
      <c r="AF572" s="4">
        <f ca="1">$M$572*$Z$572</f>
        <v>5265.0834479139685</v>
      </c>
      <c r="AG572" s="4">
        <f>$O$572*$AA$572</f>
        <v>2761.7342586334371</v>
      </c>
    </row>
    <row r="573" spans="1:33" ht="11.25" customHeight="1" x14ac:dyDescent="0.25">
      <c r="A573" s="3" t="s">
        <v>21</v>
      </c>
      <c r="B573" s="3" t="s">
        <v>33</v>
      </c>
      <c r="C573" s="3" t="s">
        <v>23</v>
      </c>
      <c r="D573" s="3" t="s">
        <v>49</v>
      </c>
      <c r="E573" s="3" t="s">
        <v>25</v>
      </c>
      <c r="F573" s="3" t="s">
        <v>25</v>
      </c>
      <c r="G573" s="3" t="s">
        <v>25</v>
      </c>
      <c r="H573" s="3" t="s">
        <v>25</v>
      </c>
      <c r="I573" s="6">
        <v>44593</v>
      </c>
      <c r="J573" s="4">
        <v>0</v>
      </c>
      <c r="K573" s="4">
        <v>0</v>
      </c>
      <c r="L573" s="4">
        <v>14.417999999999999</v>
      </c>
      <c r="M573" s="4">
        <v>14.417999999999999</v>
      </c>
      <c r="N573" s="4">
        <v>14.417999999999999</v>
      </c>
      <c r="O573" s="4">
        <v>14.417999999999999</v>
      </c>
      <c r="P573" s="4">
        <v>5</v>
      </c>
      <c r="Q573" s="3" t="s">
        <v>26</v>
      </c>
      <c r="R573" s="3">
        <v>0</v>
      </c>
      <c r="S573" s="4">
        <v>0</v>
      </c>
      <c r="T573" s="4">
        <v>35</v>
      </c>
      <c r="U573" s="4">
        <v>62</v>
      </c>
      <c r="V573" s="4">
        <f>IF(ISERROR(VLOOKUP($S$573,'TAR FIN'!$A$1:$O$91,15,0)),0,VLOOKUP($S$573,'TAR FIN'!$A$1:$O$91,15,0))</f>
        <v>0</v>
      </c>
      <c r="W573" s="4">
        <f>IF(ISERROR(VLOOKUP($T$573,'TAR FIN'!$A$1:$O$91,15,0)),0,VLOOKUP($T$573,'TAR FIN'!$A$1:$O$91,15,0))</f>
        <v>312.64999999999998</v>
      </c>
      <c r="X573" s="4">
        <f>IF(ISERROR(VLOOKUP($U$573,'TAR FIN'!$A$1:$O$91,15,0)),0,VLOOKUP($U$573,'TAR FIN'!$A$1:$O$91,15,0))</f>
        <v>249.25</v>
      </c>
      <c r="Y573" s="4"/>
      <c r="Z573" s="4">
        <f ca="1">('TUSD BE'!$AM$51+'TUSD BF'!$AM$51+'TUSD CVA'!$AM$51)*1</f>
        <v>387.73720067118109</v>
      </c>
      <c r="AA573" s="4">
        <f>('TE BE'!$AB$41+'TE BF'!$AB$41+'TE CVA'!$AB$41)*1</f>
        <v>203.38274236935246</v>
      </c>
      <c r="AB573" s="4">
        <f>$K$573*$V$573</f>
        <v>0</v>
      </c>
      <c r="AC573" s="4">
        <f>$M$573*$W$573</f>
        <v>4507.7876999999999</v>
      </c>
      <c r="AD573" s="4">
        <f>$O$573*$X$573</f>
        <v>3593.6864999999998</v>
      </c>
      <c r="AE573" s="4">
        <f>$K$573*$Y$573</f>
        <v>0</v>
      </c>
      <c r="AF573" s="4">
        <f ca="1">$M$573*$Z$573</f>
        <v>5590.3949592770887</v>
      </c>
      <c r="AG573" s="4">
        <f>$O$573*$AA$573</f>
        <v>2932.3723794813236</v>
      </c>
    </row>
    <row r="574" spans="1:33" ht="11.25" customHeight="1" x14ac:dyDescent="0.25">
      <c r="A574" s="3" t="s">
        <v>21</v>
      </c>
      <c r="B574" s="3" t="s">
        <v>33</v>
      </c>
      <c r="C574" s="3" t="s">
        <v>23</v>
      </c>
      <c r="D574" s="3" t="s">
        <v>49</v>
      </c>
      <c r="E574" s="3" t="s">
        <v>25</v>
      </c>
      <c r="F574" s="3" t="s">
        <v>25</v>
      </c>
      <c r="G574" s="3" t="s">
        <v>25</v>
      </c>
      <c r="H574" s="3" t="s">
        <v>25</v>
      </c>
      <c r="I574" s="6">
        <v>44621</v>
      </c>
      <c r="J574" s="4">
        <v>0</v>
      </c>
      <c r="K574" s="4">
        <v>0</v>
      </c>
      <c r="L574" s="4">
        <v>12.907999999999999</v>
      </c>
      <c r="M574" s="4">
        <v>12.907999999999999</v>
      </c>
      <c r="N574" s="4">
        <v>12.907999999999999</v>
      </c>
      <c r="O574" s="4">
        <v>12.907999999999999</v>
      </c>
      <c r="P574" s="4">
        <v>5</v>
      </c>
      <c r="Q574" s="3" t="s">
        <v>26</v>
      </c>
      <c r="R574" s="3">
        <v>0</v>
      </c>
      <c r="S574" s="4">
        <v>0</v>
      </c>
      <c r="T574" s="4">
        <v>35</v>
      </c>
      <c r="U574" s="4">
        <v>62</v>
      </c>
      <c r="V574" s="4">
        <f>IF(ISERROR(VLOOKUP($S$574,'TAR FIN'!$A$1:$O$91,15,0)),0,VLOOKUP($S$574,'TAR FIN'!$A$1:$O$91,15,0))</f>
        <v>0</v>
      </c>
      <c r="W574" s="4">
        <f>IF(ISERROR(VLOOKUP($T$574,'TAR FIN'!$A$1:$O$91,15,0)),0,VLOOKUP($T$574,'TAR FIN'!$A$1:$O$91,15,0))</f>
        <v>312.64999999999998</v>
      </c>
      <c r="X574" s="4">
        <f>IF(ISERROR(VLOOKUP($U$574,'TAR FIN'!$A$1:$O$91,15,0)),0,VLOOKUP($U$574,'TAR FIN'!$A$1:$O$91,15,0))</f>
        <v>249.25</v>
      </c>
      <c r="Y574" s="4"/>
      <c r="Z574" s="4">
        <f ca="1">('TUSD BE'!$AM$51+'TUSD BF'!$AM$51+'TUSD CVA'!$AM$51)*1</f>
        <v>387.73720067118109</v>
      </c>
      <c r="AA574" s="4">
        <f>('TE BE'!$AB$41+'TE BF'!$AB$41+'TE CVA'!$AB$41)*1</f>
        <v>203.38274236935246</v>
      </c>
      <c r="AB574" s="4">
        <f>$K$574*$V$574</f>
        <v>0</v>
      </c>
      <c r="AC574" s="4">
        <f>$M$574*$W$574</f>
        <v>4035.6861999999996</v>
      </c>
      <c r="AD574" s="4">
        <f>$O$574*$X$574</f>
        <v>3217.319</v>
      </c>
      <c r="AE574" s="4">
        <f>$K$574*$Y$574</f>
        <v>0</v>
      </c>
      <c r="AF574" s="4">
        <f ca="1">$M$574*$Z$574</f>
        <v>5004.9117862636049</v>
      </c>
      <c r="AG574" s="4">
        <f>$O$574*$AA$574</f>
        <v>2625.2644385036015</v>
      </c>
    </row>
    <row r="575" spans="1:33" ht="11.25" customHeight="1" x14ac:dyDescent="0.25">
      <c r="A575" s="3" t="s">
        <v>21</v>
      </c>
      <c r="B575" s="3" t="s">
        <v>33</v>
      </c>
      <c r="C575" s="3" t="s">
        <v>23</v>
      </c>
      <c r="D575" s="3" t="s">
        <v>49</v>
      </c>
      <c r="E575" s="3" t="s">
        <v>25</v>
      </c>
      <c r="F575" s="3" t="s">
        <v>25</v>
      </c>
      <c r="G575" s="3" t="s">
        <v>25</v>
      </c>
      <c r="H575" s="3" t="s">
        <v>25</v>
      </c>
      <c r="I575" s="6">
        <v>44652</v>
      </c>
      <c r="J575" s="4">
        <v>0</v>
      </c>
      <c r="K575" s="4">
        <v>0</v>
      </c>
      <c r="L575" s="4">
        <v>10.756</v>
      </c>
      <c r="M575" s="4">
        <v>10.756</v>
      </c>
      <c r="N575" s="4">
        <v>10.756</v>
      </c>
      <c r="O575" s="4">
        <v>10.756</v>
      </c>
      <c r="P575" s="4">
        <v>5</v>
      </c>
      <c r="Q575" s="3" t="s">
        <v>26</v>
      </c>
      <c r="R575" s="3">
        <v>0</v>
      </c>
      <c r="S575" s="4">
        <v>0</v>
      </c>
      <c r="T575" s="4">
        <v>35</v>
      </c>
      <c r="U575" s="4">
        <v>62</v>
      </c>
      <c r="V575" s="4">
        <f>IF(ISERROR(VLOOKUP($S$575,'TAR FIN'!$A$1:$O$91,15,0)),0,VLOOKUP($S$575,'TAR FIN'!$A$1:$O$91,15,0))</f>
        <v>0</v>
      </c>
      <c r="W575" s="4">
        <f>IF(ISERROR(VLOOKUP($T$575,'TAR FIN'!$A$1:$O$91,15,0)),0,VLOOKUP($T$575,'TAR FIN'!$A$1:$O$91,15,0))</f>
        <v>312.64999999999998</v>
      </c>
      <c r="X575" s="4">
        <f>IF(ISERROR(VLOOKUP($U$575,'TAR FIN'!$A$1:$O$91,15,0)),0,VLOOKUP($U$575,'TAR FIN'!$A$1:$O$91,15,0))</f>
        <v>249.25</v>
      </c>
      <c r="Y575" s="4"/>
      <c r="Z575" s="4">
        <f ca="1">('TUSD BE'!$AM$51+'TUSD BF'!$AM$51+'TUSD CVA'!$AM$51)*1</f>
        <v>387.73720067118109</v>
      </c>
      <c r="AA575" s="4">
        <f>('TE BE'!$AB$41+'TE BF'!$AB$41+'TE CVA'!$AB$41)*1</f>
        <v>203.38274236935246</v>
      </c>
      <c r="AB575" s="4">
        <f>$K$575*$V$575</f>
        <v>0</v>
      </c>
      <c r="AC575" s="4">
        <f>$M$575*$W$575</f>
        <v>3362.8633999999997</v>
      </c>
      <c r="AD575" s="4">
        <f>$O$575*$X$575</f>
        <v>2680.933</v>
      </c>
      <c r="AE575" s="4">
        <f>$K$575*$Y$575</f>
        <v>0</v>
      </c>
      <c r="AF575" s="4">
        <f ca="1">$M$575*$Z$575</f>
        <v>4170.5013304192235</v>
      </c>
      <c r="AG575" s="4">
        <f>$O$575*$AA$575</f>
        <v>2187.5847769247553</v>
      </c>
    </row>
    <row r="576" spans="1:33" ht="11.25" customHeight="1" x14ac:dyDescent="0.25">
      <c r="A576" s="3" t="s">
        <v>21</v>
      </c>
      <c r="B576" s="3" t="s">
        <v>33</v>
      </c>
      <c r="C576" s="3" t="s">
        <v>23</v>
      </c>
      <c r="D576" s="3" t="s">
        <v>49</v>
      </c>
      <c r="E576" s="3" t="s">
        <v>25</v>
      </c>
      <c r="F576" s="3" t="s">
        <v>25</v>
      </c>
      <c r="G576" s="3" t="s">
        <v>25</v>
      </c>
      <c r="H576" s="3" t="s">
        <v>25</v>
      </c>
      <c r="I576" s="6">
        <v>44682</v>
      </c>
      <c r="J576" s="4">
        <v>0</v>
      </c>
      <c r="K576" s="4">
        <v>0</v>
      </c>
      <c r="L576" s="4">
        <v>9.4730000000000008</v>
      </c>
      <c r="M576" s="4">
        <v>9.4730000000000008</v>
      </c>
      <c r="N576" s="4">
        <v>9.4730000000000008</v>
      </c>
      <c r="O576" s="4">
        <v>9.4730000000000008</v>
      </c>
      <c r="P576" s="4">
        <v>5</v>
      </c>
      <c r="Q576" s="3" t="s">
        <v>26</v>
      </c>
      <c r="R576" s="3">
        <v>0</v>
      </c>
      <c r="S576" s="4">
        <v>0</v>
      </c>
      <c r="T576" s="4">
        <v>35</v>
      </c>
      <c r="U576" s="4">
        <v>62</v>
      </c>
      <c r="V576" s="4">
        <f>IF(ISERROR(VLOOKUP($S$576,'TAR FIN'!$A$1:$O$91,15,0)),0,VLOOKUP($S$576,'TAR FIN'!$A$1:$O$91,15,0))</f>
        <v>0</v>
      </c>
      <c r="W576" s="4">
        <f>IF(ISERROR(VLOOKUP($T$576,'TAR FIN'!$A$1:$O$91,15,0)),0,VLOOKUP($T$576,'TAR FIN'!$A$1:$O$91,15,0))</f>
        <v>312.64999999999998</v>
      </c>
      <c r="X576" s="4">
        <f>IF(ISERROR(VLOOKUP($U$576,'TAR FIN'!$A$1:$O$91,15,0)),0,VLOOKUP($U$576,'TAR FIN'!$A$1:$O$91,15,0))</f>
        <v>249.25</v>
      </c>
      <c r="Y576" s="4"/>
      <c r="Z576" s="4">
        <f ca="1">('TUSD BE'!$AM$51+'TUSD BF'!$AM$51+'TUSD CVA'!$AM$51)*1</f>
        <v>387.73720067118109</v>
      </c>
      <c r="AA576" s="4">
        <f>('TE BE'!$AB$41+'TE BF'!$AB$41+'TE CVA'!$AB$41)*1</f>
        <v>203.38274236935246</v>
      </c>
      <c r="AB576" s="4">
        <f>$K$576*$V$576</f>
        <v>0</v>
      </c>
      <c r="AC576" s="4">
        <f>$M$576*$W$576</f>
        <v>2961.7334500000002</v>
      </c>
      <c r="AD576" s="4">
        <f>$O$576*$X$576</f>
        <v>2361.14525</v>
      </c>
      <c r="AE576" s="4">
        <f>$K$576*$Y$576</f>
        <v>0</v>
      </c>
      <c r="AF576" s="4">
        <f ca="1">$M$576*$Z$576</f>
        <v>3673.0345019580986</v>
      </c>
      <c r="AG576" s="4">
        <f>$O$576*$AA$576</f>
        <v>1926.644718464876</v>
      </c>
    </row>
    <row r="577" spans="1:33" ht="11.25" customHeight="1" x14ac:dyDescent="0.25">
      <c r="A577" s="3" t="s">
        <v>21</v>
      </c>
      <c r="B577" s="3" t="s">
        <v>33</v>
      </c>
      <c r="C577" s="3" t="s">
        <v>23</v>
      </c>
      <c r="D577" s="3" t="s">
        <v>49</v>
      </c>
      <c r="E577" s="3" t="s">
        <v>25</v>
      </c>
      <c r="F577" s="3" t="s">
        <v>25</v>
      </c>
      <c r="G577" s="3" t="s">
        <v>25</v>
      </c>
      <c r="H577" s="3" t="s">
        <v>25</v>
      </c>
      <c r="I577" s="6">
        <v>44713</v>
      </c>
      <c r="J577" s="4">
        <v>0</v>
      </c>
      <c r="K577" s="4">
        <v>0</v>
      </c>
      <c r="L577" s="4">
        <v>9.6750000000000007</v>
      </c>
      <c r="M577" s="4">
        <v>9.6750000000000007</v>
      </c>
      <c r="N577" s="4">
        <v>9.6750000000000007</v>
      </c>
      <c r="O577" s="4">
        <v>9.6750000000000007</v>
      </c>
      <c r="P577" s="4">
        <v>5</v>
      </c>
      <c r="Q577" s="3" t="s">
        <v>26</v>
      </c>
      <c r="R577" s="3">
        <v>0</v>
      </c>
      <c r="S577" s="4">
        <v>0</v>
      </c>
      <c r="T577" s="4">
        <v>35</v>
      </c>
      <c r="U577" s="4">
        <v>62</v>
      </c>
      <c r="V577" s="4">
        <f>IF(ISERROR(VLOOKUP($S$577,'TAR FIN'!$A$1:$O$91,15,0)),0,VLOOKUP($S$577,'TAR FIN'!$A$1:$O$91,15,0))</f>
        <v>0</v>
      </c>
      <c r="W577" s="4">
        <f>IF(ISERROR(VLOOKUP($T$577,'TAR FIN'!$A$1:$O$91,15,0)),0,VLOOKUP($T$577,'TAR FIN'!$A$1:$O$91,15,0))</f>
        <v>312.64999999999998</v>
      </c>
      <c r="X577" s="4">
        <f>IF(ISERROR(VLOOKUP($U$577,'TAR FIN'!$A$1:$O$91,15,0)),0,VLOOKUP($U$577,'TAR FIN'!$A$1:$O$91,15,0))</f>
        <v>249.25</v>
      </c>
      <c r="Y577" s="4"/>
      <c r="Z577" s="4">
        <f ca="1">('TUSD BE'!$AM$51+'TUSD BF'!$AM$51+'TUSD CVA'!$AM$51)*1</f>
        <v>387.73720067118109</v>
      </c>
      <c r="AA577" s="4">
        <f>('TE BE'!$AB$41+'TE BF'!$AB$41+'TE CVA'!$AB$41)*1</f>
        <v>203.38274236935246</v>
      </c>
      <c r="AB577" s="4">
        <f>$K$577*$V$577</f>
        <v>0</v>
      </c>
      <c r="AC577" s="4">
        <f>$M$577*$W$577</f>
        <v>3024.8887500000001</v>
      </c>
      <c r="AD577" s="4">
        <f>$O$577*$X$577</f>
        <v>2411.4937500000001</v>
      </c>
      <c r="AE577" s="4">
        <f>$K$577*$Y$577</f>
        <v>0</v>
      </c>
      <c r="AF577" s="4">
        <f ca="1">$M$577*$Z$577</f>
        <v>3751.3574164936772</v>
      </c>
      <c r="AG577" s="4">
        <f>$O$577*$AA$577</f>
        <v>1967.7280324234853</v>
      </c>
    </row>
    <row r="578" spans="1:33" ht="11.25" customHeight="1" x14ac:dyDescent="0.25">
      <c r="A578" s="3" t="s">
        <v>21</v>
      </c>
      <c r="B578" s="3" t="s">
        <v>33</v>
      </c>
      <c r="C578" s="3" t="s">
        <v>23</v>
      </c>
      <c r="D578" s="3" t="s">
        <v>49</v>
      </c>
      <c r="E578" s="3" t="s">
        <v>25</v>
      </c>
      <c r="F578" s="3" t="s">
        <v>25</v>
      </c>
      <c r="G578" s="3" t="s">
        <v>25</v>
      </c>
      <c r="H578" s="3" t="s">
        <v>25</v>
      </c>
      <c r="I578" s="6">
        <v>44743</v>
      </c>
      <c r="J578" s="4">
        <v>0</v>
      </c>
      <c r="K578" s="4">
        <v>0</v>
      </c>
      <c r="L578" s="4">
        <v>9.3719999999999999</v>
      </c>
      <c r="M578" s="4">
        <v>9.3719999999999999</v>
      </c>
      <c r="N578" s="4">
        <v>9.3719999999999999</v>
      </c>
      <c r="O578" s="4">
        <v>9.3719999999999999</v>
      </c>
      <c r="P578" s="4">
        <v>5</v>
      </c>
      <c r="Q578" s="3" t="s">
        <v>26</v>
      </c>
      <c r="R578" s="3">
        <v>0</v>
      </c>
      <c r="S578" s="4">
        <v>0</v>
      </c>
      <c r="T578" s="4">
        <v>35</v>
      </c>
      <c r="U578" s="4">
        <v>62</v>
      </c>
      <c r="V578" s="4">
        <f>IF(ISERROR(VLOOKUP($S$578,'TAR FIN'!$A$1:$O$91,15,0)),0,VLOOKUP($S$578,'TAR FIN'!$A$1:$O$91,15,0))</f>
        <v>0</v>
      </c>
      <c r="W578" s="4">
        <f>IF(ISERROR(VLOOKUP($T$578,'TAR FIN'!$A$1:$O$91,15,0)),0,VLOOKUP($T$578,'TAR FIN'!$A$1:$O$91,15,0))</f>
        <v>312.64999999999998</v>
      </c>
      <c r="X578" s="4">
        <f>IF(ISERROR(VLOOKUP($U$578,'TAR FIN'!$A$1:$O$91,15,0)),0,VLOOKUP($U$578,'TAR FIN'!$A$1:$O$91,15,0))</f>
        <v>249.25</v>
      </c>
      <c r="Y578" s="4"/>
      <c r="Z578" s="4">
        <f ca="1">('TUSD BE'!$AM$51+'TUSD BF'!$AM$51+'TUSD CVA'!$AM$51)*1</f>
        <v>387.73720067118109</v>
      </c>
      <c r="AA578" s="4">
        <f>('TE BE'!$AB$41+'TE BF'!$AB$41+'TE CVA'!$AB$41)*1</f>
        <v>203.38274236935246</v>
      </c>
      <c r="AB578" s="4">
        <f>$K$578*$V$578</f>
        <v>0</v>
      </c>
      <c r="AC578" s="4">
        <f>$M$578*$W$578</f>
        <v>2930.1557999999995</v>
      </c>
      <c r="AD578" s="4">
        <f>$O$578*$X$578</f>
        <v>2335.971</v>
      </c>
      <c r="AE578" s="4">
        <f>$K$578*$Y$578</f>
        <v>0</v>
      </c>
      <c r="AF578" s="4">
        <f ca="1">$M$578*$Z$578</f>
        <v>3633.8730446903091</v>
      </c>
      <c r="AG578" s="4">
        <f>$O$578*$AA$578</f>
        <v>1906.1030614855713</v>
      </c>
    </row>
    <row r="579" spans="1:33" ht="11.25" customHeight="1" x14ac:dyDescent="0.25">
      <c r="A579" s="3" t="s">
        <v>21</v>
      </c>
      <c r="B579" s="3" t="s">
        <v>33</v>
      </c>
      <c r="C579" s="3" t="s">
        <v>23</v>
      </c>
      <c r="D579" s="3" t="s">
        <v>49</v>
      </c>
      <c r="E579" s="3" t="s">
        <v>25</v>
      </c>
      <c r="F579" s="3" t="s">
        <v>25</v>
      </c>
      <c r="G579" s="3" t="s">
        <v>25</v>
      </c>
      <c r="H579" s="3" t="s">
        <v>25</v>
      </c>
      <c r="I579" s="6">
        <v>44774</v>
      </c>
      <c r="J579" s="4">
        <v>0</v>
      </c>
      <c r="K579" s="4">
        <v>0</v>
      </c>
      <c r="L579" s="4">
        <v>10.483000000000001</v>
      </c>
      <c r="M579" s="4">
        <v>10.483000000000001</v>
      </c>
      <c r="N579" s="4">
        <v>10.483000000000001</v>
      </c>
      <c r="O579" s="4">
        <v>10.483000000000001</v>
      </c>
      <c r="P579" s="4">
        <v>5</v>
      </c>
      <c r="Q579" s="3" t="s">
        <v>26</v>
      </c>
      <c r="R579" s="3">
        <v>0</v>
      </c>
      <c r="S579" s="4">
        <v>0</v>
      </c>
      <c r="T579" s="4">
        <v>35</v>
      </c>
      <c r="U579" s="4">
        <v>62</v>
      </c>
      <c r="V579" s="4">
        <f>IF(ISERROR(VLOOKUP($S$579,'TAR FIN'!$A$1:$O$91,15,0)),0,VLOOKUP($S$579,'TAR FIN'!$A$1:$O$91,15,0))</f>
        <v>0</v>
      </c>
      <c r="W579" s="4">
        <f>IF(ISERROR(VLOOKUP($T$579,'TAR FIN'!$A$1:$O$91,15,0)),0,VLOOKUP($T$579,'TAR FIN'!$A$1:$O$91,15,0))</f>
        <v>312.64999999999998</v>
      </c>
      <c r="X579" s="4">
        <f>IF(ISERROR(VLOOKUP($U$579,'TAR FIN'!$A$1:$O$91,15,0)),0,VLOOKUP($U$579,'TAR FIN'!$A$1:$O$91,15,0))</f>
        <v>249.25</v>
      </c>
      <c r="Y579" s="4"/>
      <c r="Z579" s="4">
        <f ca="1">('TUSD BE'!$AM$51+'TUSD BF'!$AM$51+'TUSD CVA'!$AM$51)*1</f>
        <v>387.73720067118109</v>
      </c>
      <c r="AA579" s="4">
        <f>('TE BE'!$AB$41+'TE BF'!$AB$41+'TE CVA'!$AB$41)*1</f>
        <v>203.38274236935246</v>
      </c>
      <c r="AB579" s="4">
        <f>$K$579*$V$579</f>
        <v>0</v>
      </c>
      <c r="AC579" s="4">
        <f>$M$579*$W$579</f>
        <v>3277.5099500000001</v>
      </c>
      <c r="AD579" s="4">
        <f>$O$579*$X$579</f>
        <v>2612.8877500000003</v>
      </c>
      <c r="AE579" s="4">
        <f>$K$579*$Y$579</f>
        <v>0</v>
      </c>
      <c r="AF579" s="4">
        <f ca="1">$M$579*$Z$579</f>
        <v>4064.6490746359914</v>
      </c>
      <c r="AG579" s="4">
        <f>$O$579*$AA$579</f>
        <v>2132.0612882579221</v>
      </c>
    </row>
    <row r="580" spans="1:33" ht="11.25" customHeight="1" x14ac:dyDescent="0.25">
      <c r="A580" s="3" t="s">
        <v>21</v>
      </c>
      <c r="B580" s="3" t="s">
        <v>33</v>
      </c>
      <c r="C580" s="3" t="s">
        <v>23</v>
      </c>
      <c r="D580" s="3" t="s">
        <v>34</v>
      </c>
      <c r="E580" s="3" t="s">
        <v>25</v>
      </c>
      <c r="F580" s="3" t="s">
        <v>25</v>
      </c>
      <c r="G580" s="3" t="s">
        <v>25</v>
      </c>
      <c r="H580" s="3" t="s">
        <v>25</v>
      </c>
      <c r="I580" s="6">
        <v>44440</v>
      </c>
      <c r="J580" s="4">
        <v>0</v>
      </c>
      <c r="K580" s="4">
        <v>0</v>
      </c>
      <c r="L580" s="4">
        <v>442.31700000000001</v>
      </c>
      <c r="M580" s="4">
        <v>442.31700000000001</v>
      </c>
      <c r="N580" s="4">
        <v>442.31700000000001</v>
      </c>
      <c r="O580" s="4">
        <v>442.31700000000001</v>
      </c>
      <c r="P580" s="4">
        <v>674</v>
      </c>
      <c r="Q580" s="3" t="s">
        <v>26</v>
      </c>
      <c r="R580" s="3">
        <v>0</v>
      </c>
      <c r="S580" s="4">
        <v>0</v>
      </c>
      <c r="T580" s="4">
        <v>35</v>
      </c>
      <c r="U580" s="4">
        <v>62</v>
      </c>
      <c r="V580" s="4">
        <f>IF(ISERROR(VLOOKUP($S$580,'TAR FIN'!$A$1:$O$91,15,0)),0,VLOOKUP($S$580,'TAR FIN'!$A$1:$O$91,15,0))</f>
        <v>0</v>
      </c>
      <c r="W580" s="4">
        <f>IF(ISERROR(VLOOKUP($T$580,'TAR FIN'!$A$1:$O$91,15,0)),0,VLOOKUP($T$580,'TAR FIN'!$A$1:$O$91,15,0))</f>
        <v>312.64999999999998</v>
      </c>
      <c r="X580" s="4">
        <f>IF(ISERROR(VLOOKUP($U$580,'TAR FIN'!$A$1:$O$91,15,0)),0,VLOOKUP($U$580,'TAR FIN'!$A$1:$O$91,15,0))</f>
        <v>249.25</v>
      </c>
      <c r="Y580" s="4"/>
      <c r="Z580" s="4">
        <f ca="1">('TUSD BE'!$AM$51+'TUSD BF'!$AM$51+'TUSD CVA'!$AM$51)*1</f>
        <v>387.73720067118109</v>
      </c>
      <c r="AA580" s="4">
        <f>('TE BE'!$AB$41+'TE BF'!$AB$41+'TE CVA'!$AB$41)*1</f>
        <v>203.38274236935246</v>
      </c>
      <c r="AB580" s="4">
        <f>$K$580*$V$580</f>
        <v>0</v>
      </c>
      <c r="AC580" s="4">
        <f>$M$580*$W$580</f>
        <v>138290.41005000001</v>
      </c>
      <c r="AD580" s="4">
        <f>$O$580*$X$580</f>
        <v>110247.51225</v>
      </c>
      <c r="AE580" s="4">
        <f>$K$580*$Y$580</f>
        <v>0</v>
      </c>
      <c r="AF580" s="4">
        <f ca="1">$M$580*$Z$580</f>
        <v>171502.7553892748</v>
      </c>
      <c r="AG580" s="4">
        <f>$O$580*$AA$580</f>
        <v>89959.644456584865</v>
      </c>
    </row>
    <row r="581" spans="1:33" ht="11.25" customHeight="1" x14ac:dyDescent="0.25">
      <c r="A581" s="3" t="s">
        <v>27</v>
      </c>
      <c r="B581" s="3" t="s">
        <v>33</v>
      </c>
      <c r="C581" s="3" t="s">
        <v>23</v>
      </c>
      <c r="D581" s="3" t="s">
        <v>34</v>
      </c>
      <c r="E581" s="3" t="s">
        <v>25</v>
      </c>
      <c r="F581" s="3" t="s">
        <v>25</v>
      </c>
      <c r="G581" s="3" t="s">
        <v>25</v>
      </c>
      <c r="H581" s="3" t="s">
        <v>25</v>
      </c>
      <c r="I581" s="6">
        <v>44440</v>
      </c>
      <c r="J581" s="4">
        <v>0</v>
      </c>
      <c r="K581" s="4">
        <v>0</v>
      </c>
      <c r="L581" s="4">
        <v>-0.74299999999999999</v>
      </c>
      <c r="M581" s="4">
        <v>-0.74299999999999999</v>
      </c>
      <c r="N581" s="4">
        <v>-0.74299999999999999</v>
      </c>
      <c r="O581" s="4">
        <v>-0.74299999999999999</v>
      </c>
      <c r="P581" s="4">
        <v>0</v>
      </c>
      <c r="Q581" s="3" t="s">
        <v>26</v>
      </c>
      <c r="R581" s="3">
        <v>0</v>
      </c>
      <c r="S581" s="4">
        <v>0</v>
      </c>
      <c r="T581" s="4">
        <v>35</v>
      </c>
      <c r="U581" s="4">
        <v>62</v>
      </c>
      <c r="V581" s="4">
        <f>IF(ISERROR(VLOOKUP($S$581,'TAR FIN'!$A$1:$O$91,15,0)),0,VLOOKUP($S$581,'TAR FIN'!$A$1:$O$91,15,0))</f>
        <v>0</v>
      </c>
      <c r="W581" s="4">
        <f>IF(ISERROR(VLOOKUP($T$581,'TAR FIN'!$A$1:$O$91,15,0)),0,VLOOKUP($T$581,'TAR FIN'!$A$1:$O$91,15,0))</f>
        <v>312.64999999999998</v>
      </c>
      <c r="X581" s="4">
        <f>IF(ISERROR(VLOOKUP($U$581,'TAR FIN'!$A$1:$O$91,15,0)),0,VLOOKUP($U$581,'TAR FIN'!$A$1:$O$91,15,0))</f>
        <v>249.25</v>
      </c>
      <c r="Y581" s="4"/>
      <c r="Z581" s="4">
        <f ca="1">('TUSD BE'!$AM$51+'TUSD BF'!$AM$51+'TUSD CVA'!$AM$51)*1</f>
        <v>387.73720067118109</v>
      </c>
      <c r="AA581" s="4">
        <f>('TE BE'!$AB$41+'TE BF'!$AB$41+'TE CVA'!$AB$41)*1</f>
        <v>203.38274236935246</v>
      </c>
      <c r="AB581" s="4">
        <f>$K$581*$V$581</f>
        <v>0</v>
      </c>
      <c r="AC581" s="4">
        <f>$M$581*$W$581</f>
        <v>-232.29894999999999</v>
      </c>
      <c r="AD581" s="4">
        <f>$O$581*$X$581</f>
        <v>-185.19274999999999</v>
      </c>
      <c r="AE581" s="4">
        <f>$K$581*$Y$581</f>
        <v>0</v>
      </c>
      <c r="AF581" s="4">
        <f ca="1">$M$581*$Z$581</f>
        <v>-288.08874009868754</v>
      </c>
      <c r="AG581" s="4">
        <f>$O$581*$AA$581</f>
        <v>-151.11337758042887</v>
      </c>
    </row>
    <row r="582" spans="1:33" ht="11.25" customHeight="1" x14ac:dyDescent="0.25">
      <c r="A582" s="3" t="s">
        <v>28</v>
      </c>
      <c r="B582" s="3" t="s">
        <v>33</v>
      </c>
      <c r="C582" s="3" t="s">
        <v>23</v>
      </c>
      <c r="D582" s="3" t="s">
        <v>34</v>
      </c>
      <c r="E582" s="3" t="s">
        <v>25</v>
      </c>
      <c r="F582" s="3" t="s">
        <v>25</v>
      </c>
      <c r="G582" s="3" t="s">
        <v>25</v>
      </c>
      <c r="H582" s="3" t="s">
        <v>25</v>
      </c>
      <c r="I582" s="6">
        <v>44440</v>
      </c>
      <c r="J582" s="4">
        <v>0</v>
      </c>
      <c r="K582" s="4">
        <v>0</v>
      </c>
      <c r="L582" s="4">
        <v>64.641000000000005</v>
      </c>
      <c r="M582" s="4">
        <v>64.641000000000005</v>
      </c>
      <c r="N582" s="4">
        <v>64.641000000000005</v>
      </c>
      <c r="O582" s="4">
        <v>64.641000000000005</v>
      </c>
      <c r="P582" s="4">
        <v>40</v>
      </c>
      <c r="Q582" s="3" t="s">
        <v>26</v>
      </c>
      <c r="R582" s="3">
        <v>0</v>
      </c>
      <c r="S582" s="4">
        <v>0</v>
      </c>
      <c r="T582" s="4">
        <v>35</v>
      </c>
      <c r="U582" s="4">
        <v>62</v>
      </c>
      <c r="V582" s="4">
        <f>IF(ISERROR(VLOOKUP($S$582,'TAR FIN'!$A$1:$O$91,15,0)),0,VLOOKUP($S$582,'TAR FIN'!$A$1:$O$91,15,0))</f>
        <v>0</v>
      </c>
      <c r="W582" s="4">
        <f>IF(ISERROR(VLOOKUP($T$582,'TAR FIN'!$A$1:$O$91,15,0)),0,VLOOKUP($T$582,'TAR FIN'!$A$1:$O$91,15,0))</f>
        <v>312.64999999999998</v>
      </c>
      <c r="X582" s="4">
        <f>IF(ISERROR(VLOOKUP($U$582,'TAR FIN'!$A$1:$O$91,15,0)),0,VLOOKUP($U$582,'TAR FIN'!$A$1:$O$91,15,0))</f>
        <v>249.25</v>
      </c>
      <c r="Y582" s="4"/>
      <c r="Z582" s="4">
        <f ca="1">('TUSD BE'!$AM$51+'TUSD BF'!$AM$51+'TUSD CVA'!$AM$51)*1</f>
        <v>387.73720067118109</v>
      </c>
      <c r="AA582" s="4">
        <f>('TE BE'!$AB$41+'TE BF'!$AB$41+'TE CVA'!$AB$41)*1</f>
        <v>203.38274236935246</v>
      </c>
      <c r="AB582" s="4">
        <f>$K$582*$V$582</f>
        <v>0</v>
      </c>
      <c r="AC582" s="4">
        <f>$M$582*$W$582</f>
        <v>20210.00865</v>
      </c>
      <c r="AD582" s="4">
        <f>$O$582*$X$582</f>
        <v>16111.769250000001</v>
      </c>
      <c r="AE582" s="4">
        <f>$K$582*$Y$582</f>
        <v>0</v>
      </c>
      <c r="AF582" s="4">
        <f ca="1">$M$582*$Z$582</f>
        <v>25063.720388585818</v>
      </c>
      <c r="AG582" s="4">
        <f>$O$582*$AA$582</f>
        <v>13146.863849497313</v>
      </c>
    </row>
    <row r="583" spans="1:33" ht="11.25" customHeight="1" x14ac:dyDescent="0.25">
      <c r="A583" s="3" t="s">
        <v>21</v>
      </c>
      <c r="B583" s="3" t="s">
        <v>33</v>
      </c>
      <c r="C583" s="3" t="s">
        <v>23</v>
      </c>
      <c r="D583" s="3" t="s">
        <v>34</v>
      </c>
      <c r="E583" s="3" t="s">
        <v>25</v>
      </c>
      <c r="F583" s="3" t="s">
        <v>25</v>
      </c>
      <c r="G583" s="3" t="s">
        <v>25</v>
      </c>
      <c r="H583" s="3" t="s">
        <v>25</v>
      </c>
      <c r="I583" s="6">
        <v>44470</v>
      </c>
      <c r="J583" s="4">
        <v>0</v>
      </c>
      <c r="K583" s="4">
        <v>0</v>
      </c>
      <c r="L583" s="4">
        <v>447.57900000000001</v>
      </c>
      <c r="M583" s="4">
        <v>447.57900000000001</v>
      </c>
      <c r="N583" s="4">
        <v>447.57900000000001</v>
      </c>
      <c r="O583" s="4">
        <v>447.57900000000001</v>
      </c>
      <c r="P583" s="4">
        <v>678</v>
      </c>
      <c r="Q583" s="3" t="s">
        <v>26</v>
      </c>
      <c r="R583" s="3">
        <v>0</v>
      </c>
      <c r="S583" s="4">
        <v>0</v>
      </c>
      <c r="T583" s="4">
        <v>35</v>
      </c>
      <c r="U583" s="4">
        <v>62</v>
      </c>
      <c r="V583" s="4">
        <f>IF(ISERROR(VLOOKUP($S$583,'TAR FIN'!$A$1:$O$91,15,0)),0,VLOOKUP($S$583,'TAR FIN'!$A$1:$O$91,15,0))</f>
        <v>0</v>
      </c>
      <c r="W583" s="4">
        <f>IF(ISERROR(VLOOKUP($T$583,'TAR FIN'!$A$1:$O$91,15,0)),0,VLOOKUP($T$583,'TAR FIN'!$A$1:$O$91,15,0))</f>
        <v>312.64999999999998</v>
      </c>
      <c r="X583" s="4">
        <f>IF(ISERROR(VLOOKUP($U$583,'TAR FIN'!$A$1:$O$91,15,0)),0,VLOOKUP($U$583,'TAR FIN'!$A$1:$O$91,15,0))</f>
        <v>249.25</v>
      </c>
      <c r="Y583" s="4"/>
      <c r="Z583" s="4">
        <f ca="1">('TUSD BE'!$AM$51+'TUSD BF'!$AM$51+'TUSD CVA'!$AM$51)*1</f>
        <v>387.73720067118109</v>
      </c>
      <c r="AA583" s="4">
        <f>('TE BE'!$AB$41+'TE BF'!$AB$41+'TE CVA'!$AB$41)*1</f>
        <v>203.38274236935246</v>
      </c>
      <c r="AB583" s="4">
        <f>$K$583*$V$583</f>
        <v>0</v>
      </c>
      <c r="AC583" s="4">
        <f>$M$583*$W$583</f>
        <v>139935.57434999998</v>
      </c>
      <c r="AD583" s="4">
        <f>$O$583*$X$583</f>
        <v>111559.06575000001</v>
      </c>
      <c r="AE583" s="4">
        <f>$K$583*$Y$583</f>
        <v>0</v>
      </c>
      <c r="AF583" s="4">
        <f ca="1">$M$583*$Z$583</f>
        <v>173543.02853920657</v>
      </c>
      <c r="AG583" s="4">
        <f>$O$583*$AA$583</f>
        <v>91029.844446932402</v>
      </c>
    </row>
    <row r="584" spans="1:33" ht="11.25" customHeight="1" x14ac:dyDescent="0.25">
      <c r="A584" s="3" t="s">
        <v>27</v>
      </c>
      <c r="B584" s="3" t="s">
        <v>33</v>
      </c>
      <c r="C584" s="3" t="s">
        <v>23</v>
      </c>
      <c r="D584" s="3" t="s">
        <v>34</v>
      </c>
      <c r="E584" s="3" t="s">
        <v>25</v>
      </c>
      <c r="F584" s="3" t="s">
        <v>25</v>
      </c>
      <c r="G584" s="3" t="s">
        <v>25</v>
      </c>
      <c r="H584" s="3" t="s">
        <v>25</v>
      </c>
      <c r="I584" s="6">
        <v>44470</v>
      </c>
      <c r="J584" s="4">
        <v>0</v>
      </c>
      <c r="K584" s="4">
        <v>0</v>
      </c>
      <c r="L584" s="4">
        <v>-272.85000000000002</v>
      </c>
      <c r="M584" s="4">
        <v>-272.85000000000002</v>
      </c>
      <c r="N584" s="4">
        <v>-272.85000000000002</v>
      </c>
      <c r="O584" s="4">
        <v>-272.85000000000002</v>
      </c>
      <c r="P584" s="4">
        <v>0</v>
      </c>
      <c r="Q584" s="3" t="s">
        <v>26</v>
      </c>
      <c r="R584" s="3">
        <v>0</v>
      </c>
      <c r="S584" s="4">
        <v>0</v>
      </c>
      <c r="T584" s="4">
        <v>35</v>
      </c>
      <c r="U584" s="4">
        <v>62</v>
      </c>
      <c r="V584" s="4">
        <f>IF(ISERROR(VLOOKUP($S$584,'TAR FIN'!$A$1:$O$91,15,0)),0,VLOOKUP($S$584,'TAR FIN'!$A$1:$O$91,15,0))</f>
        <v>0</v>
      </c>
      <c r="W584" s="4">
        <f>IF(ISERROR(VLOOKUP($T$584,'TAR FIN'!$A$1:$O$91,15,0)),0,VLOOKUP($T$584,'TAR FIN'!$A$1:$O$91,15,0))</f>
        <v>312.64999999999998</v>
      </c>
      <c r="X584" s="4">
        <f>IF(ISERROR(VLOOKUP($U$584,'TAR FIN'!$A$1:$O$91,15,0)),0,VLOOKUP($U$584,'TAR FIN'!$A$1:$O$91,15,0))</f>
        <v>249.25</v>
      </c>
      <c r="Y584" s="4"/>
      <c r="Z584" s="4">
        <f ca="1">('TUSD BE'!$AM$51+'TUSD BF'!$AM$51+'TUSD CVA'!$AM$51)*1</f>
        <v>387.73720067118109</v>
      </c>
      <c r="AA584" s="4">
        <f>('TE BE'!$AB$41+'TE BF'!$AB$41+'TE CVA'!$AB$41)*1</f>
        <v>203.38274236935246</v>
      </c>
      <c r="AB584" s="4">
        <f>$K$584*$V$584</f>
        <v>0</v>
      </c>
      <c r="AC584" s="4">
        <f>$M$584*$W$584</f>
        <v>-85306.552500000005</v>
      </c>
      <c r="AD584" s="4">
        <f>$O$584*$X$584</f>
        <v>-68007.862500000003</v>
      </c>
      <c r="AE584" s="4">
        <f>$K$584*$Y$584</f>
        <v>0</v>
      </c>
      <c r="AF584" s="4">
        <f ca="1">$M$584*$Z$584</f>
        <v>-105794.09520313177</v>
      </c>
      <c r="AG584" s="4">
        <f>$O$584*$AA$584</f>
        <v>-55492.981255477825</v>
      </c>
    </row>
    <row r="585" spans="1:33" ht="11.25" customHeight="1" x14ac:dyDescent="0.25">
      <c r="A585" s="3" t="s">
        <v>28</v>
      </c>
      <c r="B585" s="3" t="s">
        <v>33</v>
      </c>
      <c r="C585" s="3" t="s">
        <v>23</v>
      </c>
      <c r="D585" s="3" t="s">
        <v>34</v>
      </c>
      <c r="E585" s="3" t="s">
        <v>25</v>
      </c>
      <c r="F585" s="3" t="s">
        <v>25</v>
      </c>
      <c r="G585" s="3" t="s">
        <v>25</v>
      </c>
      <c r="H585" s="3" t="s">
        <v>25</v>
      </c>
      <c r="I585" s="6">
        <v>44470</v>
      </c>
      <c r="J585" s="4">
        <v>0</v>
      </c>
      <c r="K585" s="4">
        <v>0</v>
      </c>
      <c r="L585" s="4">
        <v>64.072000000000003</v>
      </c>
      <c r="M585" s="4">
        <v>64.072000000000003</v>
      </c>
      <c r="N585" s="4">
        <v>64.072000000000003</v>
      </c>
      <c r="O585" s="4">
        <v>64.072000000000003</v>
      </c>
      <c r="P585" s="4">
        <v>40</v>
      </c>
      <c r="Q585" s="3" t="s">
        <v>26</v>
      </c>
      <c r="R585" s="3">
        <v>0</v>
      </c>
      <c r="S585" s="4">
        <v>0</v>
      </c>
      <c r="T585" s="4">
        <v>35</v>
      </c>
      <c r="U585" s="4">
        <v>62</v>
      </c>
      <c r="V585" s="4">
        <f>IF(ISERROR(VLOOKUP($S$585,'TAR FIN'!$A$1:$O$91,15,0)),0,VLOOKUP($S$585,'TAR FIN'!$A$1:$O$91,15,0))</f>
        <v>0</v>
      </c>
      <c r="W585" s="4">
        <f>IF(ISERROR(VLOOKUP($T$585,'TAR FIN'!$A$1:$O$91,15,0)),0,VLOOKUP($T$585,'TAR FIN'!$A$1:$O$91,15,0))</f>
        <v>312.64999999999998</v>
      </c>
      <c r="X585" s="4">
        <f>IF(ISERROR(VLOOKUP($U$585,'TAR FIN'!$A$1:$O$91,15,0)),0,VLOOKUP($U$585,'TAR FIN'!$A$1:$O$91,15,0))</f>
        <v>249.25</v>
      </c>
      <c r="Y585" s="4"/>
      <c r="Z585" s="4">
        <f ca="1">('TUSD BE'!$AM$51+'TUSD BF'!$AM$51+'TUSD CVA'!$AM$51)*1</f>
        <v>387.73720067118109</v>
      </c>
      <c r="AA585" s="4">
        <f>('TE BE'!$AB$41+'TE BF'!$AB$41+'TE CVA'!$AB$41)*1</f>
        <v>203.38274236935246</v>
      </c>
      <c r="AB585" s="4">
        <f>$K$585*$V$585</f>
        <v>0</v>
      </c>
      <c r="AC585" s="4">
        <f>$M$585*$W$585</f>
        <v>20032.110799999999</v>
      </c>
      <c r="AD585" s="4">
        <f>$O$585*$X$585</f>
        <v>15969.946</v>
      </c>
      <c r="AE585" s="4">
        <f>$K$585*$Y$585</f>
        <v>0</v>
      </c>
      <c r="AF585" s="4">
        <f ca="1">$M$585*$Z$585</f>
        <v>24843.097921403914</v>
      </c>
      <c r="AG585" s="4">
        <f>$O$585*$AA$585</f>
        <v>13031.139069089151</v>
      </c>
    </row>
    <row r="586" spans="1:33" ht="11.25" customHeight="1" x14ac:dyDescent="0.25">
      <c r="A586" s="3" t="s">
        <v>21</v>
      </c>
      <c r="B586" s="3" t="s">
        <v>33</v>
      </c>
      <c r="C586" s="3" t="s">
        <v>23</v>
      </c>
      <c r="D586" s="3" t="s">
        <v>34</v>
      </c>
      <c r="E586" s="3" t="s">
        <v>25</v>
      </c>
      <c r="F586" s="3" t="s">
        <v>25</v>
      </c>
      <c r="G586" s="3" t="s">
        <v>25</v>
      </c>
      <c r="H586" s="3" t="s">
        <v>25</v>
      </c>
      <c r="I586" s="6">
        <v>44501</v>
      </c>
      <c r="J586" s="4">
        <v>0</v>
      </c>
      <c r="K586" s="4">
        <v>0</v>
      </c>
      <c r="L586" s="4">
        <v>432.14800000000002</v>
      </c>
      <c r="M586" s="4">
        <v>432.14800000000002</v>
      </c>
      <c r="N586" s="4">
        <v>432.14800000000002</v>
      </c>
      <c r="O586" s="4">
        <v>432.14800000000002</v>
      </c>
      <c r="P586" s="4">
        <v>683</v>
      </c>
      <c r="Q586" s="3" t="s">
        <v>26</v>
      </c>
      <c r="R586" s="3">
        <v>0</v>
      </c>
      <c r="S586" s="4">
        <v>0</v>
      </c>
      <c r="T586" s="4">
        <v>35</v>
      </c>
      <c r="U586" s="4">
        <v>62</v>
      </c>
      <c r="V586" s="4">
        <f>IF(ISERROR(VLOOKUP($S$586,'TAR FIN'!$A$1:$O$91,15,0)),0,VLOOKUP($S$586,'TAR FIN'!$A$1:$O$91,15,0))</f>
        <v>0</v>
      </c>
      <c r="W586" s="4">
        <f>IF(ISERROR(VLOOKUP($T$586,'TAR FIN'!$A$1:$O$91,15,0)),0,VLOOKUP($T$586,'TAR FIN'!$A$1:$O$91,15,0))</f>
        <v>312.64999999999998</v>
      </c>
      <c r="X586" s="4">
        <f>IF(ISERROR(VLOOKUP($U$586,'TAR FIN'!$A$1:$O$91,15,0)),0,VLOOKUP($U$586,'TAR FIN'!$A$1:$O$91,15,0))</f>
        <v>249.25</v>
      </c>
      <c r="Y586" s="4"/>
      <c r="Z586" s="4">
        <f ca="1">('TUSD BE'!$AM$51+'TUSD BF'!$AM$51+'TUSD CVA'!$AM$51)*1</f>
        <v>387.73720067118109</v>
      </c>
      <c r="AA586" s="4">
        <f>('TE BE'!$AB$41+'TE BF'!$AB$41+'TE CVA'!$AB$41)*1</f>
        <v>203.38274236935246</v>
      </c>
      <c r="AB586" s="4">
        <f>$K$586*$V$586</f>
        <v>0</v>
      </c>
      <c r="AC586" s="4">
        <f>$M$586*$W$586</f>
        <v>135111.0722</v>
      </c>
      <c r="AD586" s="4">
        <f>$O$586*$X$586</f>
        <v>107712.88900000001</v>
      </c>
      <c r="AE586" s="4">
        <f>$K$586*$Y$586</f>
        <v>0</v>
      </c>
      <c r="AF586" s="4">
        <f ca="1">$M$586*$Z$586</f>
        <v>167559.85579564958</v>
      </c>
      <c r="AG586" s="4">
        <f>$O$586*$AA$586</f>
        <v>87891.445349430927</v>
      </c>
    </row>
    <row r="587" spans="1:33" ht="11.25" customHeight="1" x14ac:dyDescent="0.25">
      <c r="A587" s="3" t="s">
        <v>27</v>
      </c>
      <c r="B587" s="3" t="s">
        <v>33</v>
      </c>
      <c r="C587" s="3" t="s">
        <v>23</v>
      </c>
      <c r="D587" s="3" t="s">
        <v>34</v>
      </c>
      <c r="E587" s="3" t="s">
        <v>25</v>
      </c>
      <c r="F587" s="3" t="s">
        <v>25</v>
      </c>
      <c r="G587" s="3" t="s">
        <v>25</v>
      </c>
      <c r="H587" s="3" t="s">
        <v>25</v>
      </c>
      <c r="I587" s="6">
        <v>44501</v>
      </c>
      <c r="J587" s="4">
        <v>0</v>
      </c>
      <c r="K587" s="4">
        <v>0</v>
      </c>
      <c r="L587" s="4">
        <v>-232.19200000000001</v>
      </c>
      <c r="M587" s="4">
        <v>-232.19200000000001</v>
      </c>
      <c r="N587" s="4">
        <v>-232.19200000000001</v>
      </c>
      <c r="O587" s="4">
        <v>-232.19200000000001</v>
      </c>
      <c r="P587" s="4">
        <v>0</v>
      </c>
      <c r="Q587" s="3" t="s">
        <v>26</v>
      </c>
      <c r="R587" s="3">
        <v>0</v>
      </c>
      <c r="S587" s="4">
        <v>0</v>
      </c>
      <c r="T587" s="4">
        <v>35</v>
      </c>
      <c r="U587" s="4">
        <v>62</v>
      </c>
      <c r="V587" s="4">
        <f>IF(ISERROR(VLOOKUP($S$587,'TAR FIN'!$A$1:$O$91,15,0)),0,VLOOKUP($S$587,'TAR FIN'!$A$1:$O$91,15,0))</f>
        <v>0</v>
      </c>
      <c r="W587" s="4">
        <f>IF(ISERROR(VLOOKUP($T$587,'TAR FIN'!$A$1:$O$91,15,0)),0,VLOOKUP($T$587,'TAR FIN'!$A$1:$O$91,15,0))</f>
        <v>312.64999999999998</v>
      </c>
      <c r="X587" s="4">
        <f>IF(ISERROR(VLOOKUP($U$587,'TAR FIN'!$A$1:$O$91,15,0)),0,VLOOKUP($U$587,'TAR FIN'!$A$1:$O$91,15,0))</f>
        <v>249.25</v>
      </c>
      <c r="Y587" s="4"/>
      <c r="Z587" s="4">
        <f ca="1">('TUSD BE'!$AM$51+'TUSD BF'!$AM$51+'TUSD CVA'!$AM$51)*1</f>
        <v>387.73720067118109</v>
      </c>
      <c r="AA587" s="4">
        <f>('TE BE'!$AB$41+'TE BF'!$AB$41+'TE CVA'!$AB$41)*1</f>
        <v>203.38274236935246</v>
      </c>
      <c r="AB587" s="4">
        <f>$K$587*$V$587</f>
        <v>0</v>
      </c>
      <c r="AC587" s="4">
        <f>$M$587*$W$587</f>
        <v>-72594.828800000003</v>
      </c>
      <c r="AD587" s="4">
        <f>$O$587*$X$587</f>
        <v>-57873.856</v>
      </c>
      <c r="AE587" s="4">
        <f>$K$587*$Y$587</f>
        <v>0</v>
      </c>
      <c r="AF587" s="4">
        <f ca="1">$M$587*$Z$587</f>
        <v>-90029.476098242885</v>
      </c>
      <c r="AG587" s="4">
        <f>$O$587*$AA$587</f>
        <v>-47223.845716224685</v>
      </c>
    </row>
    <row r="588" spans="1:33" ht="11.25" customHeight="1" x14ac:dyDescent="0.25">
      <c r="A588" s="3" t="s">
        <v>28</v>
      </c>
      <c r="B588" s="3" t="s">
        <v>33</v>
      </c>
      <c r="C588" s="3" t="s">
        <v>23</v>
      </c>
      <c r="D588" s="3" t="s">
        <v>34</v>
      </c>
      <c r="E588" s="3" t="s">
        <v>25</v>
      </c>
      <c r="F588" s="3" t="s">
        <v>25</v>
      </c>
      <c r="G588" s="3" t="s">
        <v>25</v>
      </c>
      <c r="H588" s="3" t="s">
        <v>25</v>
      </c>
      <c r="I588" s="6">
        <v>44501</v>
      </c>
      <c r="J588" s="4">
        <v>0</v>
      </c>
      <c r="K588" s="4">
        <v>0</v>
      </c>
      <c r="L588" s="4">
        <v>42.582000000000001</v>
      </c>
      <c r="M588" s="4">
        <v>42.582000000000001</v>
      </c>
      <c r="N588" s="4">
        <v>42.582000000000001</v>
      </c>
      <c r="O588" s="4">
        <v>42.582000000000001</v>
      </c>
      <c r="P588" s="4">
        <v>43</v>
      </c>
      <c r="Q588" s="3" t="s">
        <v>26</v>
      </c>
      <c r="R588" s="3">
        <v>0</v>
      </c>
      <c r="S588" s="4">
        <v>0</v>
      </c>
      <c r="T588" s="4">
        <v>35</v>
      </c>
      <c r="U588" s="4">
        <v>62</v>
      </c>
      <c r="V588" s="4">
        <f>IF(ISERROR(VLOOKUP($S$588,'TAR FIN'!$A$1:$O$91,15,0)),0,VLOOKUP($S$588,'TAR FIN'!$A$1:$O$91,15,0))</f>
        <v>0</v>
      </c>
      <c r="W588" s="4">
        <f>IF(ISERROR(VLOOKUP($T$588,'TAR FIN'!$A$1:$O$91,15,0)),0,VLOOKUP($T$588,'TAR FIN'!$A$1:$O$91,15,0))</f>
        <v>312.64999999999998</v>
      </c>
      <c r="X588" s="4">
        <f>IF(ISERROR(VLOOKUP($U$588,'TAR FIN'!$A$1:$O$91,15,0)),0,VLOOKUP($U$588,'TAR FIN'!$A$1:$O$91,15,0))</f>
        <v>249.25</v>
      </c>
      <c r="Y588" s="4"/>
      <c r="Z588" s="4">
        <f ca="1">('TUSD BE'!$AM$51+'TUSD BF'!$AM$51+'TUSD CVA'!$AM$51)*1</f>
        <v>387.73720067118109</v>
      </c>
      <c r="AA588" s="4">
        <f>('TE BE'!$AB$41+'TE BF'!$AB$41+'TE CVA'!$AB$41)*1</f>
        <v>203.38274236935246</v>
      </c>
      <c r="AB588" s="4">
        <f>$K$588*$V$588</f>
        <v>0</v>
      </c>
      <c r="AC588" s="4">
        <f>$M$588*$W$588</f>
        <v>13313.262299999999</v>
      </c>
      <c r="AD588" s="4">
        <f>$O$588*$X$588</f>
        <v>10613.5635</v>
      </c>
      <c r="AE588" s="4">
        <f>$K$588*$Y$588</f>
        <v>0</v>
      </c>
      <c r="AF588" s="4">
        <f ca="1">$M$588*$Z$588</f>
        <v>16510.625478980233</v>
      </c>
      <c r="AG588" s="4">
        <f>$O$588*$AA$588</f>
        <v>8660.4439355717659</v>
      </c>
    </row>
    <row r="589" spans="1:33" ht="11.25" customHeight="1" x14ac:dyDescent="0.25">
      <c r="A589" s="3" t="s">
        <v>21</v>
      </c>
      <c r="B589" s="3" t="s">
        <v>33</v>
      </c>
      <c r="C589" s="3" t="s">
        <v>23</v>
      </c>
      <c r="D589" s="3" t="s">
        <v>34</v>
      </c>
      <c r="E589" s="3" t="s">
        <v>25</v>
      </c>
      <c r="F589" s="3" t="s">
        <v>25</v>
      </c>
      <c r="G589" s="3" t="s">
        <v>25</v>
      </c>
      <c r="H589" s="3" t="s">
        <v>25</v>
      </c>
      <c r="I589" s="6">
        <v>44531</v>
      </c>
      <c r="J589" s="4">
        <v>0</v>
      </c>
      <c r="K589" s="4">
        <v>0</v>
      </c>
      <c r="L589" s="4">
        <v>453.23700000000002</v>
      </c>
      <c r="M589" s="4">
        <v>453.23700000000002</v>
      </c>
      <c r="N589" s="4">
        <v>453.23700000000002</v>
      </c>
      <c r="O589" s="4">
        <v>453.23700000000002</v>
      </c>
      <c r="P589" s="4">
        <v>683</v>
      </c>
      <c r="Q589" s="3" t="s">
        <v>26</v>
      </c>
      <c r="R589" s="3">
        <v>0</v>
      </c>
      <c r="S589" s="4">
        <v>0</v>
      </c>
      <c r="T589" s="4">
        <v>35</v>
      </c>
      <c r="U589" s="4">
        <v>62</v>
      </c>
      <c r="V589" s="4">
        <f>IF(ISERROR(VLOOKUP($S$589,'TAR FIN'!$A$1:$O$91,15,0)),0,VLOOKUP($S$589,'TAR FIN'!$A$1:$O$91,15,0))</f>
        <v>0</v>
      </c>
      <c r="W589" s="4">
        <f>IF(ISERROR(VLOOKUP($T$589,'TAR FIN'!$A$1:$O$91,15,0)),0,VLOOKUP($T$589,'TAR FIN'!$A$1:$O$91,15,0))</f>
        <v>312.64999999999998</v>
      </c>
      <c r="X589" s="4">
        <f>IF(ISERROR(VLOOKUP($U$589,'TAR FIN'!$A$1:$O$91,15,0)),0,VLOOKUP($U$589,'TAR FIN'!$A$1:$O$91,15,0))</f>
        <v>249.25</v>
      </c>
      <c r="Y589" s="4"/>
      <c r="Z589" s="4">
        <f ca="1">('TUSD BE'!$AM$51+'TUSD BF'!$AM$51+'TUSD CVA'!$AM$51)*1</f>
        <v>387.73720067118109</v>
      </c>
      <c r="AA589" s="4">
        <f>('TE BE'!$AB$41+'TE BF'!$AB$41+'TE CVA'!$AB$41)*1</f>
        <v>203.38274236935246</v>
      </c>
      <c r="AB589" s="4">
        <f>$K$589*$V$589</f>
        <v>0</v>
      </c>
      <c r="AC589" s="4">
        <f>$M$589*$W$589</f>
        <v>141704.54804999998</v>
      </c>
      <c r="AD589" s="4">
        <f>$O$589*$X$589</f>
        <v>112969.32225000001</v>
      </c>
      <c r="AE589" s="4">
        <f>$K$589*$Y$589</f>
        <v>0</v>
      </c>
      <c r="AF589" s="4">
        <f ca="1">$M$589*$Z$589</f>
        <v>175736.84562060412</v>
      </c>
      <c r="AG589" s="4">
        <f>$O$589*$AA$589</f>
        <v>92180.584003258205</v>
      </c>
    </row>
    <row r="590" spans="1:33" ht="11.25" customHeight="1" x14ac:dyDescent="0.25">
      <c r="A590" s="3" t="s">
        <v>28</v>
      </c>
      <c r="B590" s="3" t="s">
        <v>33</v>
      </c>
      <c r="C590" s="3" t="s">
        <v>23</v>
      </c>
      <c r="D590" s="3" t="s">
        <v>34</v>
      </c>
      <c r="E590" s="3" t="s">
        <v>25</v>
      </c>
      <c r="F590" s="3" t="s">
        <v>25</v>
      </c>
      <c r="G590" s="3" t="s">
        <v>25</v>
      </c>
      <c r="H590" s="3" t="s">
        <v>25</v>
      </c>
      <c r="I590" s="6">
        <v>44531</v>
      </c>
      <c r="J590" s="4">
        <v>0</v>
      </c>
      <c r="K590" s="4">
        <v>0</v>
      </c>
      <c r="L590" s="4">
        <v>45.506999999999998</v>
      </c>
      <c r="M590" s="4">
        <v>45.506999999999998</v>
      </c>
      <c r="N590" s="4">
        <v>45.506999999999998</v>
      </c>
      <c r="O590" s="4">
        <v>45.506999999999998</v>
      </c>
      <c r="P590" s="4">
        <v>47</v>
      </c>
      <c r="Q590" s="3" t="s">
        <v>26</v>
      </c>
      <c r="R590" s="3">
        <v>0</v>
      </c>
      <c r="S590" s="4">
        <v>0</v>
      </c>
      <c r="T590" s="4">
        <v>35</v>
      </c>
      <c r="U590" s="4">
        <v>62</v>
      </c>
      <c r="V590" s="4">
        <f>IF(ISERROR(VLOOKUP($S$590,'TAR FIN'!$A$1:$O$91,15,0)),0,VLOOKUP($S$590,'TAR FIN'!$A$1:$O$91,15,0))</f>
        <v>0</v>
      </c>
      <c r="W590" s="4">
        <f>IF(ISERROR(VLOOKUP($T$590,'TAR FIN'!$A$1:$O$91,15,0)),0,VLOOKUP($T$590,'TAR FIN'!$A$1:$O$91,15,0))</f>
        <v>312.64999999999998</v>
      </c>
      <c r="X590" s="4">
        <f>IF(ISERROR(VLOOKUP($U$590,'TAR FIN'!$A$1:$O$91,15,0)),0,VLOOKUP($U$590,'TAR FIN'!$A$1:$O$91,15,0))</f>
        <v>249.25</v>
      </c>
      <c r="Y590" s="4"/>
      <c r="Z590" s="4">
        <f ca="1">('TUSD BE'!$AM$51+'TUSD BF'!$AM$51+'TUSD CVA'!$AM$51)*1</f>
        <v>387.73720067118109</v>
      </c>
      <c r="AA590" s="4">
        <f>('TE BE'!$AB$41+'TE BF'!$AB$41+'TE CVA'!$AB$41)*1</f>
        <v>203.38274236935246</v>
      </c>
      <c r="AB590" s="4">
        <f>$K$590*$V$590</f>
        <v>0</v>
      </c>
      <c r="AC590" s="4">
        <f>$M$590*$W$590</f>
        <v>14227.763549999998</v>
      </c>
      <c r="AD590" s="4">
        <f>$O$590*$X$590</f>
        <v>11342.61975</v>
      </c>
      <c r="AE590" s="4">
        <f>$K$590*$Y$590</f>
        <v>0</v>
      </c>
      <c r="AF590" s="4">
        <f ca="1">$M$590*$Z$590</f>
        <v>17644.756790943436</v>
      </c>
      <c r="AG590" s="4">
        <f>$O$590*$AA$590</f>
        <v>9255.3384570021226</v>
      </c>
    </row>
    <row r="591" spans="1:33" ht="11.25" customHeight="1" x14ac:dyDescent="0.25">
      <c r="A591" s="3" t="s">
        <v>21</v>
      </c>
      <c r="B591" s="3" t="s">
        <v>33</v>
      </c>
      <c r="C591" s="3" t="s">
        <v>23</v>
      </c>
      <c r="D591" s="3" t="s">
        <v>34</v>
      </c>
      <c r="E591" s="3" t="s">
        <v>25</v>
      </c>
      <c r="F591" s="3" t="s">
        <v>25</v>
      </c>
      <c r="G591" s="3" t="s">
        <v>25</v>
      </c>
      <c r="H591" s="3" t="s">
        <v>25</v>
      </c>
      <c r="I591" s="6">
        <v>44562</v>
      </c>
      <c r="J591" s="4">
        <v>0</v>
      </c>
      <c r="K591" s="4">
        <v>0</v>
      </c>
      <c r="L591" s="4">
        <v>383.63600000000002</v>
      </c>
      <c r="M591" s="4">
        <v>383.63600000000002</v>
      </c>
      <c r="N591" s="4">
        <v>383.63600000000002</v>
      </c>
      <c r="O591" s="4">
        <v>383.63600000000002</v>
      </c>
      <c r="P591" s="4">
        <v>682</v>
      </c>
      <c r="Q591" s="3" t="s">
        <v>26</v>
      </c>
      <c r="R591" s="3">
        <v>0</v>
      </c>
      <c r="S591" s="4">
        <v>0</v>
      </c>
      <c r="T591" s="4">
        <v>35</v>
      </c>
      <c r="U591" s="4">
        <v>62</v>
      </c>
      <c r="V591" s="4">
        <f>IF(ISERROR(VLOOKUP($S$591,'TAR FIN'!$A$1:$O$91,15,0)),0,VLOOKUP($S$591,'TAR FIN'!$A$1:$O$91,15,0))</f>
        <v>0</v>
      </c>
      <c r="W591" s="4">
        <f>IF(ISERROR(VLOOKUP($T$591,'TAR FIN'!$A$1:$O$91,15,0)),0,VLOOKUP($T$591,'TAR FIN'!$A$1:$O$91,15,0))</f>
        <v>312.64999999999998</v>
      </c>
      <c r="X591" s="4">
        <f>IF(ISERROR(VLOOKUP($U$591,'TAR FIN'!$A$1:$O$91,15,0)),0,VLOOKUP($U$591,'TAR FIN'!$A$1:$O$91,15,0))</f>
        <v>249.25</v>
      </c>
      <c r="Y591" s="4"/>
      <c r="Z591" s="4">
        <f ca="1">('TUSD BE'!$AM$51+'TUSD BF'!$AM$51+'TUSD CVA'!$AM$51)*1</f>
        <v>387.73720067118109</v>
      </c>
      <c r="AA591" s="4">
        <f>('TE BE'!$AB$41+'TE BF'!$AB$41+'TE CVA'!$AB$41)*1</f>
        <v>203.38274236935246</v>
      </c>
      <c r="AB591" s="4">
        <f>$K$591*$V$591</f>
        <v>0</v>
      </c>
      <c r="AC591" s="4">
        <f>$M$591*$W$591</f>
        <v>119943.7954</v>
      </c>
      <c r="AD591" s="4">
        <f>$O$591*$X$591</f>
        <v>95621.273000000001</v>
      </c>
      <c r="AE591" s="4">
        <f>$K$591*$Y$591</f>
        <v>0</v>
      </c>
      <c r="AF591" s="4">
        <f ca="1">$M$591*$Z$591</f>
        <v>148749.94871668925</v>
      </c>
      <c r="AG591" s="4">
        <f>$O$591*$AA$591</f>
        <v>78024.941751608902</v>
      </c>
    </row>
    <row r="592" spans="1:33" ht="11.25" customHeight="1" x14ac:dyDescent="0.25">
      <c r="A592" s="3" t="s">
        <v>27</v>
      </c>
      <c r="B592" s="3" t="s">
        <v>33</v>
      </c>
      <c r="C592" s="3" t="s">
        <v>23</v>
      </c>
      <c r="D592" s="3" t="s">
        <v>34</v>
      </c>
      <c r="E592" s="3" t="s">
        <v>25</v>
      </c>
      <c r="F592" s="3" t="s">
        <v>25</v>
      </c>
      <c r="G592" s="3" t="s">
        <v>25</v>
      </c>
      <c r="H592" s="3" t="s">
        <v>25</v>
      </c>
      <c r="I592" s="6">
        <v>44562</v>
      </c>
      <c r="J592" s="4">
        <v>0</v>
      </c>
      <c r="K592" s="4">
        <v>0</v>
      </c>
      <c r="L592" s="4">
        <v>-0.53200000000000003</v>
      </c>
      <c r="M592" s="4">
        <v>-0.53200000000000003</v>
      </c>
      <c r="N592" s="4">
        <v>-0.53200000000000003</v>
      </c>
      <c r="O592" s="4">
        <v>-0.53200000000000003</v>
      </c>
      <c r="P592" s="4">
        <v>0</v>
      </c>
      <c r="Q592" s="3" t="s">
        <v>26</v>
      </c>
      <c r="R592" s="3">
        <v>0</v>
      </c>
      <c r="S592" s="4">
        <v>0</v>
      </c>
      <c r="T592" s="4">
        <v>35</v>
      </c>
      <c r="U592" s="4">
        <v>62</v>
      </c>
      <c r="V592" s="4">
        <f>IF(ISERROR(VLOOKUP($S$592,'TAR FIN'!$A$1:$O$91,15,0)),0,VLOOKUP($S$592,'TAR FIN'!$A$1:$O$91,15,0))</f>
        <v>0</v>
      </c>
      <c r="W592" s="4">
        <f>IF(ISERROR(VLOOKUP($T$592,'TAR FIN'!$A$1:$O$91,15,0)),0,VLOOKUP($T$592,'TAR FIN'!$A$1:$O$91,15,0))</f>
        <v>312.64999999999998</v>
      </c>
      <c r="X592" s="4">
        <f>IF(ISERROR(VLOOKUP($U$592,'TAR FIN'!$A$1:$O$91,15,0)),0,VLOOKUP($U$592,'TAR FIN'!$A$1:$O$91,15,0))</f>
        <v>249.25</v>
      </c>
      <c r="Y592" s="4"/>
      <c r="Z592" s="4">
        <f ca="1">('TUSD BE'!$AM$51+'TUSD BF'!$AM$51+'TUSD CVA'!$AM$51)*1</f>
        <v>387.73720067118109</v>
      </c>
      <c r="AA592" s="4">
        <f>('TE BE'!$AB$41+'TE BF'!$AB$41+'TE CVA'!$AB$41)*1</f>
        <v>203.38274236935246</v>
      </c>
      <c r="AB592" s="4">
        <f>$K$592*$V$592</f>
        <v>0</v>
      </c>
      <c r="AC592" s="4">
        <f>$M$592*$W$592</f>
        <v>-166.32980000000001</v>
      </c>
      <c r="AD592" s="4">
        <f>$O$592*$X$592</f>
        <v>-132.601</v>
      </c>
      <c r="AE592" s="4">
        <f>$K$592*$Y$592</f>
        <v>0</v>
      </c>
      <c r="AF592" s="4">
        <f ca="1">$M$592*$Z$592</f>
        <v>-206.27619075706835</v>
      </c>
      <c r="AG592" s="4">
        <f>$O$592*$AA$592</f>
        <v>-108.19961894049551</v>
      </c>
    </row>
    <row r="593" spans="1:33" ht="11.25" customHeight="1" x14ac:dyDescent="0.25">
      <c r="A593" s="3" t="s">
        <v>28</v>
      </c>
      <c r="B593" s="3" t="s">
        <v>33</v>
      </c>
      <c r="C593" s="3" t="s">
        <v>23</v>
      </c>
      <c r="D593" s="3" t="s">
        <v>34</v>
      </c>
      <c r="E593" s="3" t="s">
        <v>25</v>
      </c>
      <c r="F593" s="3" t="s">
        <v>25</v>
      </c>
      <c r="G593" s="3" t="s">
        <v>25</v>
      </c>
      <c r="H593" s="3" t="s">
        <v>25</v>
      </c>
      <c r="I593" s="6">
        <v>44562</v>
      </c>
      <c r="J593" s="4">
        <v>0</v>
      </c>
      <c r="K593" s="4">
        <v>0</v>
      </c>
      <c r="L593" s="4">
        <v>30.292000000000002</v>
      </c>
      <c r="M593" s="4">
        <v>30.292000000000002</v>
      </c>
      <c r="N593" s="4">
        <v>30.292000000000002</v>
      </c>
      <c r="O593" s="4">
        <v>30.292000000000002</v>
      </c>
      <c r="P593" s="4">
        <v>47</v>
      </c>
      <c r="Q593" s="3" t="s">
        <v>26</v>
      </c>
      <c r="R593" s="3">
        <v>0</v>
      </c>
      <c r="S593" s="4">
        <v>0</v>
      </c>
      <c r="T593" s="4">
        <v>35</v>
      </c>
      <c r="U593" s="4">
        <v>62</v>
      </c>
      <c r="V593" s="4">
        <f>IF(ISERROR(VLOOKUP($S$593,'TAR FIN'!$A$1:$O$91,15,0)),0,VLOOKUP($S$593,'TAR FIN'!$A$1:$O$91,15,0))</f>
        <v>0</v>
      </c>
      <c r="W593" s="4">
        <f>IF(ISERROR(VLOOKUP($T$593,'TAR FIN'!$A$1:$O$91,15,0)),0,VLOOKUP($T$593,'TAR FIN'!$A$1:$O$91,15,0))</f>
        <v>312.64999999999998</v>
      </c>
      <c r="X593" s="4">
        <f>IF(ISERROR(VLOOKUP($U$593,'TAR FIN'!$A$1:$O$91,15,0)),0,VLOOKUP($U$593,'TAR FIN'!$A$1:$O$91,15,0))</f>
        <v>249.25</v>
      </c>
      <c r="Y593" s="4"/>
      <c r="Z593" s="4">
        <f ca="1">('TUSD BE'!$AM$51+'TUSD BF'!$AM$51+'TUSD CVA'!$AM$51)*1</f>
        <v>387.73720067118109</v>
      </c>
      <c r="AA593" s="4">
        <f>('TE BE'!$AB$41+'TE BF'!$AB$41+'TE CVA'!$AB$41)*1</f>
        <v>203.38274236935246</v>
      </c>
      <c r="AB593" s="4">
        <f>$K$593*$V$593</f>
        <v>0</v>
      </c>
      <c r="AC593" s="4">
        <f>$M$593*$W$593</f>
        <v>9470.7937999999995</v>
      </c>
      <c r="AD593" s="4">
        <f>$O$593*$X$593</f>
        <v>7550.2809999999999</v>
      </c>
      <c r="AE593" s="4">
        <f>$K$593*$Y$593</f>
        <v>0</v>
      </c>
      <c r="AF593" s="4">
        <f ca="1">$M$593*$Z$593</f>
        <v>11745.335282731417</v>
      </c>
      <c r="AG593" s="4">
        <f>$O$593*$AA$593</f>
        <v>6160.8700318524252</v>
      </c>
    </row>
    <row r="594" spans="1:33" ht="11.25" customHeight="1" x14ac:dyDescent="0.25">
      <c r="A594" s="3" t="s">
        <v>21</v>
      </c>
      <c r="B594" s="3" t="s">
        <v>33</v>
      </c>
      <c r="C594" s="3" t="s">
        <v>23</v>
      </c>
      <c r="D594" s="3" t="s">
        <v>34</v>
      </c>
      <c r="E594" s="3" t="s">
        <v>25</v>
      </c>
      <c r="F594" s="3" t="s">
        <v>25</v>
      </c>
      <c r="G594" s="3" t="s">
        <v>25</v>
      </c>
      <c r="H594" s="3" t="s">
        <v>25</v>
      </c>
      <c r="I594" s="6">
        <v>44593</v>
      </c>
      <c r="J594" s="4">
        <v>0</v>
      </c>
      <c r="K594" s="4">
        <v>0</v>
      </c>
      <c r="L594" s="4">
        <v>515.07299999999998</v>
      </c>
      <c r="M594" s="4">
        <v>515.07299999999998</v>
      </c>
      <c r="N594" s="4">
        <v>515.07299999999998</v>
      </c>
      <c r="O594" s="4">
        <v>515.07299999999998</v>
      </c>
      <c r="P594" s="4">
        <v>688</v>
      </c>
      <c r="Q594" s="3" t="s">
        <v>26</v>
      </c>
      <c r="R594" s="3">
        <v>0</v>
      </c>
      <c r="S594" s="4">
        <v>0</v>
      </c>
      <c r="T594" s="4">
        <v>35</v>
      </c>
      <c r="U594" s="4">
        <v>62</v>
      </c>
      <c r="V594" s="4">
        <f>IF(ISERROR(VLOOKUP($S$594,'TAR FIN'!$A$1:$O$91,15,0)),0,VLOOKUP($S$594,'TAR FIN'!$A$1:$O$91,15,0))</f>
        <v>0</v>
      </c>
      <c r="W594" s="4">
        <f>IF(ISERROR(VLOOKUP($T$594,'TAR FIN'!$A$1:$O$91,15,0)),0,VLOOKUP($T$594,'TAR FIN'!$A$1:$O$91,15,0))</f>
        <v>312.64999999999998</v>
      </c>
      <c r="X594" s="4">
        <f>IF(ISERROR(VLOOKUP($U$594,'TAR FIN'!$A$1:$O$91,15,0)),0,VLOOKUP($U$594,'TAR FIN'!$A$1:$O$91,15,0))</f>
        <v>249.25</v>
      </c>
      <c r="Y594" s="4"/>
      <c r="Z594" s="4">
        <f ca="1">('TUSD BE'!$AM$51+'TUSD BF'!$AM$51+'TUSD CVA'!$AM$51)*1</f>
        <v>387.73720067118109</v>
      </c>
      <c r="AA594" s="4">
        <f>('TE BE'!$AB$41+'TE BF'!$AB$41+'TE CVA'!$AB$41)*1</f>
        <v>203.38274236935246</v>
      </c>
      <c r="AB594" s="4">
        <f>$K$594*$V$594</f>
        <v>0</v>
      </c>
      <c r="AC594" s="4">
        <f>$M$594*$W$594</f>
        <v>161037.57345</v>
      </c>
      <c r="AD594" s="4">
        <f>$O$594*$X$594</f>
        <v>128381.94524999999</v>
      </c>
      <c r="AE594" s="4">
        <f>$K$594*$Y$594</f>
        <v>0</v>
      </c>
      <c r="AF594" s="4">
        <f ca="1">$M$594*$Z$594</f>
        <v>199712.96316130724</v>
      </c>
      <c r="AG594" s="4">
        <f>$O$594*$AA$594</f>
        <v>104756.95926040948</v>
      </c>
    </row>
    <row r="595" spans="1:33" ht="11.25" customHeight="1" x14ac:dyDescent="0.25">
      <c r="A595" s="3" t="s">
        <v>27</v>
      </c>
      <c r="B595" s="3" t="s">
        <v>33</v>
      </c>
      <c r="C595" s="3" t="s">
        <v>23</v>
      </c>
      <c r="D595" s="3" t="s">
        <v>34</v>
      </c>
      <c r="E595" s="3" t="s">
        <v>25</v>
      </c>
      <c r="F595" s="3" t="s">
        <v>25</v>
      </c>
      <c r="G595" s="3" t="s">
        <v>25</v>
      </c>
      <c r="H595" s="3" t="s">
        <v>25</v>
      </c>
      <c r="I595" s="6">
        <v>44593</v>
      </c>
      <c r="J595" s="4">
        <v>0</v>
      </c>
      <c r="K595" s="4">
        <v>0</v>
      </c>
      <c r="L595" s="4">
        <v>-1.825</v>
      </c>
      <c r="M595" s="4">
        <v>-1.825</v>
      </c>
      <c r="N595" s="4">
        <v>-1.825</v>
      </c>
      <c r="O595" s="4">
        <v>-1.825</v>
      </c>
      <c r="P595" s="4">
        <v>0</v>
      </c>
      <c r="Q595" s="3" t="s">
        <v>26</v>
      </c>
      <c r="R595" s="3">
        <v>0</v>
      </c>
      <c r="S595" s="4">
        <v>0</v>
      </c>
      <c r="T595" s="4">
        <v>35</v>
      </c>
      <c r="U595" s="4">
        <v>62</v>
      </c>
      <c r="V595" s="4">
        <f>IF(ISERROR(VLOOKUP($S$595,'TAR FIN'!$A$1:$O$91,15,0)),0,VLOOKUP($S$595,'TAR FIN'!$A$1:$O$91,15,0))</f>
        <v>0</v>
      </c>
      <c r="W595" s="4">
        <f>IF(ISERROR(VLOOKUP($T$595,'TAR FIN'!$A$1:$O$91,15,0)),0,VLOOKUP($T$595,'TAR FIN'!$A$1:$O$91,15,0))</f>
        <v>312.64999999999998</v>
      </c>
      <c r="X595" s="4">
        <f>IF(ISERROR(VLOOKUP($U$595,'TAR FIN'!$A$1:$O$91,15,0)),0,VLOOKUP($U$595,'TAR FIN'!$A$1:$O$91,15,0))</f>
        <v>249.25</v>
      </c>
      <c r="Y595" s="4"/>
      <c r="Z595" s="4">
        <f ca="1">('TUSD BE'!$AM$51+'TUSD BF'!$AM$51+'TUSD CVA'!$AM$51)*1</f>
        <v>387.73720067118109</v>
      </c>
      <c r="AA595" s="4">
        <f>('TE BE'!$AB$41+'TE BF'!$AB$41+'TE CVA'!$AB$41)*1</f>
        <v>203.38274236935246</v>
      </c>
      <c r="AB595" s="4">
        <f>$K$595*$V$595</f>
        <v>0</v>
      </c>
      <c r="AC595" s="4">
        <f>$M$595*$W$595</f>
        <v>-570.58624999999995</v>
      </c>
      <c r="AD595" s="4">
        <f>$O$595*$X$595</f>
        <v>-454.88124999999997</v>
      </c>
      <c r="AE595" s="4">
        <f>$K$595*$Y$595</f>
        <v>0</v>
      </c>
      <c r="AF595" s="4">
        <f ca="1">$M$595*$Z$595</f>
        <v>-707.62039122490546</v>
      </c>
      <c r="AG595" s="4">
        <f>$O$595*$AA$595</f>
        <v>-371.17350482406823</v>
      </c>
    </row>
    <row r="596" spans="1:33" ht="11.25" customHeight="1" x14ac:dyDescent="0.25">
      <c r="A596" s="3" t="s">
        <v>28</v>
      </c>
      <c r="B596" s="3" t="s">
        <v>33</v>
      </c>
      <c r="C596" s="3" t="s">
        <v>23</v>
      </c>
      <c r="D596" s="3" t="s">
        <v>34</v>
      </c>
      <c r="E596" s="3" t="s">
        <v>25</v>
      </c>
      <c r="F596" s="3" t="s">
        <v>25</v>
      </c>
      <c r="G596" s="3" t="s">
        <v>25</v>
      </c>
      <c r="H596" s="3" t="s">
        <v>25</v>
      </c>
      <c r="I596" s="6">
        <v>44593</v>
      </c>
      <c r="J596" s="4">
        <v>0</v>
      </c>
      <c r="K596" s="4">
        <v>0</v>
      </c>
      <c r="L596" s="4">
        <v>49.747999999999998</v>
      </c>
      <c r="M596" s="4">
        <v>49.747999999999998</v>
      </c>
      <c r="N596" s="4">
        <v>49.747999999999998</v>
      </c>
      <c r="O596" s="4">
        <v>49.747999999999998</v>
      </c>
      <c r="P596" s="4">
        <v>48</v>
      </c>
      <c r="Q596" s="3" t="s">
        <v>26</v>
      </c>
      <c r="R596" s="3">
        <v>0</v>
      </c>
      <c r="S596" s="4">
        <v>0</v>
      </c>
      <c r="T596" s="4">
        <v>35</v>
      </c>
      <c r="U596" s="4">
        <v>62</v>
      </c>
      <c r="V596" s="4">
        <f>IF(ISERROR(VLOOKUP($S$596,'TAR FIN'!$A$1:$O$91,15,0)),0,VLOOKUP($S$596,'TAR FIN'!$A$1:$O$91,15,0))</f>
        <v>0</v>
      </c>
      <c r="W596" s="4">
        <f>IF(ISERROR(VLOOKUP($T$596,'TAR FIN'!$A$1:$O$91,15,0)),0,VLOOKUP($T$596,'TAR FIN'!$A$1:$O$91,15,0))</f>
        <v>312.64999999999998</v>
      </c>
      <c r="X596" s="4">
        <f>IF(ISERROR(VLOOKUP($U$596,'TAR FIN'!$A$1:$O$91,15,0)),0,VLOOKUP($U$596,'TAR FIN'!$A$1:$O$91,15,0))</f>
        <v>249.25</v>
      </c>
      <c r="Y596" s="4"/>
      <c r="Z596" s="4">
        <f ca="1">('TUSD BE'!$AM$51+'TUSD BF'!$AM$51+'TUSD CVA'!$AM$51)*1</f>
        <v>387.73720067118109</v>
      </c>
      <c r="AA596" s="4">
        <f>('TE BE'!$AB$41+'TE BF'!$AB$41+'TE CVA'!$AB$41)*1</f>
        <v>203.38274236935246</v>
      </c>
      <c r="AB596" s="4">
        <f>$K$596*$V$596</f>
        <v>0</v>
      </c>
      <c r="AC596" s="4">
        <f>$M$596*$W$596</f>
        <v>15553.712199999998</v>
      </c>
      <c r="AD596" s="4">
        <f>$O$596*$X$596</f>
        <v>12399.688999999998</v>
      </c>
      <c r="AE596" s="4">
        <f>$K$596*$Y$596</f>
        <v>0</v>
      </c>
      <c r="AF596" s="4">
        <f ca="1">$M$596*$Z$596</f>
        <v>19289.150258989917</v>
      </c>
      <c r="AG596" s="4">
        <f>$O$596*$AA$596</f>
        <v>10117.884667390546</v>
      </c>
    </row>
    <row r="597" spans="1:33" ht="11.25" customHeight="1" x14ac:dyDescent="0.25">
      <c r="A597" s="3" t="s">
        <v>21</v>
      </c>
      <c r="B597" s="3" t="s">
        <v>33</v>
      </c>
      <c r="C597" s="3" t="s">
        <v>23</v>
      </c>
      <c r="D597" s="3" t="s">
        <v>34</v>
      </c>
      <c r="E597" s="3" t="s">
        <v>25</v>
      </c>
      <c r="F597" s="3" t="s">
        <v>25</v>
      </c>
      <c r="G597" s="3" t="s">
        <v>25</v>
      </c>
      <c r="H597" s="3" t="s">
        <v>25</v>
      </c>
      <c r="I597" s="6">
        <v>44621</v>
      </c>
      <c r="J597" s="4">
        <v>0</v>
      </c>
      <c r="K597" s="4">
        <v>0</v>
      </c>
      <c r="L597" s="4">
        <v>471.63200000000001</v>
      </c>
      <c r="M597" s="4">
        <v>471.63200000000001</v>
      </c>
      <c r="N597" s="4">
        <v>471.63200000000001</v>
      </c>
      <c r="O597" s="4">
        <v>471.63200000000001</v>
      </c>
      <c r="P597" s="4">
        <v>684</v>
      </c>
      <c r="Q597" s="3" t="s">
        <v>26</v>
      </c>
      <c r="R597" s="3">
        <v>0</v>
      </c>
      <c r="S597" s="4">
        <v>0</v>
      </c>
      <c r="T597" s="4">
        <v>35</v>
      </c>
      <c r="U597" s="4">
        <v>62</v>
      </c>
      <c r="V597" s="4">
        <f>IF(ISERROR(VLOOKUP($S$597,'TAR FIN'!$A$1:$O$91,15,0)),0,VLOOKUP($S$597,'TAR FIN'!$A$1:$O$91,15,0))</f>
        <v>0</v>
      </c>
      <c r="W597" s="4">
        <f>IF(ISERROR(VLOOKUP($T$597,'TAR FIN'!$A$1:$O$91,15,0)),0,VLOOKUP($T$597,'TAR FIN'!$A$1:$O$91,15,0))</f>
        <v>312.64999999999998</v>
      </c>
      <c r="X597" s="4">
        <f>IF(ISERROR(VLOOKUP($U$597,'TAR FIN'!$A$1:$O$91,15,0)),0,VLOOKUP($U$597,'TAR FIN'!$A$1:$O$91,15,0))</f>
        <v>249.25</v>
      </c>
      <c r="Y597" s="4"/>
      <c r="Z597" s="4">
        <f ca="1">('TUSD BE'!$AM$51+'TUSD BF'!$AM$51+'TUSD CVA'!$AM$51)*1</f>
        <v>387.73720067118109</v>
      </c>
      <c r="AA597" s="4">
        <f>('TE BE'!$AB$41+'TE BF'!$AB$41+'TE CVA'!$AB$41)*1</f>
        <v>203.38274236935246</v>
      </c>
      <c r="AB597" s="4">
        <f>$K$597*$V$597</f>
        <v>0</v>
      </c>
      <c r="AC597" s="4">
        <f>$M$597*$W$597</f>
        <v>147455.74479999999</v>
      </c>
      <c r="AD597" s="4">
        <f>$O$597*$X$597</f>
        <v>117554.276</v>
      </c>
      <c r="AE597" s="4">
        <f>$K$597*$Y$597</f>
        <v>0</v>
      </c>
      <c r="AF597" s="4">
        <f ca="1">$M$597*$Z$597</f>
        <v>182869.27142695049</v>
      </c>
      <c r="AG597" s="4">
        <f>$O$597*$AA$597</f>
        <v>95921.809549142432</v>
      </c>
    </row>
    <row r="598" spans="1:33" ht="11.25" customHeight="1" x14ac:dyDescent="0.25">
      <c r="A598" s="3" t="s">
        <v>28</v>
      </c>
      <c r="B598" s="3" t="s">
        <v>33</v>
      </c>
      <c r="C598" s="3" t="s">
        <v>23</v>
      </c>
      <c r="D598" s="3" t="s">
        <v>34</v>
      </c>
      <c r="E598" s="3" t="s">
        <v>25</v>
      </c>
      <c r="F598" s="3" t="s">
        <v>25</v>
      </c>
      <c r="G598" s="3" t="s">
        <v>25</v>
      </c>
      <c r="H598" s="3" t="s">
        <v>25</v>
      </c>
      <c r="I598" s="6">
        <v>44621</v>
      </c>
      <c r="J598" s="4">
        <v>0</v>
      </c>
      <c r="K598" s="4">
        <v>0</v>
      </c>
      <c r="L598" s="4">
        <v>48.302</v>
      </c>
      <c r="M598" s="4">
        <v>48.302</v>
      </c>
      <c r="N598" s="4">
        <v>48.302</v>
      </c>
      <c r="O598" s="4">
        <v>48.302</v>
      </c>
      <c r="P598" s="4">
        <v>49</v>
      </c>
      <c r="Q598" s="3" t="s">
        <v>26</v>
      </c>
      <c r="R598" s="3">
        <v>0</v>
      </c>
      <c r="S598" s="4">
        <v>0</v>
      </c>
      <c r="T598" s="4">
        <v>35</v>
      </c>
      <c r="U598" s="4">
        <v>62</v>
      </c>
      <c r="V598" s="4">
        <f>IF(ISERROR(VLOOKUP($S$598,'TAR FIN'!$A$1:$O$91,15,0)),0,VLOOKUP($S$598,'TAR FIN'!$A$1:$O$91,15,0))</f>
        <v>0</v>
      </c>
      <c r="W598" s="4">
        <f>IF(ISERROR(VLOOKUP($T$598,'TAR FIN'!$A$1:$O$91,15,0)),0,VLOOKUP($T$598,'TAR FIN'!$A$1:$O$91,15,0))</f>
        <v>312.64999999999998</v>
      </c>
      <c r="X598" s="4">
        <f>IF(ISERROR(VLOOKUP($U$598,'TAR FIN'!$A$1:$O$91,15,0)),0,VLOOKUP($U$598,'TAR FIN'!$A$1:$O$91,15,0))</f>
        <v>249.25</v>
      </c>
      <c r="Y598" s="4"/>
      <c r="Z598" s="4">
        <f ca="1">('TUSD BE'!$AM$51+'TUSD BF'!$AM$51+'TUSD CVA'!$AM$51)*1</f>
        <v>387.73720067118109</v>
      </c>
      <c r="AA598" s="4">
        <f>('TE BE'!$AB$41+'TE BF'!$AB$41+'TE CVA'!$AB$41)*1</f>
        <v>203.38274236935246</v>
      </c>
      <c r="AB598" s="4">
        <f>$K$598*$V$598</f>
        <v>0</v>
      </c>
      <c r="AC598" s="4">
        <f>$M$598*$W$598</f>
        <v>15101.620299999999</v>
      </c>
      <c r="AD598" s="4">
        <f>$O$598*$X$598</f>
        <v>12039.273499999999</v>
      </c>
      <c r="AE598" s="4">
        <f>$K$598*$Y$598</f>
        <v>0</v>
      </c>
      <c r="AF598" s="4">
        <f ca="1">$M$598*$Z$598</f>
        <v>18728.482266819388</v>
      </c>
      <c r="AG598" s="4">
        <f>$O$598*$AA$598</f>
        <v>9823.7932219244631</v>
      </c>
    </row>
    <row r="599" spans="1:33" ht="11.25" customHeight="1" x14ac:dyDescent="0.25">
      <c r="A599" s="3" t="s">
        <v>21</v>
      </c>
      <c r="B599" s="3" t="s">
        <v>33</v>
      </c>
      <c r="C599" s="3" t="s">
        <v>23</v>
      </c>
      <c r="D599" s="3" t="s">
        <v>34</v>
      </c>
      <c r="E599" s="3" t="s">
        <v>25</v>
      </c>
      <c r="F599" s="3" t="s">
        <v>25</v>
      </c>
      <c r="G599" s="3" t="s">
        <v>25</v>
      </c>
      <c r="H599" s="3" t="s">
        <v>25</v>
      </c>
      <c r="I599" s="6">
        <v>44652</v>
      </c>
      <c r="J599" s="4">
        <v>0</v>
      </c>
      <c r="K599" s="4">
        <v>0</v>
      </c>
      <c r="L599" s="4">
        <v>434.47199999999998</v>
      </c>
      <c r="M599" s="4">
        <v>434.47199999999998</v>
      </c>
      <c r="N599" s="4">
        <v>434.47199999999998</v>
      </c>
      <c r="O599" s="4">
        <v>434.47199999999998</v>
      </c>
      <c r="P599" s="4">
        <v>683</v>
      </c>
      <c r="Q599" s="3" t="s">
        <v>26</v>
      </c>
      <c r="R599" s="3">
        <v>0</v>
      </c>
      <c r="S599" s="4">
        <v>0</v>
      </c>
      <c r="T599" s="4">
        <v>35</v>
      </c>
      <c r="U599" s="4">
        <v>62</v>
      </c>
      <c r="V599" s="4">
        <f>IF(ISERROR(VLOOKUP($S$599,'TAR FIN'!$A$1:$O$91,15,0)),0,VLOOKUP($S$599,'TAR FIN'!$A$1:$O$91,15,0))</f>
        <v>0</v>
      </c>
      <c r="W599" s="4">
        <f>IF(ISERROR(VLOOKUP($T$599,'TAR FIN'!$A$1:$O$91,15,0)),0,VLOOKUP($T$599,'TAR FIN'!$A$1:$O$91,15,0))</f>
        <v>312.64999999999998</v>
      </c>
      <c r="X599" s="4">
        <f>IF(ISERROR(VLOOKUP($U$599,'TAR FIN'!$A$1:$O$91,15,0)),0,VLOOKUP($U$599,'TAR FIN'!$A$1:$O$91,15,0))</f>
        <v>249.25</v>
      </c>
      <c r="Y599" s="4"/>
      <c r="Z599" s="4">
        <f ca="1">('TUSD BE'!$AM$51+'TUSD BF'!$AM$51+'TUSD CVA'!$AM$51)*1</f>
        <v>387.73720067118109</v>
      </c>
      <c r="AA599" s="4">
        <f>('TE BE'!$AB$41+'TE BF'!$AB$41+'TE CVA'!$AB$41)*1</f>
        <v>203.38274236935246</v>
      </c>
      <c r="AB599" s="4">
        <f>$K$599*$V$599</f>
        <v>0</v>
      </c>
      <c r="AC599" s="4">
        <f>$M$599*$W$599</f>
        <v>135837.67079999999</v>
      </c>
      <c r="AD599" s="4">
        <f>$O$599*$X$599</f>
        <v>108292.14599999999</v>
      </c>
      <c r="AE599" s="4">
        <f>$K$599*$Y$599</f>
        <v>0</v>
      </c>
      <c r="AF599" s="4">
        <f ca="1">$M$599*$Z$599</f>
        <v>168460.95705000937</v>
      </c>
      <c r="AG599" s="4">
        <f>$O$599*$AA$599</f>
        <v>88364.106842697292</v>
      </c>
    </row>
    <row r="600" spans="1:33" ht="11.25" customHeight="1" x14ac:dyDescent="0.25">
      <c r="A600" s="3" t="s">
        <v>28</v>
      </c>
      <c r="B600" s="3" t="s">
        <v>33</v>
      </c>
      <c r="C600" s="3" t="s">
        <v>23</v>
      </c>
      <c r="D600" s="3" t="s">
        <v>34</v>
      </c>
      <c r="E600" s="3" t="s">
        <v>25</v>
      </c>
      <c r="F600" s="3" t="s">
        <v>25</v>
      </c>
      <c r="G600" s="3" t="s">
        <v>25</v>
      </c>
      <c r="H600" s="3" t="s">
        <v>25</v>
      </c>
      <c r="I600" s="6">
        <v>44652</v>
      </c>
      <c r="J600" s="4">
        <v>0</v>
      </c>
      <c r="K600" s="4">
        <v>0</v>
      </c>
      <c r="L600" s="4">
        <v>36.625999999999998</v>
      </c>
      <c r="M600" s="4">
        <v>36.625999999999998</v>
      </c>
      <c r="N600" s="4">
        <v>36.625999999999998</v>
      </c>
      <c r="O600" s="4">
        <v>36.625999999999998</v>
      </c>
      <c r="P600" s="4">
        <v>49</v>
      </c>
      <c r="Q600" s="3" t="s">
        <v>26</v>
      </c>
      <c r="R600" s="3">
        <v>0</v>
      </c>
      <c r="S600" s="4">
        <v>0</v>
      </c>
      <c r="T600" s="4">
        <v>35</v>
      </c>
      <c r="U600" s="4">
        <v>62</v>
      </c>
      <c r="V600" s="4">
        <f>IF(ISERROR(VLOOKUP($S$600,'TAR FIN'!$A$1:$O$91,15,0)),0,VLOOKUP($S$600,'TAR FIN'!$A$1:$O$91,15,0))</f>
        <v>0</v>
      </c>
      <c r="W600" s="4">
        <f>IF(ISERROR(VLOOKUP($T$600,'TAR FIN'!$A$1:$O$91,15,0)),0,VLOOKUP($T$600,'TAR FIN'!$A$1:$O$91,15,0))</f>
        <v>312.64999999999998</v>
      </c>
      <c r="X600" s="4">
        <f>IF(ISERROR(VLOOKUP($U$600,'TAR FIN'!$A$1:$O$91,15,0)),0,VLOOKUP($U$600,'TAR FIN'!$A$1:$O$91,15,0))</f>
        <v>249.25</v>
      </c>
      <c r="Y600" s="4"/>
      <c r="Z600" s="4">
        <f ca="1">('TUSD BE'!$AM$51+'TUSD BF'!$AM$51+'TUSD CVA'!$AM$51)*1</f>
        <v>387.73720067118109</v>
      </c>
      <c r="AA600" s="4">
        <f>('TE BE'!$AB$41+'TE BF'!$AB$41+'TE CVA'!$AB$41)*1</f>
        <v>203.38274236935246</v>
      </c>
      <c r="AB600" s="4">
        <f>$K$600*$V$600</f>
        <v>0</v>
      </c>
      <c r="AC600" s="4">
        <f>$M$600*$W$600</f>
        <v>11451.118899999998</v>
      </c>
      <c r="AD600" s="4">
        <f>$O$600*$X$600</f>
        <v>9129.0304999999989</v>
      </c>
      <c r="AE600" s="4">
        <f>$K$600*$Y$600</f>
        <v>0</v>
      </c>
      <c r="AF600" s="4">
        <f ca="1">$M$600*$Z$600</f>
        <v>14201.262711782678</v>
      </c>
      <c r="AG600" s="4">
        <f>$O$600*$AA$600</f>
        <v>7449.0963220199028</v>
      </c>
    </row>
    <row r="601" spans="1:33" ht="11.25" customHeight="1" x14ac:dyDescent="0.25">
      <c r="A601" s="3" t="s">
        <v>21</v>
      </c>
      <c r="B601" s="3" t="s">
        <v>33</v>
      </c>
      <c r="C601" s="3" t="s">
        <v>23</v>
      </c>
      <c r="D601" s="3" t="s">
        <v>34</v>
      </c>
      <c r="E601" s="3" t="s">
        <v>25</v>
      </c>
      <c r="F601" s="3" t="s">
        <v>25</v>
      </c>
      <c r="G601" s="3" t="s">
        <v>25</v>
      </c>
      <c r="H601" s="3" t="s">
        <v>25</v>
      </c>
      <c r="I601" s="6">
        <v>44682</v>
      </c>
      <c r="J601" s="4">
        <v>0</v>
      </c>
      <c r="K601" s="4">
        <v>0</v>
      </c>
      <c r="L601" s="4">
        <v>409.39</v>
      </c>
      <c r="M601" s="4">
        <v>409.39</v>
      </c>
      <c r="N601" s="4">
        <v>409.39</v>
      </c>
      <c r="O601" s="4">
        <v>409.39</v>
      </c>
      <c r="P601" s="4">
        <v>683</v>
      </c>
      <c r="Q601" s="3" t="s">
        <v>26</v>
      </c>
      <c r="R601" s="3">
        <v>0</v>
      </c>
      <c r="S601" s="4">
        <v>0</v>
      </c>
      <c r="T601" s="4">
        <v>35</v>
      </c>
      <c r="U601" s="4">
        <v>62</v>
      </c>
      <c r="V601" s="4">
        <f>IF(ISERROR(VLOOKUP($S$601,'TAR FIN'!$A$1:$O$91,15,0)),0,VLOOKUP($S$601,'TAR FIN'!$A$1:$O$91,15,0))</f>
        <v>0</v>
      </c>
      <c r="W601" s="4">
        <f>IF(ISERROR(VLOOKUP($T$601,'TAR FIN'!$A$1:$O$91,15,0)),0,VLOOKUP($T$601,'TAR FIN'!$A$1:$O$91,15,0))</f>
        <v>312.64999999999998</v>
      </c>
      <c r="X601" s="4">
        <f>IF(ISERROR(VLOOKUP($U$601,'TAR FIN'!$A$1:$O$91,15,0)),0,VLOOKUP($U$601,'TAR FIN'!$A$1:$O$91,15,0))</f>
        <v>249.25</v>
      </c>
      <c r="Y601" s="4"/>
      <c r="Z601" s="4">
        <f ca="1">('TUSD BE'!$AM$51+'TUSD BF'!$AM$51+'TUSD CVA'!$AM$51)*1</f>
        <v>387.73720067118109</v>
      </c>
      <c r="AA601" s="4">
        <f>('TE BE'!$AB$41+'TE BF'!$AB$41+'TE CVA'!$AB$41)*1</f>
        <v>203.38274236935246</v>
      </c>
      <c r="AB601" s="4">
        <f>$K$601*$V$601</f>
        <v>0</v>
      </c>
      <c r="AC601" s="4">
        <f>$M$601*$W$601</f>
        <v>127995.78349999999</v>
      </c>
      <c r="AD601" s="4">
        <f>$O$601*$X$601</f>
        <v>102040.45749999999</v>
      </c>
      <c r="AE601" s="4">
        <f>$K$601*$Y$601</f>
        <v>0</v>
      </c>
      <c r="AF601" s="4">
        <f ca="1">$M$601*$Z$601</f>
        <v>158735.73258277483</v>
      </c>
      <c r="AG601" s="4">
        <f>$O$601*$AA$601</f>
        <v>83262.860898589206</v>
      </c>
    </row>
    <row r="602" spans="1:33" ht="11.25" customHeight="1" x14ac:dyDescent="0.25">
      <c r="A602" s="3" t="s">
        <v>28</v>
      </c>
      <c r="B602" s="3" t="s">
        <v>33</v>
      </c>
      <c r="C602" s="3" t="s">
        <v>23</v>
      </c>
      <c r="D602" s="3" t="s">
        <v>34</v>
      </c>
      <c r="E602" s="3" t="s">
        <v>25</v>
      </c>
      <c r="F602" s="3" t="s">
        <v>25</v>
      </c>
      <c r="G602" s="3" t="s">
        <v>25</v>
      </c>
      <c r="H602" s="3" t="s">
        <v>25</v>
      </c>
      <c r="I602" s="6">
        <v>44682</v>
      </c>
      <c r="J602" s="4">
        <v>0</v>
      </c>
      <c r="K602" s="4">
        <v>0</v>
      </c>
      <c r="L602" s="4">
        <v>42.908999999999999</v>
      </c>
      <c r="M602" s="4">
        <v>42.908999999999999</v>
      </c>
      <c r="N602" s="4">
        <v>42.908999999999999</v>
      </c>
      <c r="O602" s="4">
        <v>42.908999999999999</v>
      </c>
      <c r="P602" s="4">
        <v>51</v>
      </c>
      <c r="Q602" s="3" t="s">
        <v>26</v>
      </c>
      <c r="R602" s="3">
        <v>0</v>
      </c>
      <c r="S602" s="4">
        <v>0</v>
      </c>
      <c r="T602" s="4">
        <v>35</v>
      </c>
      <c r="U602" s="4">
        <v>62</v>
      </c>
      <c r="V602" s="4">
        <f>IF(ISERROR(VLOOKUP($S$602,'TAR FIN'!$A$1:$O$91,15,0)),0,VLOOKUP($S$602,'TAR FIN'!$A$1:$O$91,15,0))</f>
        <v>0</v>
      </c>
      <c r="W602" s="4">
        <f>IF(ISERROR(VLOOKUP($T$602,'TAR FIN'!$A$1:$O$91,15,0)),0,VLOOKUP($T$602,'TAR FIN'!$A$1:$O$91,15,0))</f>
        <v>312.64999999999998</v>
      </c>
      <c r="X602" s="4">
        <f>IF(ISERROR(VLOOKUP($U$602,'TAR FIN'!$A$1:$O$91,15,0)),0,VLOOKUP($U$602,'TAR FIN'!$A$1:$O$91,15,0))</f>
        <v>249.25</v>
      </c>
      <c r="Y602" s="4"/>
      <c r="Z602" s="4">
        <f ca="1">('TUSD BE'!$AM$51+'TUSD BF'!$AM$51+'TUSD CVA'!$AM$51)*1</f>
        <v>387.73720067118109</v>
      </c>
      <c r="AA602" s="4">
        <f>('TE BE'!$AB$41+'TE BF'!$AB$41+'TE CVA'!$AB$41)*1</f>
        <v>203.38274236935246</v>
      </c>
      <c r="AB602" s="4">
        <f>$K$602*$V$602</f>
        <v>0</v>
      </c>
      <c r="AC602" s="4">
        <f>$M$602*$W$602</f>
        <v>13415.498849999998</v>
      </c>
      <c r="AD602" s="4">
        <f>$O$602*$X$602</f>
        <v>10695.06825</v>
      </c>
      <c r="AE602" s="4">
        <f>$K$602*$Y$602</f>
        <v>0</v>
      </c>
      <c r="AF602" s="4">
        <f ca="1">$M$602*$Z$602</f>
        <v>16637.415543599709</v>
      </c>
      <c r="AG602" s="4">
        <f>$O$602*$AA$602</f>
        <v>8726.9500923265441</v>
      </c>
    </row>
    <row r="603" spans="1:33" ht="11.25" customHeight="1" x14ac:dyDescent="0.25">
      <c r="A603" s="3" t="s">
        <v>21</v>
      </c>
      <c r="B603" s="3" t="s">
        <v>33</v>
      </c>
      <c r="C603" s="3" t="s">
        <v>23</v>
      </c>
      <c r="D603" s="3" t="s">
        <v>34</v>
      </c>
      <c r="E603" s="3" t="s">
        <v>25</v>
      </c>
      <c r="F603" s="3" t="s">
        <v>25</v>
      </c>
      <c r="G603" s="3" t="s">
        <v>25</v>
      </c>
      <c r="H603" s="3" t="s">
        <v>25</v>
      </c>
      <c r="I603" s="6">
        <v>44713</v>
      </c>
      <c r="J603" s="4">
        <v>0</v>
      </c>
      <c r="K603" s="4">
        <v>0</v>
      </c>
      <c r="L603" s="4">
        <v>431.96899999999999</v>
      </c>
      <c r="M603" s="4">
        <v>431.96899999999999</v>
      </c>
      <c r="N603" s="4">
        <v>431.96899999999999</v>
      </c>
      <c r="O603" s="4">
        <v>431.96899999999999</v>
      </c>
      <c r="P603" s="4">
        <v>677</v>
      </c>
      <c r="Q603" s="3" t="s">
        <v>26</v>
      </c>
      <c r="R603" s="3">
        <v>0</v>
      </c>
      <c r="S603" s="4">
        <v>0</v>
      </c>
      <c r="T603" s="4">
        <v>35</v>
      </c>
      <c r="U603" s="4">
        <v>62</v>
      </c>
      <c r="V603" s="4">
        <f>IF(ISERROR(VLOOKUP($S$603,'TAR FIN'!$A$1:$O$91,15,0)),0,VLOOKUP($S$603,'TAR FIN'!$A$1:$O$91,15,0))</f>
        <v>0</v>
      </c>
      <c r="W603" s="4">
        <f>IF(ISERROR(VLOOKUP($T$603,'TAR FIN'!$A$1:$O$91,15,0)),0,VLOOKUP($T$603,'TAR FIN'!$A$1:$O$91,15,0))</f>
        <v>312.64999999999998</v>
      </c>
      <c r="X603" s="4">
        <f>IF(ISERROR(VLOOKUP($U$603,'TAR FIN'!$A$1:$O$91,15,0)),0,VLOOKUP($U$603,'TAR FIN'!$A$1:$O$91,15,0))</f>
        <v>249.25</v>
      </c>
      <c r="Y603" s="4"/>
      <c r="Z603" s="4">
        <f ca="1">('TUSD BE'!$AM$51+'TUSD BF'!$AM$51+'TUSD CVA'!$AM$51)*1</f>
        <v>387.73720067118109</v>
      </c>
      <c r="AA603" s="4">
        <f>('TE BE'!$AB$41+'TE BF'!$AB$41+'TE CVA'!$AB$41)*1</f>
        <v>203.38274236935246</v>
      </c>
      <c r="AB603" s="4">
        <f>$K$603*$V$603</f>
        <v>0</v>
      </c>
      <c r="AC603" s="4">
        <f>$M$603*$W$603</f>
        <v>135055.10785</v>
      </c>
      <c r="AD603" s="4">
        <f>$O$603*$X$603</f>
        <v>107668.27325</v>
      </c>
      <c r="AE603" s="4">
        <f>$K$603*$Y$603</f>
        <v>0</v>
      </c>
      <c r="AF603" s="4">
        <f ca="1">$M$603*$Z$603</f>
        <v>167490.45083672943</v>
      </c>
      <c r="AG603" s="4">
        <f>$O$603*$AA$603</f>
        <v>87855.039838546814</v>
      </c>
    </row>
    <row r="604" spans="1:33" ht="11.25" customHeight="1" x14ac:dyDescent="0.25">
      <c r="A604" s="3" t="s">
        <v>27</v>
      </c>
      <c r="B604" s="3" t="s">
        <v>33</v>
      </c>
      <c r="C604" s="3" t="s">
        <v>23</v>
      </c>
      <c r="D604" s="3" t="s">
        <v>34</v>
      </c>
      <c r="E604" s="3" t="s">
        <v>25</v>
      </c>
      <c r="F604" s="3" t="s">
        <v>25</v>
      </c>
      <c r="G604" s="3" t="s">
        <v>25</v>
      </c>
      <c r="H604" s="3" t="s">
        <v>25</v>
      </c>
      <c r="I604" s="6">
        <v>44713</v>
      </c>
      <c r="J604" s="4">
        <v>0</v>
      </c>
      <c r="K604" s="4">
        <v>0</v>
      </c>
      <c r="L604" s="4">
        <v>-1.4450000000000001</v>
      </c>
      <c r="M604" s="4">
        <v>-1.4450000000000001</v>
      </c>
      <c r="N604" s="4">
        <v>-1.4450000000000001</v>
      </c>
      <c r="O604" s="4">
        <v>-1.4450000000000001</v>
      </c>
      <c r="P604" s="4">
        <v>0</v>
      </c>
      <c r="Q604" s="3" t="s">
        <v>26</v>
      </c>
      <c r="R604" s="3">
        <v>0</v>
      </c>
      <c r="S604" s="4">
        <v>0</v>
      </c>
      <c r="T604" s="4">
        <v>35</v>
      </c>
      <c r="U604" s="4">
        <v>62</v>
      </c>
      <c r="V604" s="4">
        <f>IF(ISERROR(VLOOKUP($S$604,'TAR FIN'!$A$1:$O$91,15,0)),0,VLOOKUP($S$604,'TAR FIN'!$A$1:$O$91,15,0))</f>
        <v>0</v>
      </c>
      <c r="W604" s="4">
        <f>IF(ISERROR(VLOOKUP($T$604,'TAR FIN'!$A$1:$O$91,15,0)),0,VLOOKUP($T$604,'TAR FIN'!$A$1:$O$91,15,0))</f>
        <v>312.64999999999998</v>
      </c>
      <c r="X604" s="4">
        <f>IF(ISERROR(VLOOKUP($U$604,'TAR FIN'!$A$1:$O$91,15,0)),0,VLOOKUP($U$604,'TAR FIN'!$A$1:$O$91,15,0))</f>
        <v>249.25</v>
      </c>
      <c r="Y604" s="4"/>
      <c r="Z604" s="4">
        <f ca="1">('TUSD BE'!$AM$51+'TUSD BF'!$AM$51+'TUSD CVA'!$AM$51)*1</f>
        <v>387.73720067118109</v>
      </c>
      <c r="AA604" s="4">
        <f>('TE BE'!$AB$41+'TE BF'!$AB$41+'TE CVA'!$AB$41)*1</f>
        <v>203.38274236935246</v>
      </c>
      <c r="AB604" s="4">
        <f>$K$604*$V$604</f>
        <v>0</v>
      </c>
      <c r="AC604" s="4">
        <f>$M$604*$W$604</f>
        <v>-451.77924999999999</v>
      </c>
      <c r="AD604" s="4">
        <f>$O$604*$X$604</f>
        <v>-360.16624999999999</v>
      </c>
      <c r="AE604" s="4">
        <f>$K$604*$Y$604</f>
        <v>0</v>
      </c>
      <c r="AF604" s="4">
        <f ca="1">$M$604*$Z$604</f>
        <v>-560.28025496985674</v>
      </c>
      <c r="AG604" s="4">
        <f>$O$604*$AA$604</f>
        <v>-293.88806272371431</v>
      </c>
    </row>
    <row r="605" spans="1:33" ht="11.25" customHeight="1" x14ac:dyDescent="0.25">
      <c r="A605" s="3" t="s">
        <v>28</v>
      </c>
      <c r="B605" s="3" t="s">
        <v>33</v>
      </c>
      <c r="C605" s="3" t="s">
        <v>23</v>
      </c>
      <c r="D605" s="3" t="s">
        <v>34</v>
      </c>
      <c r="E605" s="3" t="s">
        <v>25</v>
      </c>
      <c r="F605" s="3" t="s">
        <v>25</v>
      </c>
      <c r="G605" s="3" t="s">
        <v>25</v>
      </c>
      <c r="H605" s="3" t="s">
        <v>25</v>
      </c>
      <c r="I605" s="6">
        <v>44713</v>
      </c>
      <c r="J605" s="4">
        <v>0</v>
      </c>
      <c r="K605" s="4">
        <v>0</v>
      </c>
      <c r="L605" s="4">
        <v>52.77</v>
      </c>
      <c r="M605" s="4">
        <v>52.77</v>
      </c>
      <c r="N605" s="4">
        <v>52.77</v>
      </c>
      <c r="O605" s="4">
        <v>52.77</v>
      </c>
      <c r="P605" s="4">
        <v>53</v>
      </c>
      <c r="Q605" s="3" t="s">
        <v>26</v>
      </c>
      <c r="R605" s="3">
        <v>0</v>
      </c>
      <c r="S605" s="4">
        <v>0</v>
      </c>
      <c r="T605" s="4">
        <v>35</v>
      </c>
      <c r="U605" s="4">
        <v>62</v>
      </c>
      <c r="V605" s="4">
        <f>IF(ISERROR(VLOOKUP($S$605,'TAR FIN'!$A$1:$O$91,15,0)),0,VLOOKUP($S$605,'TAR FIN'!$A$1:$O$91,15,0))</f>
        <v>0</v>
      </c>
      <c r="W605" s="4">
        <f>IF(ISERROR(VLOOKUP($T$605,'TAR FIN'!$A$1:$O$91,15,0)),0,VLOOKUP($T$605,'TAR FIN'!$A$1:$O$91,15,0))</f>
        <v>312.64999999999998</v>
      </c>
      <c r="X605" s="4">
        <f>IF(ISERROR(VLOOKUP($U$605,'TAR FIN'!$A$1:$O$91,15,0)),0,VLOOKUP($U$605,'TAR FIN'!$A$1:$O$91,15,0))</f>
        <v>249.25</v>
      </c>
      <c r="Y605" s="4"/>
      <c r="Z605" s="4">
        <f ca="1">('TUSD BE'!$AM$51+'TUSD BF'!$AM$51+'TUSD CVA'!$AM$51)*1</f>
        <v>387.73720067118109</v>
      </c>
      <c r="AA605" s="4">
        <f>('TE BE'!$AB$41+'TE BF'!$AB$41+'TE CVA'!$AB$41)*1</f>
        <v>203.38274236935246</v>
      </c>
      <c r="AB605" s="4">
        <f>$K$605*$V$605</f>
        <v>0</v>
      </c>
      <c r="AC605" s="4">
        <f>$M$605*$W$605</f>
        <v>16498.540499999999</v>
      </c>
      <c r="AD605" s="4">
        <f>$O$605*$X$605</f>
        <v>13152.922500000001</v>
      </c>
      <c r="AE605" s="4">
        <f>$K$605*$Y$605</f>
        <v>0</v>
      </c>
      <c r="AF605" s="4">
        <f ca="1">$M$605*$Z$605</f>
        <v>20460.892079418227</v>
      </c>
      <c r="AG605" s="4">
        <f>$O$605*$AA$605</f>
        <v>10732.507314830729</v>
      </c>
    </row>
    <row r="606" spans="1:33" ht="11.25" customHeight="1" x14ac:dyDescent="0.25">
      <c r="A606" s="3" t="s">
        <v>21</v>
      </c>
      <c r="B606" s="3" t="s">
        <v>33</v>
      </c>
      <c r="C606" s="3" t="s">
        <v>23</v>
      </c>
      <c r="D606" s="3" t="s">
        <v>34</v>
      </c>
      <c r="E606" s="3" t="s">
        <v>25</v>
      </c>
      <c r="F606" s="3" t="s">
        <v>25</v>
      </c>
      <c r="G606" s="3" t="s">
        <v>25</v>
      </c>
      <c r="H606" s="3" t="s">
        <v>25</v>
      </c>
      <c r="I606" s="6">
        <v>44743</v>
      </c>
      <c r="J606" s="4">
        <v>0</v>
      </c>
      <c r="K606" s="4">
        <v>0</v>
      </c>
      <c r="L606" s="4">
        <v>417.428</v>
      </c>
      <c r="M606" s="4">
        <v>417.428</v>
      </c>
      <c r="N606" s="4">
        <v>417.428</v>
      </c>
      <c r="O606" s="4">
        <v>417.428</v>
      </c>
      <c r="P606" s="4">
        <v>675</v>
      </c>
      <c r="Q606" s="3" t="s">
        <v>26</v>
      </c>
      <c r="R606" s="3">
        <v>0</v>
      </c>
      <c r="S606" s="4">
        <v>0</v>
      </c>
      <c r="T606" s="4">
        <v>35</v>
      </c>
      <c r="U606" s="4">
        <v>62</v>
      </c>
      <c r="V606" s="4">
        <f>IF(ISERROR(VLOOKUP($S$606,'TAR FIN'!$A$1:$O$91,15,0)),0,VLOOKUP($S$606,'TAR FIN'!$A$1:$O$91,15,0))</f>
        <v>0</v>
      </c>
      <c r="W606" s="4">
        <f>IF(ISERROR(VLOOKUP($T$606,'TAR FIN'!$A$1:$O$91,15,0)),0,VLOOKUP($T$606,'TAR FIN'!$A$1:$O$91,15,0))</f>
        <v>312.64999999999998</v>
      </c>
      <c r="X606" s="4">
        <f>IF(ISERROR(VLOOKUP($U$606,'TAR FIN'!$A$1:$O$91,15,0)),0,VLOOKUP($U$606,'TAR FIN'!$A$1:$O$91,15,0))</f>
        <v>249.25</v>
      </c>
      <c r="Y606" s="4"/>
      <c r="Z606" s="4">
        <f ca="1">('TUSD BE'!$AM$51+'TUSD BF'!$AM$51+'TUSD CVA'!$AM$51)*1</f>
        <v>387.73720067118109</v>
      </c>
      <c r="AA606" s="4">
        <f>('TE BE'!$AB$41+'TE BF'!$AB$41+'TE CVA'!$AB$41)*1</f>
        <v>203.38274236935246</v>
      </c>
      <c r="AB606" s="4">
        <f>$K$606*$V$606</f>
        <v>0</v>
      </c>
      <c r="AC606" s="4">
        <f>$M$606*$W$606</f>
        <v>130508.8642</v>
      </c>
      <c r="AD606" s="4">
        <f>$O$606*$X$606</f>
        <v>104043.929</v>
      </c>
      <c r="AE606" s="4">
        <f>$K$606*$Y$606</f>
        <v>0</v>
      </c>
      <c r="AF606" s="4">
        <f ca="1">$M$606*$Z$606</f>
        <v>161852.36420176979</v>
      </c>
      <c r="AG606" s="4">
        <f>$O$606*$AA$606</f>
        <v>84897.651381754054</v>
      </c>
    </row>
    <row r="607" spans="1:33" ht="11.25" customHeight="1" x14ac:dyDescent="0.25">
      <c r="A607" s="3" t="s">
        <v>21</v>
      </c>
      <c r="B607" s="3" t="s">
        <v>33</v>
      </c>
      <c r="C607" s="3" t="s">
        <v>23</v>
      </c>
      <c r="D607" s="3" t="s">
        <v>34</v>
      </c>
      <c r="E607" s="3" t="s">
        <v>25</v>
      </c>
      <c r="F607" s="3" t="s">
        <v>25</v>
      </c>
      <c r="G607" s="3" t="s">
        <v>25</v>
      </c>
      <c r="H607" s="3" t="s">
        <v>25</v>
      </c>
      <c r="I607" s="6">
        <v>44774</v>
      </c>
      <c r="J607" s="4">
        <v>0</v>
      </c>
      <c r="K607" s="4">
        <v>0</v>
      </c>
      <c r="L607" s="4">
        <v>436.89299999999997</v>
      </c>
      <c r="M607" s="4">
        <v>436.89299999999997</v>
      </c>
      <c r="N607" s="4">
        <v>436.89299999999997</v>
      </c>
      <c r="O607" s="4">
        <v>436.89299999999997</v>
      </c>
      <c r="P607" s="4">
        <v>673</v>
      </c>
      <c r="Q607" s="3" t="s">
        <v>26</v>
      </c>
      <c r="R607" s="3">
        <v>0</v>
      </c>
      <c r="S607" s="4">
        <v>0</v>
      </c>
      <c r="T607" s="4">
        <v>35</v>
      </c>
      <c r="U607" s="4">
        <v>62</v>
      </c>
      <c r="V607" s="4">
        <f>IF(ISERROR(VLOOKUP($S$607,'TAR FIN'!$A$1:$O$91,15,0)),0,VLOOKUP($S$607,'TAR FIN'!$A$1:$O$91,15,0))</f>
        <v>0</v>
      </c>
      <c r="W607" s="4">
        <f>IF(ISERROR(VLOOKUP($T$607,'TAR FIN'!$A$1:$O$91,15,0)),0,VLOOKUP($T$607,'TAR FIN'!$A$1:$O$91,15,0))</f>
        <v>312.64999999999998</v>
      </c>
      <c r="X607" s="4">
        <f>IF(ISERROR(VLOOKUP($U$607,'TAR FIN'!$A$1:$O$91,15,0)),0,VLOOKUP($U$607,'TAR FIN'!$A$1:$O$91,15,0))</f>
        <v>249.25</v>
      </c>
      <c r="Y607" s="4"/>
      <c r="Z607" s="4">
        <f ca="1">('TUSD BE'!$AM$51+'TUSD BF'!$AM$51+'TUSD CVA'!$AM$51)*1</f>
        <v>387.73720067118109</v>
      </c>
      <c r="AA607" s="4">
        <f>('TE BE'!$AB$41+'TE BF'!$AB$41+'TE CVA'!$AB$41)*1</f>
        <v>203.38274236935246</v>
      </c>
      <c r="AB607" s="4">
        <f>$K$607*$V$607</f>
        <v>0</v>
      </c>
      <c r="AC607" s="4">
        <f>$M$607*$W$607</f>
        <v>136594.59644999998</v>
      </c>
      <c r="AD607" s="4">
        <f>$O$607*$X$607</f>
        <v>108895.58025</v>
      </c>
      <c r="AE607" s="4">
        <f>$K$607*$Y$607</f>
        <v>0</v>
      </c>
      <c r="AF607" s="4">
        <f ca="1">$M$607*$Z$607</f>
        <v>169399.66881283431</v>
      </c>
      <c r="AG607" s="4">
        <f>$O$607*$AA$607</f>
        <v>88856.496461973496</v>
      </c>
    </row>
    <row r="608" spans="1:33" ht="11.25" customHeight="1" x14ac:dyDescent="0.25">
      <c r="A608" s="3" t="s">
        <v>28</v>
      </c>
      <c r="B608" s="3" t="s">
        <v>33</v>
      </c>
      <c r="C608" s="3" t="s">
        <v>23</v>
      </c>
      <c r="D608" s="3" t="s">
        <v>34</v>
      </c>
      <c r="E608" s="3" t="s">
        <v>25</v>
      </c>
      <c r="F608" s="3" t="s">
        <v>25</v>
      </c>
      <c r="G608" s="3" t="s">
        <v>25</v>
      </c>
      <c r="H608" s="3" t="s">
        <v>25</v>
      </c>
      <c r="I608" s="6">
        <v>44774</v>
      </c>
      <c r="J608" s="4">
        <v>0</v>
      </c>
      <c r="K608" s="4">
        <v>0</v>
      </c>
      <c r="L608" s="4">
        <v>57.353999999999999</v>
      </c>
      <c r="M608" s="4">
        <v>57.353999999999999</v>
      </c>
      <c r="N608" s="4">
        <v>57.353999999999999</v>
      </c>
      <c r="O608" s="4">
        <v>57.353999999999999</v>
      </c>
      <c r="P608" s="4">
        <v>58</v>
      </c>
      <c r="Q608" s="3" t="s">
        <v>26</v>
      </c>
      <c r="R608" s="3">
        <v>0</v>
      </c>
      <c r="S608" s="4">
        <v>0</v>
      </c>
      <c r="T608" s="4">
        <v>35</v>
      </c>
      <c r="U608" s="4">
        <v>62</v>
      </c>
      <c r="V608" s="4">
        <f>IF(ISERROR(VLOOKUP($S$608,'TAR FIN'!$A$1:$O$91,15,0)),0,VLOOKUP($S$608,'TAR FIN'!$A$1:$O$91,15,0))</f>
        <v>0</v>
      </c>
      <c r="W608" s="4">
        <f>IF(ISERROR(VLOOKUP($T$608,'TAR FIN'!$A$1:$O$91,15,0)),0,VLOOKUP($T$608,'TAR FIN'!$A$1:$O$91,15,0))</f>
        <v>312.64999999999998</v>
      </c>
      <c r="X608" s="4">
        <f>IF(ISERROR(VLOOKUP($U$608,'TAR FIN'!$A$1:$O$91,15,0)),0,VLOOKUP($U$608,'TAR FIN'!$A$1:$O$91,15,0))</f>
        <v>249.25</v>
      </c>
      <c r="Y608" s="4"/>
      <c r="Z608" s="4">
        <f ca="1">('TUSD BE'!$AM$51+'TUSD BF'!$AM$51+'TUSD CVA'!$AM$51)*1</f>
        <v>387.73720067118109</v>
      </c>
      <c r="AA608" s="4">
        <f>('TE BE'!$AB$41+'TE BF'!$AB$41+'TE CVA'!$AB$41)*1</f>
        <v>203.38274236935246</v>
      </c>
      <c r="AB608" s="4">
        <f>$K$608*$V$608</f>
        <v>0</v>
      </c>
      <c r="AC608" s="4">
        <f>$M$608*$W$608</f>
        <v>17931.728099999997</v>
      </c>
      <c r="AD608" s="4">
        <f>$O$608*$X$608</f>
        <v>14295.4845</v>
      </c>
      <c r="AE608" s="4">
        <f>$K$608*$Y$608</f>
        <v>0</v>
      </c>
      <c r="AF608" s="4">
        <f ca="1">$M$608*$Z$608</f>
        <v>22238.279407294918</v>
      </c>
      <c r="AG608" s="4">
        <f>$O$608*$AA$608</f>
        <v>11664.81380585184</v>
      </c>
    </row>
    <row r="609" spans="1:33" ht="11.25" customHeight="1" x14ac:dyDescent="0.25">
      <c r="A609" s="3" t="s">
        <v>21</v>
      </c>
      <c r="B609" s="3" t="s">
        <v>33</v>
      </c>
      <c r="C609" s="3" t="s">
        <v>23</v>
      </c>
      <c r="D609" s="3" t="s">
        <v>42</v>
      </c>
      <c r="E609" s="3" t="s">
        <v>25</v>
      </c>
      <c r="F609" s="3" t="s">
        <v>25</v>
      </c>
      <c r="G609" s="3" t="s">
        <v>25</v>
      </c>
      <c r="H609" s="3" t="s">
        <v>25</v>
      </c>
      <c r="I609" s="6">
        <v>44440</v>
      </c>
      <c r="J609" s="4">
        <v>0</v>
      </c>
      <c r="K609" s="4">
        <v>0</v>
      </c>
      <c r="L609" s="4">
        <v>99.13</v>
      </c>
      <c r="M609" s="4">
        <v>99.13</v>
      </c>
      <c r="N609" s="4">
        <v>99.13</v>
      </c>
      <c r="O609" s="4">
        <v>99.13</v>
      </c>
      <c r="P609" s="4">
        <v>156</v>
      </c>
      <c r="Q609" s="3" t="s">
        <v>26</v>
      </c>
      <c r="R609" s="3">
        <v>0</v>
      </c>
      <c r="S609" s="4">
        <v>0</v>
      </c>
      <c r="T609" s="4">
        <v>35</v>
      </c>
      <c r="U609" s="4">
        <v>62</v>
      </c>
      <c r="V609" s="4">
        <f>IF(ISERROR(VLOOKUP($S$609,'TAR FIN'!$A$1:$O$91,15,0)),0,VLOOKUP($S$609,'TAR FIN'!$A$1:$O$91,15,0))</f>
        <v>0</v>
      </c>
      <c r="W609" s="4">
        <f>IF(ISERROR(VLOOKUP($T$609,'TAR FIN'!$A$1:$O$91,15,0)),0,VLOOKUP($T$609,'TAR FIN'!$A$1:$O$91,15,0))</f>
        <v>312.64999999999998</v>
      </c>
      <c r="X609" s="4">
        <f>IF(ISERROR(VLOOKUP($U$609,'TAR FIN'!$A$1:$O$91,15,0)),0,VLOOKUP($U$609,'TAR FIN'!$A$1:$O$91,15,0))</f>
        <v>249.25</v>
      </c>
      <c r="Y609" s="4"/>
      <c r="Z609" s="4">
        <f ca="1">('TUSD BE'!$AM$51+'TUSD BF'!$AM$51+'TUSD CVA'!$AM$51)*1</f>
        <v>387.73720067118109</v>
      </c>
      <c r="AA609" s="4">
        <f>('TE BE'!$AB$41+'TE BF'!$AB$41+'TE CVA'!$AB$41)*1</f>
        <v>203.38274236935246</v>
      </c>
      <c r="AB609" s="4">
        <f>$K$609*$V$609</f>
        <v>0</v>
      </c>
      <c r="AC609" s="4">
        <f>$M$609*$W$609</f>
        <v>30992.994499999997</v>
      </c>
      <c r="AD609" s="4">
        <f>$O$609*$X$609</f>
        <v>24708.1525</v>
      </c>
      <c r="AE609" s="4">
        <f>$K$609*$Y$609</f>
        <v>0</v>
      </c>
      <c r="AF609" s="4">
        <f ca="1">$M$609*$Z$609</f>
        <v>38436.388702534183</v>
      </c>
      <c r="AG609" s="4">
        <f>$O$609*$AA$609</f>
        <v>20161.331251073909</v>
      </c>
    </row>
    <row r="610" spans="1:33" ht="11.25" customHeight="1" x14ac:dyDescent="0.25">
      <c r="A610" s="3" t="s">
        <v>21</v>
      </c>
      <c r="B610" s="3" t="s">
        <v>33</v>
      </c>
      <c r="C610" s="3" t="s">
        <v>23</v>
      </c>
      <c r="D610" s="3" t="s">
        <v>42</v>
      </c>
      <c r="E610" s="3" t="s">
        <v>25</v>
      </c>
      <c r="F610" s="3" t="s">
        <v>25</v>
      </c>
      <c r="G610" s="3" t="s">
        <v>25</v>
      </c>
      <c r="H610" s="3" t="s">
        <v>25</v>
      </c>
      <c r="I610" s="6">
        <v>44470</v>
      </c>
      <c r="J610" s="4">
        <v>0</v>
      </c>
      <c r="K610" s="4">
        <v>0</v>
      </c>
      <c r="L610" s="4">
        <v>104.185</v>
      </c>
      <c r="M610" s="4">
        <v>104.185</v>
      </c>
      <c r="N610" s="4">
        <v>104.185</v>
      </c>
      <c r="O610" s="4">
        <v>104.185</v>
      </c>
      <c r="P610" s="4">
        <v>167</v>
      </c>
      <c r="Q610" s="3" t="s">
        <v>26</v>
      </c>
      <c r="R610" s="3">
        <v>0</v>
      </c>
      <c r="S610" s="4">
        <v>0</v>
      </c>
      <c r="T610" s="4">
        <v>35</v>
      </c>
      <c r="U610" s="4">
        <v>62</v>
      </c>
      <c r="V610" s="4">
        <f>IF(ISERROR(VLOOKUP($S$610,'TAR FIN'!$A$1:$O$91,15,0)),0,VLOOKUP($S$610,'TAR FIN'!$A$1:$O$91,15,0))</f>
        <v>0</v>
      </c>
      <c r="W610" s="4">
        <f>IF(ISERROR(VLOOKUP($T$610,'TAR FIN'!$A$1:$O$91,15,0)),0,VLOOKUP($T$610,'TAR FIN'!$A$1:$O$91,15,0))</f>
        <v>312.64999999999998</v>
      </c>
      <c r="X610" s="4">
        <f>IF(ISERROR(VLOOKUP($U$610,'TAR FIN'!$A$1:$O$91,15,0)),0,VLOOKUP($U$610,'TAR FIN'!$A$1:$O$91,15,0))</f>
        <v>249.25</v>
      </c>
      <c r="Y610" s="4"/>
      <c r="Z610" s="4">
        <f ca="1">('TUSD BE'!$AM$51+'TUSD BF'!$AM$51+'TUSD CVA'!$AM$51)*1</f>
        <v>387.73720067118109</v>
      </c>
      <c r="AA610" s="4">
        <f>('TE BE'!$AB$41+'TE BF'!$AB$41+'TE CVA'!$AB$41)*1</f>
        <v>203.38274236935246</v>
      </c>
      <c r="AB610" s="4">
        <f>$K$610*$V$610</f>
        <v>0</v>
      </c>
      <c r="AC610" s="4">
        <f>$M$610*$W$610</f>
        <v>32573.44025</v>
      </c>
      <c r="AD610" s="4">
        <f>$O$610*$X$610</f>
        <v>25968.111250000002</v>
      </c>
      <c r="AE610" s="4">
        <f>$K$610*$Y$610</f>
        <v>0</v>
      </c>
      <c r="AF610" s="4">
        <f ca="1">$M$610*$Z$610</f>
        <v>40396.400251927</v>
      </c>
      <c r="AG610" s="4">
        <f>$O$610*$AA$610</f>
        <v>21189.431013750986</v>
      </c>
    </row>
    <row r="611" spans="1:33" ht="11.25" customHeight="1" x14ac:dyDescent="0.25">
      <c r="A611" s="3" t="s">
        <v>21</v>
      </c>
      <c r="B611" s="3" t="s">
        <v>33</v>
      </c>
      <c r="C611" s="3" t="s">
        <v>23</v>
      </c>
      <c r="D611" s="3" t="s">
        <v>42</v>
      </c>
      <c r="E611" s="3" t="s">
        <v>25</v>
      </c>
      <c r="F611" s="3" t="s">
        <v>25</v>
      </c>
      <c r="G611" s="3" t="s">
        <v>25</v>
      </c>
      <c r="H611" s="3" t="s">
        <v>25</v>
      </c>
      <c r="I611" s="6">
        <v>44501</v>
      </c>
      <c r="J611" s="4">
        <v>0</v>
      </c>
      <c r="K611" s="4">
        <v>0</v>
      </c>
      <c r="L611" s="4">
        <v>134.24700000000001</v>
      </c>
      <c r="M611" s="4">
        <v>134.24700000000001</v>
      </c>
      <c r="N611" s="4">
        <v>134.24700000000001</v>
      </c>
      <c r="O611" s="4">
        <v>134.24700000000001</v>
      </c>
      <c r="P611" s="4">
        <v>167</v>
      </c>
      <c r="Q611" s="3" t="s">
        <v>26</v>
      </c>
      <c r="R611" s="3">
        <v>0</v>
      </c>
      <c r="S611" s="4">
        <v>0</v>
      </c>
      <c r="T611" s="4">
        <v>35</v>
      </c>
      <c r="U611" s="4">
        <v>62</v>
      </c>
      <c r="V611" s="4">
        <f>IF(ISERROR(VLOOKUP($S$611,'TAR FIN'!$A$1:$O$91,15,0)),0,VLOOKUP($S$611,'TAR FIN'!$A$1:$O$91,15,0))</f>
        <v>0</v>
      </c>
      <c r="W611" s="4">
        <f>IF(ISERROR(VLOOKUP($T$611,'TAR FIN'!$A$1:$O$91,15,0)),0,VLOOKUP($T$611,'TAR FIN'!$A$1:$O$91,15,0))</f>
        <v>312.64999999999998</v>
      </c>
      <c r="X611" s="4">
        <f>IF(ISERROR(VLOOKUP($U$611,'TAR FIN'!$A$1:$O$91,15,0)),0,VLOOKUP($U$611,'TAR FIN'!$A$1:$O$91,15,0))</f>
        <v>249.25</v>
      </c>
      <c r="Y611" s="4"/>
      <c r="Z611" s="4">
        <f ca="1">('TUSD BE'!$AM$51+'TUSD BF'!$AM$51+'TUSD CVA'!$AM$51)*1</f>
        <v>387.73720067118109</v>
      </c>
      <c r="AA611" s="4">
        <f>('TE BE'!$AB$41+'TE BF'!$AB$41+'TE CVA'!$AB$41)*1</f>
        <v>203.38274236935246</v>
      </c>
      <c r="AB611" s="4">
        <f>$K$611*$V$611</f>
        <v>0</v>
      </c>
      <c r="AC611" s="4">
        <f>$M$611*$W$611</f>
        <v>41972.324550000005</v>
      </c>
      <c r="AD611" s="4">
        <f>$O$611*$X$611</f>
        <v>33461.064750000005</v>
      </c>
      <c r="AE611" s="4">
        <f>$K$611*$Y$611</f>
        <v>0</v>
      </c>
      <c r="AF611" s="4">
        <f ca="1">$M$611*$Z$611</f>
        <v>52052.555978504053</v>
      </c>
      <c r="AG611" s="4">
        <f>$O$611*$AA$611</f>
        <v>27303.523014858463</v>
      </c>
    </row>
    <row r="612" spans="1:33" ht="11.25" customHeight="1" x14ac:dyDescent="0.25">
      <c r="A612" s="3" t="s">
        <v>21</v>
      </c>
      <c r="B612" s="3" t="s">
        <v>33</v>
      </c>
      <c r="C612" s="3" t="s">
        <v>23</v>
      </c>
      <c r="D612" s="3" t="s">
        <v>42</v>
      </c>
      <c r="E612" s="3" t="s">
        <v>25</v>
      </c>
      <c r="F612" s="3" t="s">
        <v>25</v>
      </c>
      <c r="G612" s="3" t="s">
        <v>25</v>
      </c>
      <c r="H612" s="3" t="s">
        <v>25</v>
      </c>
      <c r="I612" s="6">
        <v>44531</v>
      </c>
      <c r="J612" s="4">
        <v>0</v>
      </c>
      <c r="K612" s="4">
        <v>0</v>
      </c>
      <c r="L612" s="4">
        <v>137.59899999999999</v>
      </c>
      <c r="M612" s="4">
        <v>137.59899999999999</v>
      </c>
      <c r="N612" s="4">
        <v>137.59899999999999</v>
      </c>
      <c r="O612" s="4">
        <v>137.59899999999999</v>
      </c>
      <c r="P612" s="4">
        <v>167</v>
      </c>
      <c r="Q612" s="3" t="s">
        <v>26</v>
      </c>
      <c r="R612" s="3">
        <v>0</v>
      </c>
      <c r="S612" s="4">
        <v>0</v>
      </c>
      <c r="T612" s="4">
        <v>35</v>
      </c>
      <c r="U612" s="4">
        <v>62</v>
      </c>
      <c r="V612" s="4">
        <f>IF(ISERROR(VLOOKUP($S$612,'TAR FIN'!$A$1:$O$91,15,0)),0,VLOOKUP($S$612,'TAR FIN'!$A$1:$O$91,15,0))</f>
        <v>0</v>
      </c>
      <c r="W612" s="4">
        <f>IF(ISERROR(VLOOKUP($T$612,'TAR FIN'!$A$1:$O$91,15,0)),0,VLOOKUP($T$612,'TAR FIN'!$A$1:$O$91,15,0))</f>
        <v>312.64999999999998</v>
      </c>
      <c r="X612" s="4">
        <f>IF(ISERROR(VLOOKUP($U$612,'TAR FIN'!$A$1:$O$91,15,0)),0,VLOOKUP($U$612,'TAR FIN'!$A$1:$O$91,15,0))</f>
        <v>249.25</v>
      </c>
      <c r="Y612" s="4"/>
      <c r="Z612" s="4">
        <f ca="1">('TUSD BE'!$AM$51+'TUSD BF'!$AM$51+'TUSD CVA'!$AM$51)*1</f>
        <v>387.73720067118109</v>
      </c>
      <c r="AA612" s="4">
        <f>('TE BE'!$AB$41+'TE BF'!$AB$41+'TE CVA'!$AB$41)*1</f>
        <v>203.38274236935246</v>
      </c>
      <c r="AB612" s="4">
        <f>$K$612*$V$612</f>
        <v>0</v>
      </c>
      <c r="AC612" s="4">
        <f>$M$612*$W$612</f>
        <v>43020.327349999992</v>
      </c>
      <c r="AD612" s="4">
        <f>$O$612*$X$612</f>
        <v>34296.550749999995</v>
      </c>
      <c r="AE612" s="4">
        <f>$K$612*$Y$612</f>
        <v>0</v>
      </c>
      <c r="AF612" s="4">
        <f ca="1">$M$612*$Z$612</f>
        <v>53352.251075153843</v>
      </c>
      <c r="AG612" s="4">
        <f>$O$612*$AA$612</f>
        <v>27985.261967280527</v>
      </c>
    </row>
    <row r="613" spans="1:33" ht="11.25" customHeight="1" x14ac:dyDescent="0.25">
      <c r="A613" s="3" t="s">
        <v>21</v>
      </c>
      <c r="B613" s="3" t="s">
        <v>33</v>
      </c>
      <c r="C613" s="3" t="s">
        <v>23</v>
      </c>
      <c r="D613" s="3" t="s">
        <v>42</v>
      </c>
      <c r="E613" s="3" t="s">
        <v>25</v>
      </c>
      <c r="F613" s="3" t="s">
        <v>25</v>
      </c>
      <c r="G613" s="3" t="s">
        <v>25</v>
      </c>
      <c r="H613" s="3" t="s">
        <v>25</v>
      </c>
      <c r="I613" s="6">
        <v>44562</v>
      </c>
      <c r="J613" s="4">
        <v>0</v>
      </c>
      <c r="K613" s="4">
        <v>0</v>
      </c>
      <c r="L613" s="4">
        <v>112.33499999999999</v>
      </c>
      <c r="M613" s="4">
        <v>112.33499999999999</v>
      </c>
      <c r="N613" s="4">
        <v>112.33499999999999</v>
      </c>
      <c r="O613" s="4">
        <v>112.33499999999999</v>
      </c>
      <c r="P613" s="4">
        <v>167</v>
      </c>
      <c r="Q613" s="3" t="s">
        <v>26</v>
      </c>
      <c r="R613" s="3">
        <v>0</v>
      </c>
      <c r="S613" s="4">
        <v>0</v>
      </c>
      <c r="T613" s="4">
        <v>35</v>
      </c>
      <c r="U613" s="4">
        <v>62</v>
      </c>
      <c r="V613" s="4">
        <f>IF(ISERROR(VLOOKUP($S$613,'TAR FIN'!$A$1:$O$91,15,0)),0,VLOOKUP($S$613,'TAR FIN'!$A$1:$O$91,15,0))</f>
        <v>0</v>
      </c>
      <c r="W613" s="4">
        <f>IF(ISERROR(VLOOKUP($T$613,'TAR FIN'!$A$1:$O$91,15,0)),0,VLOOKUP($T$613,'TAR FIN'!$A$1:$O$91,15,0))</f>
        <v>312.64999999999998</v>
      </c>
      <c r="X613" s="4">
        <f>IF(ISERROR(VLOOKUP($U$613,'TAR FIN'!$A$1:$O$91,15,0)),0,VLOOKUP($U$613,'TAR FIN'!$A$1:$O$91,15,0))</f>
        <v>249.25</v>
      </c>
      <c r="Y613" s="4"/>
      <c r="Z613" s="4">
        <f ca="1">('TUSD BE'!$AM$51+'TUSD BF'!$AM$51+'TUSD CVA'!$AM$51)*1</f>
        <v>387.73720067118109</v>
      </c>
      <c r="AA613" s="4">
        <f>('TE BE'!$AB$41+'TE BF'!$AB$41+'TE CVA'!$AB$41)*1</f>
        <v>203.38274236935246</v>
      </c>
      <c r="AB613" s="4">
        <f>$K$613*$V$613</f>
        <v>0</v>
      </c>
      <c r="AC613" s="4">
        <f>$M$613*$W$613</f>
        <v>35121.537749999996</v>
      </c>
      <c r="AD613" s="4">
        <f>$O$613*$X$613</f>
        <v>27999.498749999999</v>
      </c>
      <c r="AE613" s="4">
        <f>$K$613*$Y$613</f>
        <v>0</v>
      </c>
      <c r="AF613" s="4">
        <f ca="1">$M$613*$Z$613</f>
        <v>43556.458437397123</v>
      </c>
      <c r="AG613" s="4">
        <f>$O$613*$AA$613</f>
        <v>22847.000364061209</v>
      </c>
    </row>
    <row r="614" spans="1:33" ht="11.25" customHeight="1" x14ac:dyDescent="0.25">
      <c r="A614" s="3" t="s">
        <v>21</v>
      </c>
      <c r="B614" s="3" t="s">
        <v>33</v>
      </c>
      <c r="C614" s="3" t="s">
        <v>23</v>
      </c>
      <c r="D614" s="3" t="s">
        <v>42</v>
      </c>
      <c r="E614" s="3" t="s">
        <v>25</v>
      </c>
      <c r="F614" s="3" t="s">
        <v>25</v>
      </c>
      <c r="G614" s="3" t="s">
        <v>25</v>
      </c>
      <c r="H614" s="3" t="s">
        <v>25</v>
      </c>
      <c r="I614" s="6">
        <v>44593</v>
      </c>
      <c r="J614" s="4">
        <v>0</v>
      </c>
      <c r="K614" s="4">
        <v>0</v>
      </c>
      <c r="L614" s="4">
        <v>166.108</v>
      </c>
      <c r="M614" s="4">
        <v>166.108</v>
      </c>
      <c r="N614" s="4">
        <v>166.108</v>
      </c>
      <c r="O614" s="4">
        <v>166.108</v>
      </c>
      <c r="P614" s="4">
        <v>168</v>
      </c>
      <c r="Q614" s="3" t="s">
        <v>26</v>
      </c>
      <c r="R614" s="3">
        <v>0</v>
      </c>
      <c r="S614" s="4">
        <v>0</v>
      </c>
      <c r="T614" s="4">
        <v>35</v>
      </c>
      <c r="U614" s="4">
        <v>62</v>
      </c>
      <c r="V614" s="4">
        <f>IF(ISERROR(VLOOKUP($S$614,'TAR FIN'!$A$1:$O$91,15,0)),0,VLOOKUP($S$614,'TAR FIN'!$A$1:$O$91,15,0))</f>
        <v>0</v>
      </c>
      <c r="W614" s="4">
        <f>IF(ISERROR(VLOOKUP($T$614,'TAR FIN'!$A$1:$O$91,15,0)),0,VLOOKUP($T$614,'TAR FIN'!$A$1:$O$91,15,0))</f>
        <v>312.64999999999998</v>
      </c>
      <c r="X614" s="4">
        <f>IF(ISERROR(VLOOKUP($U$614,'TAR FIN'!$A$1:$O$91,15,0)),0,VLOOKUP($U$614,'TAR FIN'!$A$1:$O$91,15,0))</f>
        <v>249.25</v>
      </c>
      <c r="Y614" s="4"/>
      <c r="Z614" s="4">
        <f ca="1">('TUSD BE'!$AM$51+'TUSD BF'!$AM$51+'TUSD CVA'!$AM$51)*1</f>
        <v>387.73720067118109</v>
      </c>
      <c r="AA614" s="4">
        <f>('TE BE'!$AB$41+'TE BF'!$AB$41+'TE CVA'!$AB$41)*1</f>
        <v>203.38274236935246</v>
      </c>
      <c r="AB614" s="4">
        <f>$K$614*$V$614</f>
        <v>0</v>
      </c>
      <c r="AC614" s="4">
        <f>$M$614*$W$614</f>
        <v>51933.6662</v>
      </c>
      <c r="AD614" s="4">
        <f>$O$614*$X$614</f>
        <v>41402.419000000002</v>
      </c>
      <c r="AE614" s="4">
        <f>$K$614*$Y$614</f>
        <v>0</v>
      </c>
      <c r="AF614" s="4">
        <f ca="1">$M$614*$Z$614</f>
        <v>64406.25092908855</v>
      </c>
      <c r="AG614" s="4">
        <f>$O$614*$AA$614</f>
        <v>33783.500569488402</v>
      </c>
    </row>
    <row r="615" spans="1:33" ht="11.25" customHeight="1" x14ac:dyDescent="0.25">
      <c r="A615" s="3" t="s">
        <v>21</v>
      </c>
      <c r="B615" s="3" t="s">
        <v>33</v>
      </c>
      <c r="C615" s="3" t="s">
        <v>23</v>
      </c>
      <c r="D615" s="3" t="s">
        <v>42</v>
      </c>
      <c r="E615" s="3" t="s">
        <v>25</v>
      </c>
      <c r="F615" s="3" t="s">
        <v>25</v>
      </c>
      <c r="G615" s="3" t="s">
        <v>25</v>
      </c>
      <c r="H615" s="3" t="s">
        <v>25</v>
      </c>
      <c r="I615" s="6">
        <v>44621</v>
      </c>
      <c r="J615" s="4">
        <v>0</v>
      </c>
      <c r="K615" s="4">
        <v>0</v>
      </c>
      <c r="L615" s="4">
        <v>181.74299999999999</v>
      </c>
      <c r="M615" s="4">
        <v>181.74299999999999</v>
      </c>
      <c r="N615" s="4">
        <v>181.74299999999999</v>
      </c>
      <c r="O615" s="4">
        <v>181.74299999999999</v>
      </c>
      <c r="P615" s="4">
        <v>168</v>
      </c>
      <c r="Q615" s="3" t="s">
        <v>26</v>
      </c>
      <c r="R615" s="3">
        <v>0</v>
      </c>
      <c r="S615" s="4">
        <v>0</v>
      </c>
      <c r="T615" s="4">
        <v>35</v>
      </c>
      <c r="U615" s="4">
        <v>62</v>
      </c>
      <c r="V615" s="4">
        <f>IF(ISERROR(VLOOKUP($S$615,'TAR FIN'!$A$1:$O$91,15,0)),0,VLOOKUP($S$615,'TAR FIN'!$A$1:$O$91,15,0))</f>
        <v>0</v>
      </c>
      <c r="W615" s="4">
        <f>IF(ISERROR(VLOOKUP($T$615,'TAR FIN'!$A$1:$O$91,15,0)),0,VLOOKUP($T$615,'TAR FIN'!$A$1:$O$91,15,0))</f>
        <v>312.64999999999998</v>
      </c>
      <c r="X615" s="4">
        <f>IF(ISERROR(VLOOKUP($U$615,'TAR FIN'!$A$1:$O$91,15,0)),0,VLOOKUP($U$615,'TAR FIN'!$A$1:$O$91,15,0))</f>
        <v>249.25</v>
      </c>
      <c r="Y615" s="4"/>
      <c r="Z615" s="4">
        <f ca="1">('TUSD BE'!$AM$51+'TUSD BF'!$AM$51+'TUSD CVA'!$AM$51)*1</f>
        <v>387.73720067118109</v>
      </c>
      <c r="AA615" s="4">
        <f>('TE BE'!$AB$41+'TE BF'!$AB$41+'TE CVA'!$AB$41)*1</f>
        <v>203.38274236935246</v>
      </c>
      <c r="AB615" s="4">
        <f>$K$615*$V$615</f>
        <v>0</v>
      </c>
      <c r="AC615" s="4">
        <f>$M$615*$W$615</f>
        <v>56821.948949999991</v>
      </c>
      <c r="AD615" s="4">
        <f>$O$615*$X$615</f>
        <v>45299.442750000002</v>
      </c>
      <c r="AE615" s="4">
        <f>$K$615*$Y$615</f>
        <v>0</v>
      </c>
      <c r="AF615" s="4">
        <f ca="1">$M$615*$Z$615</f>
        <v>70468.522061582466</v>
      </c>
      <c r="AG615" s="4">
        <f>$O$615*$AA$615</f>
        <v>36963.389746433226</v>
      </c>
    </row>
    <row r="616" spans="1:33" ht="11.25" customHeight="1" x14ac:dyDescent="0.25">
      <c r="A616" s="3" t="s">
        <v>21</v>
      </c>
      <c r="B616" s="3" t="s">
        <v>33</v>
      </c>
      <c r="C616" s="3" t="s">
        <v>23</v>
      </c>
      <c r="D616" s="3" t="s">
        <v>42</v>
      </c>
      <c r="E616" s="3" t="s">
        <v>25</v>
      </c>
      <c r="F616" s="3" t="s">
        <v>25</v>
      </c>
      <c r="G616" s="3" t="s">
        <v>25</v>
      </c>
      <c r="H616" s="3" t="s">
        <v>25</v>
      </c>
      <c r="I616" s="6">
        <v>44652</v>
      </c>
      <c r="J616" s="4">
        <v>0</v>
      </c>
      <c r="K616" s="4">
        <v>0</v>
      </c>
      <c r="L616" s="4">
        <v>126.41500000000001</v>
      </c>
      <c r="M616" s="4">
        <v>126.41500000000001</v>
      </c>
      <c r="N616" s="4">
        <v>126.41500000000001</v>
      </c>
      <c r="O616" s="4">
        <v>126.41500000000001</v>
      </c>
      <c r="P616" s="4">
        <v>167</v>
      </c>
      <c r="Q616" s="3" t="s">
        <v>26</v>
      </c>
      <c r="R616" s="3">
        <v>0</v>
      </c>
      <c r="S616" s="4">
        <v>0</v>
      </c>
      <c r="T616" s="4">
        <v>35</v>
      </c>
      <c r="U616" s="4">
        <v>62</v>
      </c>
      <c r="V616" s="4">
        <f>IF(ISERROR(VLOOKUP($S$616,'TAR FIN'!$A$1:$O$91,15,0)),0,VLOOKUP($S$616,'TAR FIN'!$A$1:$O$91,15,0))</f>
        <v>0</v>
      </c>
      <c r="W616" s="4">
        <f>IF(ISERROR(VLOOKUP($T$616,'TAR FIN'!$A$1:$O$91,15,0)),0,VLOOKUP($T$616,'TAR FIN'!$A$1:$O$91,15,0))</f>
        <v>312.64999999999998</v>
      </c>
      <c r="X616" s="4">
        <f>IF(ISERROR(VLOOKUP($U$616,'TAR FIN'!$A$1:$O$91,15,0)),0,VLOOKUP($U$616,'TAR FIN'!$A$1:$O$91,15,0))</f>
        <v>249.25</v>
      </c>
      <c r="Y616" s="4"/>
      <c r="Z616" s="4">
        <f ca="1">('TUSD BE'!$AM$51+'TUSD BF'!$AM$51+'TUSD CVA'!$AM$51)*1</f>
        <v>387.73720067118109</v>
      </c>
      <c r="AA616" s="4">
        <f>('TE BE'!$AB$41+'TE BF'!$AB$41+'TE CVA'!$AB$41)*1</f>
        <v>203.38274236935246</v>
      </c>
      <c r="AB616" s="4">
        <f>$K$616*$V$616</f>
        <v>0</v>
      </c>
      <c r="AC616" s="4">
        <f>$M$616*$W$616</f>
        <v>39523.649749999997</v>
      </c>
      <c r="AD616" s="4">
        <f>$O$616*$X$616</f>
        <v>31508.938750000001</v>
      </c>
      <c r="AE616" s="4">
        <f>$K$616*$Y$616</f>
        <v>0</v>
      </c>
      <c r="AF616" s="4">
        <f ca="1">$M$616*$Z$616</f>
        <v>49015.798222847363</v>
      </c>
      <c r="AG616" s="4">
        <f>$O$616*$AA$616</f>
        <v>25710.629376621691</v>
      </c>
    </row>
    <row r="617" spans="1:33" ht="11.25" customHeight="1" x14ac:dyDescent="0.25">
      <c r="A617" s="3" t="s">
        <v>21</v>
      </c>
      <c r="B617" s="3" t="s">
        <v>33</v>
      </c>
      <c r="C617" s="3" t="s">
        <v>23</v>
      </c>
      <c r="D617" s="3" t="s">
        <v>42</v>
      </c>
      <c r="E617" s="3" t="s">
        <v>25</v>
      </c>
      <c r="F617" s="3" t="s">
        <v>25</v>
      </c>
      <c r="G617" s="3" t="s">
        <v>25</v>
      </c>
      <c r="H617" s="3" t="s">
        <v>25</v>
      </c>
      <c r="I617" s="6">
        <v>44682</v>
      </c>
      <c r="J617" s="4">
        <v>0</v>
      </c>
      <c r="K617" s="4">
        <v>0</v>
      </c>
      <c r="L617" s="4">
        <v>108.601</v>
      </c>
      <c r="M617" s="4">
        <v>108.601</v>
      </c>
      <c r="N617" s="4">
        <v>108.601</v>
      </c>
      <c r="O617" s="4">
        <v>108.601</v>
      </c>
      <c r="P617" s="4">
        <v>167</v>
      </c>
      <c r="Q617" s="3" t="s">
        <v>26</v>
      </c>
      <c r="R617" s="3">
        <v>0</v>
      </c>
      <c r="S617" s="4">
        <v>0</v>
      </c>
      <c r="T617" s="4">
        <v>35</v>
      </c>
      <c r="U617" s="4">
        <v>62</v>
      </c>
      <c r="V617" s="4">
        <f>IF(ISERROR(VLOOKUP($S$617,'TAR FIN'!$A$1:$O$91,15,0)),0,VLOOKUP($S$617,'TAR FIN'!$A$1:$O$91,15,0))</f>
        <v>0</v>
      </c>
      <c r="W617" s="4">
        <f>IF(ISERROR(VLOOKUP($T$617,'TAR FIN'!$A$1:$O$91,15,0)),0,VLOOKUP($T$617,'TAR FIN'!$A$1:$O$91,15,0))</f>
        <v>312.64999999999998</v>
      </c>
      <c r="X617" s="4">
        <f>IF(ISERROR(VLOOKUP($U$617,'TAR FIN'!$A$1:$O$91,15,0)),0,VLOOKUP($U$617,'TAR FIN'!$A$1:$O$91,15,0))</f>
        <v>249.25</v>
      </c>
      <c r="Y617" s="4"/>
      <c r="Z617" s="4">
        <f ca="1">('TUSD BE'!$AM$51+'TUSD BF'!$AM$51+'TUSD CVA'!$AM$51)*1</f>
        <v>387.73720067118109</v>
      </c>
      <c r="AA617" s="4">
        <f>('TE BE'!$AB$41+'TE BF'!$AB$41+'TE CVA'!$AB$41)*1</f>
        <v>203.38274236935246</v>
      </c>
      <c r="AB617" s="4">
        <f>$K$617*$V$617</f>
        <v>0</v>
      </c>
      <c r="AC617" s="4">
        <f>$M$617*$W$617</f>
        <v>33954.102650000001</v>
      </c>
      <c r="AD617" s="4">
        <f>$O$617*$X$617</f>
        <v>27068.79925</v>
      </c>
      <c r="AE617" s="4">
        <f>$K$617*$Y$617</f>
        <v>0</v>
      </c>
      <c r="AF617" s="4">
        <f ca="1">$M$617*$Z$617</f>
        <v>42108.647730090939</v>
      </c>
      <c r="AG617" s="4">
        <f>$O$617*$AA$617</f>
        <v>22087.569204054045</v>
      </c>
    </row>
    <row r="618" spans="1:33" ht="11.25" customHeight="1" x14ac:dyDescent="0.25">
      <c r="A618" s="3" t="s">
        <v>21</v>
      </c>
      <c r="B618" s="3" t="s">
        <v>33</v>
      </c>
      <c r="C618" s="3" t="s">
        <v>23</v>
      </c>
      <c r="D618" s="3" t="s">
        <v>42</v>
      </c>
      <c r="E618" s="3" t="s">
        <v>25</v>
      </c>
      <c r="F618" s="3" t="s">
        <v>25</v>
      </c>
      <c r="G618" s="3" t="s">
        <v>25</v>
      </c>
      <c r="H618" s="3" t="s">
        <v>25</v>
      </c>
      <c r="I618" s="6">
        <v>44713</v>
      </c>
      <c r="J618" s="4">
        <v>0</v>
      </c>
      <c r="K618" s="4">
        <v>0</v>
      </c>
      <c r="L618" s="4">
        <v>111.941</v>
      </c>
      <c r="M618" s="4">
        <v>111.941</v>
      </c>
      <c r="N618" s="4">
        <v>111.941</v>
      </c>
      <c r="O618" s="4">
        <v>111.941</v>
      </c>
      <c r="P618" s="4">
        <v>168</v>
      </c>
      <c r="Q618" s="3" t="s">
        <v>26</v>
      </c>
      <c r="R618" s="3">
        <v>0</v>
      </c>
      <c r="S618" s="4">
        <v>0</v>
      </c>
      <c r="T618" s="4">
        <v>35</v>
      </c>
      <c r="U618" s="4">
        <v>62</v>
      </c>
      <c r="V618" s="4">
        <f>IF(ISERROR(VLOOKUP($S$618,'TAR FIN'!$A$1:$O$91,15,0)),0,VLOOKUP($S$618,'TAR FIN'!$A$1:$O$91,15,0))</f>
        <v>0</v>
      </c>
      <c r="W618" s="4">
        <f>IF(ISERROR(VLOOKUP($T$618,'TAR FIN'!$A$1:$O$91,15,0)),0,VLOOKUP($T$618,'TAR FIN'!$A$1:$O$91,15,0))</f>
        <v>312.64999999999998</v>
      </c>
      <c r="X618" s="4">
        <f>IF(ISERROR(VLOOKUP($U$618,'TAR FIN'!$A$1:$O$91,15,0)),0,VLOOKUP($U$618,'TAR FIN'!$A$1:$O$91,15,0))</f>
        <v>249.25</v>
      </c>
      <c r="Y618" s="4"/>
      <c r="Z618" s="4">
        <f ca="1">('TUSD BE'!$AM$51+'TUSD BF'!$AM$51+'TUSD CVA'!$AM$51)*1</f>
        <v>387.73720067118109</v>
      </c>
      <c r="AA618" s="4">
        <f>('TE BE'!$AB$41+'TE BF'!$AB$41+'TE CVA'!$AB$41)*1</f>
        <v>203.38274236935246</v>
      </c>
      <c r="AB618" s="4">
        <f>$K$618*$V$618</f>
        <v>0</v>
      </c>
      <c r="AC618" s="4">
        <f>$M$618*$W$618</f>
        <v>34998.353649999997</v>
      </c>
      <c r="AD618" s="4">
        <f>$O$618*$X$618</f>
        <v>27901.294249999999</v>
      </c>
      <c r="AE618" s="4">
        <f>$K$618*$Y$618</f>
        <v>0</v>
      </c>
      <c r="AF618" s="4">
        <f ca="1">$M$618*$Z$618</f>
        <v>43403.689980332681</v>
      </c>
      <c r="AG618" s="4">
        <f>$O$618*$AA$618</f>
        <v>22766.867563567685</v>
      </c>
    </row>
    <row r="619" spans="1:33" ht="11.25" customHeight="1" x14ac:dyDescent="0.25">
      <c r="A619" s="3" t="s">
        <v>21</v>
      </c>
      <c r="B619" s="3" t="s">
        <v>33</v>
      </c>
      <c r="C619" s="3" t="s">
        <v>23</v>
      </c>
      <c r="D619" s="3" t="s">
        <v>42</v>
      </c>
      <c r="E619" s="3" t="s">
        <v>25</v>
      </c>
      <c r="F619" s="3" t="s">
        <v>25</v>
      </c>
      <c r="G619" s="3" t="s">
        <v>25</v>
      </c>
      <c r="H619" s="3" t="s">
        <v>25</v>
      </c>
      <c r="I619" s="6">
        <v>44743</v>
      </c>
      <c r="J619" s="4">
        <v>0</v>
      </c>
      <c r="K619" s="4">
        <v>0</v>
      </c>
      <c r="L619" s="4">
        <v>132.96600000000001</v>
      </c>
      <c r="M619" s="4">
        <v>132.96600000000001</v>
      </c>
      <c r="N619" s="4">
        <v>132.96600000000001</v>
      </c>
      <c r="O619" s="4">
        <v>132.96600000000001</v>
      </c>
      <c r="P619" s="4">
        <v>168</v>
      </c>
      <c r="Q619" s="3" t="s">
        <v>26</v>
      </c>
      <c r="R619" s="3">
        <v>0</v>
      </c>
      <c r="S619" s="4">
        <v>0</v>
      </c>
      <c r="T619" s="4">
        <v>35</v>
      </c>
      <c r="U619" s="4">
        <v>62</v>
      </c>
      <c r="V619" s="4">
        <f>IF(ISERROR(VLOOKUP($S$619,'TAR FIN'!$A$1:$O$91,15,0)),0,VLOOKUP($S$619,'TAR FIN'!$A$1:$O$91,15,0))</f>
        <v>0</v>
      </c>
      <c r="W619" s="4">
        <f>IF(ISERROR(VLOOKUP($T$619,'TAR FIN'!$A$1:$O$91,15,0)),0,VLOOKUP($T$619,'TAR FIN'!$A$1:$O$91,15,0))</f>
        <v>312.64999999999998</v>
      </c>
      <c r="X619" s="4">
        <f>IF(ISERROR(VLOOKUP($U$619,'TAR FIN'!$A$1:$O$91,15,0)),0,VLOOKUP($U$619,'TAR FIN'!$A$1:$O$91,15,0))</f>
        <v>249.25</v>
      </c>
      <c r="Y619" s="4"/>
      <c r="Z619" s="4">
        <f ca="1">('TUSD BE'!$AM$51+'TUSD BF'!$AM$51+'TUSD CVA'!$AM$51)*1</f>
        <v>387.73720067118109</v>
      </c>
      <c r="AA619" s="4">
        <f>('TE BE'!$AB$41+'TE BF'!$AB$41+'TE CVA'!$AB$41)*1</f>
        <v>203.38274236935246</v>
      </c>
      <c r="AB619" s="4">
        <f>$K$619*$V$619</f>
        <v>0</v>
      </c>
      <c r="AC619" s="4">
        <f>$M$619*$W$619</f>
        <v>41571.819900000002</v>
      </c>
      <c r="AD619" s="4">
        <f>$O$619*$X$619</f>
        <v>33141.775500000003</v>
      </c>
      <c r="AE619" s="4">
        <f>$K$619*$Y$619</f>
        <v>0</v>
      </c>
      <c r="AF619" s="4">
        <f ca="1">$M$619*$Z$619</f>
        <v>51555.864624444264</v>
      </c>
      <c r="AG619" s="4">
        <f>$O$619*$AA$619</f>
        <v>27042.989721883321</v>
      </c>
    </row>
    <row r="620" spans="1:33" ht="11.25" customHeight="1" x14ac:dyDescent="0.25">
      <c r="A620" s="3" t="s">
        <v>21</v>
      </c>
      <c r="B620" s="3" t="s">
        <v>33</v>
      </c>
      <c r="C620" s="3" t="s">
        <v>23</v>
      </c>
      <c r="D620" s="3" t="s">
        <v>42</v>
      </c>
      <c r="E620" s="3" t="s">
        <v>25</v>
      </c>
      <c r="F620" s="3" t="s">
        <v>25</v>
      </c>
      <c r="G620" s="3" t="s">
        <v>25</v>
      </c>
      <c r="H620" s="3" t="s">
        <v>25</v>
      </c>
      <c r="I620" s="6">
        <v>44774</v>
      </c>
      <c r="J620" s="4">
        <v>0</v>
      </c>
      <c r="K620" s="4">
        <v>0</v>
      </c>
      <c r="L620" s="4">
        <v>107.05800000000001</v>
      </c>
      <c r="M620" s="4">
        <v>107.05800000000001</v>
      </c>
      <c r="N620" s="4">
        <v>107.05800000000001</v>
      </c>
      <c r="O620" s="4">
        <v>107.05800000000001</v>
      </c>
      <c r="P620" s="4">
        <v>178</v>
      </c>
      <c r="Q620" s="3" t="s">
        <v>26</v>
      </c>
      <c r="R620" s="3">
        <v>0</v>
      </c>
      <c r="S620" s="4">
        <v>0</v>
      </c>
      <c r="T620" s="4">
        <v>35</v>
      </c>
      <c r="U620" s="4">
        <v>62</v>
      </c>
      <c r="V620" s="4">
        <f>IF(ISERROR(VLOOKUP($S$620,'TAR FIN'!$A$1:$O$91,15,0)),0,VLOOKUP($S$620,'TAR FIN'!$A$1:$O$91,15,0))</f>
        <v>0</v>
      </c>
      <c r="W620" s="4">
        <f>IF(ISERROR(VLOOKUP($T$620,'TAR FIN'!$A$1:$O$91,15,0)),0,VLOOKUP($T$620,'TAR FIN'!$A$1:$O$91,15,0))</f>
        <v>312.64999999999998</v>
      </c>
      <c r="X620" s="4">
        <f>IF(ISERROR(VLOOKUP($U$620,'TAR FIN'!$A$1:$O$91,15,0)),0,VLOOKUP($U$620,'TAR FIN'!$A$1:$O$91,15,0))</f>
        <v>249.25</v>
      </c>
      <c r="Y620" s="4"/>
      <c r="Z620" s="4">
        <f ca="1">('TUSD BE'!$AM$51+'TUSD BF'!$AM$51+'TUSD CVA'!$AM$51)*1</f>
        <v>387.73720067118109</v>
      </c>
      <c r="AA620" s="4">
        <f>('TE BE'!$AB$41+'TE BF'!$AB$41+'TE CVA'!$AB$41)*1</f>
        <v>203.38274236935246</v>
      </c>
      <c r="AB620" s="4">
        <f>$K$620*$V$620</f>
        <v>0</v>
      </c>
      <c r="AC620" s="4">
        <f>$M$620*$W$620</f>
        <v>33471.683700000001</v>
      </c>
      <c r="AD620" s="4">
        <f>$O$620*$X$620</f>
        <v>26684.2065</v>
      </c>
      <c r="AE620" s="4">
        <f>$K$620*$Y$620</f>
        <v>0</v>
      </c>
      <c r="AF620" s="4">
        <f ca="1">$M$620*$Z$620</f>
        <v>41510.369229455304</v>
      </c>
      <c r="AG620" s="4">
        <f>$O$620*$AA$620</f>
        <v>21773.749632578136</v>
      </c>
    </row>
    <row r="621" spans="1:33" ht="11.25" customHeight="1" x14ac:dyDescent="0.25">
      <c r="A621" s="3" t="s">
        <v>21</v>
      </c>
      <c r="B621" s="3" t="s">
        <v>33</v>
      </c>
      <c r="C621" s="3" t="s">
        <v>23</v>
      </c>
      <c r="D621" s="3" t="s">
        <v>46</v>
      </c>
      <c r="E621" s="3" t="s">
        <v>47</v>
      </c>
      <c r="F621" s="3" t="s">
        <v>25</v>
      </c>
      <c r="G621" s="3" t="s">
        <v>25</v>
      </c>
      <c r="H621" s="3" t="s">
        <v>25</v>
      </c>
      <c r="I621" s="6">
        <v>44440</v>
      </c>
      <c r="J621" s="4">
        <v>0</v>
      </c>
      <c r="K621" s="54">
        <v>0</v>
      </c>
      <c r="L621" s="4">
        <v>16.821000000000002</v>
      </c>
      <c r="M621" s="54">
        <v>16.821000000000002</v>
      </c>
      <c r="N621" s="4">
        <v>16.821000000000002</v>
      </c>
      <c r="O621" s="54">
        <v>16.821000000000002</v>
      </c>
      <c r="P621" s="4">
        <v>12</v>
      </c>
      <c r="Q621" s="3" t="s">
        <v>26</v>
      </c>
      <c r="R621" s="3">
        <v>0</v>
      </c>
      <c r="S621" s="4">
        <v>0</v>
      </c>
      <c r="T621" s="4">
        <v>35</v>
      </c>
      <c r="U621" s="4">
        <v>62</v>
      </c>
      <c r="V621" s="54">
        <f>IF(ISERROR(VLOOKUP($S$621,'TAR FIN'!$A$1:$O$91,15,0)),0,VLOOKUP($S$621,'TAR FIN'!$A$1:$O$91,15,0))</f>
        <v>0</v>
      </c>
      <c r="W621" s="54">
        <f>IF(ISERROR(VLOOKUP($T$621,'TAR FIN'!$A$1:$O$91,15,0)),0,VLOOKUP($T$621,'TAR FIN'!$A$1:$O$91,15,0))*(1-0.06)</f>
        <v>293.89099999999996</v>
      </c>
      <c r="X621" s="54">
        <f>IF(ISERROR(VLOOKUP($U$621,'TAR FIN'!$A$1:$O$91,15,0)),0,VLOOKUP($U$621,'TAR FIN'!$A$1:$O$91,15,0))*(1-0.06)</f>
        <v>234.29499999999999</v>
      </c>
      <c r="Y621" s="54"/>
      <c r="Z621" s="54">
        <f ca="1">('TUSD BE'!$AM$51+'TUSD BF'!$AM$51+'TUSD CVA'!$AM$51)*1*(1-0.03)</f>
        <v>376.10508465104562</v>
      </c>
      <c r="AA621" s="54">
        <f>('TE BE'!$AB$41+'TE BF'!$AB$41+'TE CVA'!$AB$41)*1*(1-0.03)</f>
        <v>197.28126009827187</v>
      </c>
      <c r="AB621" s="4">
        <f>$K$621*$V$621</f>
        <v>0</v>
      </c>
      <c r="AC621" s="4">
        <f>$M$621*$W$621</f>
        <v>4943.5405110000002</v>
      </c>
      <c r="AD621" s="4">
        <f>$O$621*$X$621</f>
        <v>3941.0761950000001</v>
      </c>
      <c r="AE621" s="4">
        <f>$K$621*$Y$621</f>
        <v>0</v>
      </c>
      <c r="AF621" s="4">
        <f ca="1">$M$621*$Z$621</f>
        <v>6326.4636289152386</v>
      </c>
      <c r="AG621" s="4">
        <f>$O$621*$AA$621</f>
        <v>3318.4680761130317</v>
      </c>
    </row>
    <row r="622" spans="1:33" ht="11.25" customHeight="1" x14ac:dyDescent="0.25">
      <c r="A622" s="3" t="s">
        <v>21</v>
      </c>
      <c r="B622" s="3" t="s">
        <v>33</v>
      </c>
      <c r="C622" s="3" t="s">
        <v>23</v>
      </c>
      <c r="D622" s="3" t="s">
        <v>46</v>
      </c>
      <c r="E622" s="3" t="s">
        <v>47</v>
      </c>
      <c r="F622" s="3" t="s">
        <v>25</v>
      </c>
      <c r="G622" s="3" t="s">
        <v>25</v>
      </c>
      <c r="H622" s="3" t="s">
        <v>25</v>
      </c>
      <c r="I622" s="6">
        <v>44470</v>
      </c>
      <c r="J622" s="4">
        <v>0</v>
      </c>
      <c r="K622" s="54">
        <v>0</v>
      </c>
      <c r="L622" s="4">
        <v>17.177</v>
      </c>
      <c r="M622" s="54">
        <v>17.177</v>
      </c>
      <c r="N622" s="4">
        <v>17.177</v>
      </c>
      <c r="O622" s="54">
        <v>17.177</v>
      </c>
      <c r="P622" s="4">
        <v>12</v>
      </c>
      <c r="Q622" s="3" t="s">
        <v>26</v>
      </c>
      <c r="R622" s="3">
        <v>0</v>
      </c>
      <c r="S622" s="4">
        <v>0</v>
      </c>
      <c r="T622" s="4">
        <v>35</v>
      </c>
      <c r="U622" s="4">
        <v>62</v>
      </c>
      <c r="V622" s="54">
        <f>IF(ISERROR(VLOOKUP($S$622,'TAR FIN'!$A$1:$O$91,15,0)),0,VLOOKUP($S$622,'TAR FIN'!$A$1:$O$91,15,0))</f>
        <v>0</v>
      </c>
      <c r="W622" s="54">
        <f>IF(ISERROR(VLOOKUP($T$622,'TAR FIN'!$A$1:$O$91,15,0)),0,VLOOKUP($T$622,'TAR FIN'!$A$1:$O$91,15,0))*(1-0.06)</f>
        <v>293.89099999999996</v>
      </c>
      <c r="X622" s="54">
        <f>IF(ISERROR(VLOOKUP($U$622,'TAR FIN'!$A$1:$O$91,15,0)),0,VLOOKUP($U$622,'TAR FIN'!$A$1:$O$91,15,0))*(1-0.06)</f>
        <v>234.29499999999999</v>
      </c>
      <c r="Y622" s="54"/>
      <c r="Z622" s="54">
        <f ca="1">('TUSD BE'!$AM$51+'TUSD BF'!$AM$51+'TUSD CVA'!$AM$51)*1*(1-0.03)</f>
        <v>376.10508465104562</v>
      </c>
      <c r="AA622" s="54">
        <f>('TE BE'!$AB$41+'TE BF'!$AB$41+'TE CVA'!$AB$41)*1*(1-0.03)</f>
        <v>197.28126009827187</v>
      </c>
      <c r="AB622" s="4">
        <f>$K$622*$V$622</f>
        <v>0</v>
      </c>
      <c r="AC622" s="4">
        <f>$M$622*$W$622</f>
        <v>5048.1657069999992</v>
      </c>
      <c r="AD622" s="4">
        <f>$O$622*$X$622</f>
        <v>4024.4852149999997</v>
      </c>
      <c r="AE622" s="4">
        <f>$K$622*$Y$622</f>
        <v>0</v>
      </c>
      <c r="AF622" s="4">
        <f ca="1">$M$622*$Z$622</f>
        <v>6460.3570390510104</v>
      </c>
      <c r="AG622" s="4">
        <f>$O$622*$AA$622</f>
        <v>3388.7002047080159</v>
      </c>
    </row>
    <row r="623" spans="1:33" ht="11.25" customHeight="1" x14ac:dyDescent="0.25">
      <c r="A623" s="3" t="s">
        <v>21</v>
      </c>
      <c r="B623" s="3" t="s">
        <v>33</v>
      </c>
      <c r="C623" s="3" t="s">
        <v>23</v>
      </c>
      <c r="D623" s="3" t="s">
        <v>46</v>
      </c>
      <c r="E623" s="3" t="s">
        <v>47</v>
      </c>
      <c r="F623" s="3" t="s">
        <v>25</v>
      </c>
      <c r="G623" s="3" t="s">
        <v>25</v>
      </c>
      <c r="H623" s="3" t="s">
        <v>25</v>
      </c>
      <c r="I623" s="6">
        <v>44501</v>
      </c>
      <c r="J623" s="4">
        <v>0</v>
      </c>
      <c r="K623" s="54">
        <v>0</v>
      </c>
      <c r="L623" s="4">
        <v>18.698</v>
      </c>
      <c r="M623" s="54">
        <v>18.698</v>
      </c>
      <c r="N623" s="4">
        <v>18.698</v>
      </c>
      <c r="O623" s="54">
        <v>18.698</v>
      </c>
      <c r="P623" s="4">
        <v>12</v>
      </c>
      <c r="Q623" s="3" t="s">
        <v>26</v>
      </c>
      <c r="R623" s="3">
        <v>0</v>
      </c>
      <c r="S623" s="4">
        <v>0</v>
      </c>
      <c r="T623" s="4">
        <v>35</v>
      </c>
      <c r="U623" s="4">
        <v>62</v>
      </c>
      <c r="V623" s="54">
        <f>IF(ISERROR(VLOOKUP($S$623,'TAR FIN'!$A$1:$O$91,15,0)),0,VLOOKUP($S$623,'TAR FIN'!$A$1:$O$91,15,0))</f>
        <v>0</v>
      </c>
      <c r="W623" s="54">
        <f>IF(ISERROR(VLOOKUP($T$623,'TAR FIN'!$A$1:$O$91,15,0)),0,VLOOKUP($T$623,'TAR FIN'!$A$1:$O$91,15,0))*(1-0.06)</f>
        <v>293.89099999999996</v>
      </c>
      <c r="X623" s="54">
        <f>IF(ISERROR(VLOOKUP($U$623,'TAR FIN'!$A$1:$O$91,15,0)),0,VLOOKUP($U$623,'TAR FIN'!$A$1:$O$91,15,0))*(1-0.06)</f>
        <v>234.29499999999999</v>
      </c>
      <c r="Y623" s="54"/>
      <c r="Z623" s="54">
        <f ca="1">('TUSD BE'!$AM$51+'TUSD BF'!$AM$51+'TUSD CVA'!$AM$51)*1*(1-0.03)</f>
        <v>376.10508465104562</v>
      </c>
      <c r="AA623" s="54">
        <f>('TE BE'!$AB$41+'TE BF'!$AB$41+'TE CVA'!$AB$41)*1*(1-0.03)</f>
        <v>197.28126009827187</v>
      </c>
      <c r="AB623" s="4">
        <f>$K$623*$V$623</f>
        <v>0</v>
      </c>
      <c r="AC623" s="4">
        <f>$M$623*$W$623</f>
        <v>5495.1739179999995</v>
      </c>
      <c r="AD623" s="4">
        <f>$O$623*$X$623</f>
        <v>4380.8479099999995</v>
      </c>
      <c r="AE623" s="4">
        <f>$K$623*$Y$623</f>
        <v>0</v>
      </c>
      <c r="AF623" s="4">
        <f ca="1">$M$623*$Z$623</f>
        <v>7032.412872805251</v>
      </c>
      <c r="AG623" s="4">
        <f>$O$623*$AA$623</f>
        <v>3688.7650013174875</v>
      </c>
    </row>
    <row r="624" spans="1:33" ht="11.25" customHeight="1" x14ac:dyDescent="0.25">
      <c r="A624" s="3" t="s">
        <v>21</v>
      </c>
      <c r="B624" s="3" t="s">
        <v>33</v>
      </c>
      <c r="C624" s="3" t="s">
        <v>23</v>
      </c>
      <c r="D624" s="3" t="s">
        <v>46</v>
      </c>
      <c r="E624" s="3" t="s">
        <v>47</v>
      </c>
      <c r="F624" s="3" t="s">
        <v>25</v>
      </c>
      <c r="G624" s="3" t="s">
        <v>25</v>
      </c>
      <c r="H624" s="3" t="s">
        <v>25</v>
      </c>
      <c r="I624" s="6">
        <v>44531</v>
      </c>
      <c r="J624" s="4">
        <v>0</v>
      </c>
      <c r="K624" s="54">
        <v>0</v>
      </c>
      <c r="L624" s="4">
        <v>18.474</v>
      </c>
      <c r="M624" s="54">
        <v>18.474</v>
      </c>
      <c r="N624" s="4">
        <v>18.474</v>
      </c>
      <c r="O624" s="54">
        <v>18.474</v>
      </c>
      <c r="P624" s="4">
        <v>12</v>
      </c>
      <c r="Q624" s="3" t="s">
        <v>26</v>
      </c>
      <c r="R624" s="3">
        <v>0</v>
      </c>
      <c r="S624" s="4">
        <v>0</v>
      </c>
      <c r="T624" s="4">
        <v>35</v>
      </c>
      <c r="U624" s="4">
        <v>62</v>
      </c>
      <c r="V624" s="54">
        <f>IF(ISERROR(VLOOKUP($S$624,'TAR FIN'!$A$1:$O$91,15,0)),0,VLOOKUP($S$624,'TAR FIN'!$A$1:$O$91,15,0))</f>
        <v>0</v>
      </c>
      <c r="W624" s="54">
        <f>IF(ISERROR(VLOOKUP($T$624,'TAR FIN'!$A$1:$O$91,15,0)),0,VLOOKUP($T$624,'TAR FIN'!$A$1:$O$91,15,0))*(1-0.06)</f>
        <v>293.89099999999996</v>
      </c>
      <c r="X624" s="54">
        <f>IF(ISERROR(VLOOKUP($U$624,'TAR FIN'!$A$1:$O$91,15,0)),0,VLOOKUP($U$624,'TAR FIN'!$A$1:$O$91,15,0))*(1-0.06)</f>
        <v>234.29499999999999</v>
      </c>
      <c r="Y624" s="54"/>
      <c r="Z624" s="54">
        <f ca="1">('TUSD BE'!$AM$51+'TUSD BF'!$AM$51+'TUSD CVA'!$AM$51)*1*(1-0.03)</f>
        <v>376.10508465104562</v>
      </c>
      <c r="AA624" s="54">
        <f>('TE BE'!$AB$41+'TE BF'!$AB$41+'TE CVA'!$AB$41)*1*(1-0.03)</f>
        <v>197.28126009827187</v>
      </c>
      <c r="AB624" s="4">
        <f>$K$624*$V$624</f>
        <v>0</v>
      </c>
      <c r="AC624" s="4">
        <f>$M$624*$W$624</f>
        <v>5429.342333999999</v>
      </c>
      <c r="AD624" s="4">
        <f>$O$624*$X$624</f>
        <v>4328.3658299999997</v>
      </c>
      <c r="AE624" s="4">
        <f>$K$624*$Y$624</f>
        <v>0</v>
      </c>
      <c r="AF624" s="4">
        <f ca="1">$M$624*$Z$624</f>
        <v>6948.1653338434171</v>
      </c>
      <c r="AG624" s="4">
        <f>$O$624*$AA$624</f>
        <v>3644.5739990554748</v>
      </c>
    </row>
    <row r="625" spans="1:33" ht="11.25" customHeight="1" x14ac:dyDescent="0.25">
      <c r="A625" s="3" t="s">
        <v>21</v>
      </c>
      <c r="B625" s="3" t="s">
        <v>33</v>
      </c>
      <c r="C625" s="3" t="s">
        <v>23</v>
      </c>
      <c r="D625" s="3" t="s">
        <v>46</v>
      </c>
      <c r="E625" s="3" t="s">
        <v>47</v>
      </c>
      <c r="F625" s="3" t="s">
        <v>25</v>
      </c>
      <c r="G625" s="3" t="s">
        <v>25</v>
      </c>
      <c r="H625" s="3" t="s">
        <v>25</v>
      </c>
      <c r="I625" s="6">
        <v>44562</v>
      </c>
      <c r="J625" s="4">
        <v>0</v>
      </c>
      <c r="K625" s="54">
        <v>0</v>
      </c>
      <c r="L625" s="4">
        <v>17.599</v>
      </c>
      <c r="M625" s="54">
        <v>17.599</v>
      </c>
      <c r="N625" s="4">
        <v>17.599</v>
      </c>
      <c r="O625" s="54">
        <v>17.599</v>
      </c>
      <c r="P625" s="4">
        <v>12</v>
      </c>
      <c r="Q625" s="3" t="s">
        <v>26</v>
      </c>
      <c r="R625" s="3">
        <v>0</v>
      </c>
      <c r="S625" s="4">
        <v>0</v>
      </c>
      <c r="T625" s="4">
        <v>35</v>
      </c>
      <c r="U625" s="4">
        <v>62</v>
      </c>
      <c r="V625" s="54">
        <f>IF(ISERROR(VLOOKUP($S$625,'TAR FIN'!$A$1:$O$91,15,0)),0,VLOOKUP($S$625,'TAR FIN'!$A$1:$O$91,15,0))</f>
        <v>0</v>
      </c>
      <c r="W625" s="54">
        <f>IF(ISERROR(VLOOKUP($T$625,'TAR FIN'!$A$1:$O$91,15,0)),0,VLOOKUP($T$625,'TAR FIN'!$A$1:$O$91,15,0))*(1-0.06)</f>
        <v>293.89099999999996</v>
      </c>
      <c r="X625" s="54">
        <f>IF(ISERROR(VLOOKUP($U$625,'TAR FIN'!$A$1:$O$91,15,0)),0,VLOOKUP($U$625,'TAR FIN'!$A$1:$O$91,15,0))*(1-0.06)</f>
        <v>234.29499999999999</v>
      </c>
      <c r="Y625" s="54"/>
      <c r="Z625" s="54">
        <f ca="1">('TUSD BE'!$AM$51+'TUSD BF'!$AM$51+'TUSD CVA'!$AM$51)*1*(1-0.03)</f>
        <v>376.10508465104562</v>
      </c>
      <c r="AA625" s="54">
        <f>('TE BE'!$AB$41+'TE BF'!$AB$41+'TE CVA'!$AB$41)*1*(1-0.03)</f>
        <v>197.28126009827187</v>
      </c>
      <c r="AB625" s="4">
        <f>$K$625*$V$625</f>
        <v>0</v>
      </c>
      <c r="AC625" s="4">
        <f>$M$625*$W$625</f>
        <v>5172.1877089999998</v>
      </c>
      <c r="AD625" s="4">
        <f>$O$625*$X$625</f>
        <v>4123.3577049999994</v>
      </c>
      <c r="AE625" s="4">
        <f>$K$625*$Y$625</f>
        <v>0</v>
      </c>
      <c r="AF625" s="4">
        <f ca="1">$M$625*$Z$625</f>
        <v>6619.073384773752</v>
      </c>
      <c r="AG625" s="4">
        <f>$O$625*$AA$625</f>
        <v>3471.9528964694869</v>
      </c>
    </row>
    <row r="626" spans="1:33" ht="11.25" customHeight="1" x14ac:dyDescent="0.25">
      <c r="A626" s="3" t="s">
        <v>21</v>
      </c>
      <c r="B626" s="3" t="s">
        <v>33</v>
      </c>
      <c r="C626" s="3" t="s">
        <v>23</v>
      </c>
      <c r="D626" s="3" t="s">
        <v>46</v>
      </c>
      <c r="E626" s="3" t="s">
        <v>47</v>
      </c>
      <c r="F626" s="3" t="s">
        <v>25</v>
      </c>
      <c r="G626" s="3" t="s">
        <v>25</v>
      </c>
      <c r="H626" s="3" t="s">
        <v>25</v>
      </c>
      <c r="I626" s="6">
        <v>44593</v>
      </c>
      <c r="J626" s="4">
        <v>0</v>
      </c>
      <c r="K626" s="54">
        <v>0</v>
      </c>
      <c r="L626" s="4">
        <v>18.004000000000001</v>
      </c>
      <c r="M626" s="54">
        <v>18.004000000000001</v>
      </c>
      <c r="N626" s="4">
        <v>18.004000000000001</v>
      </c>
      <c r="O626" s="54">
        <v>18.004000000000001</v>
      </c>
      <c r="P626" s="4">
        <v>12</v>
      </c>
      <c r="Q626" s="3" t="s">
        <v>26</v>
      </c>
      <c r="R626" s="3">
        <v>0</v>
      </c>
      <c r="S626" s="4">
        <v>0</v>
      </c>
      <c r="T626" s="4">
        <v>35</v>
      </c>
      <c r="U626" s="4">
        <v>62</v>
      </c>
      <c r="V626" s="54">
        <f>IF(ISERROR(VLOOKUP($S$626,'TAR FIN'!$A$1:$O$91,15,0)),0,VLOOKUP($S$626,'TAR FIN'!$A$1:$O$91,15,0))</f>
        <v>0</v>
      </c>
      <c r="W626" s="54">
        <f>IF(ISERROR(VLOOKUP($T$626,'TAR FIN'!$A$1:$O$91,15,0)),0,VLOOKUP($T$626,'TAR FIN'!$A$1:$O$91,15,0))*(1-0.06)</f>
        <v>293.89099999999996</v>
      </c>
      <c r="X626" s="54">
        <f>IF(ISERROR(VLOOKUP($U$626,'TAR FIN'!$A$1:$O$91,15,0)),0,VLOOKUP($U$626,'TAR FIN'!$A$1:$O$91,15,0))*(1-0.06)</f>
        <v>234.29499999999999</v>
      </c>
      <c r="Y626" s="54"/>
      <c r="Z626" s="54">
        <f ca="1">('TUSD BE'!$AM$51+'TUSD BF'!$AM$51+'TUSD CVA'!$AM$51)*1*(1-0.03)</f>
        <v>376.10508465104562</v>
      </c>
      <c r="AA626" s="54">
        <f>('TE BE'!$AB$41+'TE BF'!$AB$41+'TE CVA'!$AB$41)*1*(1-0.03)</f>
        <v>197.28126009827187</v>
      </c>
      <c r="AB626" s="4">
        <f>$K$626*$V$626</f>
        <v>0</v>
      </c>
      <c r="AC626" s="4">
        <f>$M$626*$W$626</f>
        <v>5291.2135639999997</v>
      </c>
      <c r="AD626" s="4">
        <f>$O$626*$X$626</f>
        <v>4218.2471800000003</v>
      </c>
      <c r="AE626" s="4">
        <f>$K$626*$Y$626</f>
        <v>0</v>
      </c>
      <c r="AF626" s="4">
        <f ca="1">$M$626*$Z$626</f>
        <v>6771.3959440574254</v>
      </c>
      <c r="AG626" s="4">
        <f>$O$626*$AA$626</f>
        <v>3551.8518068092872</v>
      </c>
    </row>
    <row r="627" spans="1:33" ht="11.25" customHeight="1" x14ac:dyDescent="0.25">
      <c r="A627" s="3" t="s">
        <v>21</v>
      </c>
      <c r="B627" s="3" t="s">
        <v>33</v>
      </c>
      <c r="C627" s="3" t="s">
        <v>23</v>
      </c>
      <c r="D627" s="3" t="s">
        <v>46</v>
      </c>
      <c r="E627" s="3" t="s">
        <v>47</v>
      </c>
      <c r="F627" s="3" t="s">
        <v>25</v>
      </c>
      <c r="G627" s="3" t="s">
        <v>25</v>
      </c>
      <c r="H627" s="3" t="s">
        <v>25</v>
      </c>
      <c r="I627" s="6">
        <v>44621</v>
      </c>
      <c r="J627" s="4">
        <v>0</v>
      </c>
      <c r="K627" s="54">
        <v>0</v>
      </c>
      <c r="L627" s="4">
        <v>17.201000000000001</v>
      </c>
      <c r="M627" s="54">
        <v>17.201000000000001</v>
      </c>
      <c r="N627" s="4">
        <v>17.201000000000001</v>
      </c>
      <c r="O627" s="54">
        <v>17.201000000000001</v>
      </c>
      <c r="P627" s="4">
        <v>12</v>
      </c>
      <c r="Q627" s="3" t="s">
        <v>26</v>
      </c>
      <c r="R627" s="3">
        <v>0</v>
      </c>
      <c r="S627" s="4">
        <v>0</v>
      </c>
      <c r="T627" s="4">
        <v>35</v>
      </c>
      <c r="U627" s="4">
        <v>62</v>
      </c>
      <c r="V627" s="54">
        <f>IF(ISERROR(VLOOKUP($S$627,'TAR FIN'!$A$1:$O$91,15,0)),0,VLOOKUP($S$627,'TAR FIN'!$A$1:$O$91,15,0))</f>
        <v>0</v>
      </c>
      <c r="W627" s="54">
        <f>IF(ISERROR(VLOOKUP($T$627,'TAR FIN'!$A$1:$O$91,15,0)),0,VLOOKUP($T$627,'TAR FIN'!$A$1:$O$91,15,0))*(1-0.06)</f>
        <v>293.89099999999996</v>
      </c>
      <c r="X627" s="54">
        <f>IF(ISERROR(VLOOKUP($U$627,'TAR FIN'!$A$1:$O$91,15,0)),0,VLOOKUP($U$627,'TAR FIN'!$A$1:$O$91,15,0))*(1-0.06)</f>
        <v>234.29499999999999</v>
      </c>
      <c r="Y627" s="54"/>
      <c r="Z627" s="54">
        <f ca="1">('TUSD BE'!$AM$51+'TUSD BF'!$AM$51+'TUSD CVA'!$AM$51)*1*(1-0.03)</f>
        <v>376.10508465104562</v>
      </c>
      <c r="AA627" s="54">
        <f>('TE BE'!$AB$41+'TE BF'!$AB$41+'TE CVA'!$AB$41)*1*(1-0.03)</f>
        <v>197.28126009827187</v>
      </c>
      <c r="AB627" s="4">
        <f>$K$627*$V$627</f>
        <v>0</v>
      </c>
      <c r="AC627" s="4">
        <f>$M$627*$W$627</f>
        <v>5055.2190909999999</v>
      </c>
      <c r="AD627" s="4">
        <f>$O$627*$X$627</f>
        <v>4030.108295</v>
      </c>
      <c r="AE627" s="4">
        <f>$K$627*$Y$627</f>
        <v>0</v>
      </c>
      <c r="AF627" s="4">
        <f ca="1">$M$627*$Z$627</f>
        <v>6469.3835610826354</v>
      </c>
      <c r="AG627" s="4">
        <f>$O$627*$AA$627</f>
        <v>3393.4349549503745</v>
      </c>
    </row>
    <row r="628" spans="1:33" ht="11.25" customHeight="1" x14ac:dyDescent="0.25">
      <c r="A628" s="3" t="s">
        <v>21</v>
      </c>
      <c r="B628" s="3" t="s">
        <v>33</v>
      </c>
      <c r="C628" s="3" t="s">
        <v>23</v>
      </c>
      <c r="D628" s="3" t="s">
        <v>46</v>
      </c>
      <c r="E628" s="3" t="s">
        <v>47</v>
      </c>
      <c r="F628" s="3" t="s">
        <v>25</v>
      </c>
      <c r="G628" s="3" t="s">
        <v>25</v>
      </c>
      <c r="H628" s="3" t="s">
        <v>25</v>
      </c>
      <c r="I628" s="6">
        <v>44652</v>
      </c>
      <c r="J628" s="4">
        <v>0</v>
      </c>
      <c r="K628" s="54">
        <v>0</v>
      </c>
      <c r="L628" s="4">
        <v>19.294</v>
      </c>
      <c r="M628" s="54">
        <v>19.294</v>
      </c>
      <c r="N628" s="4">
        <v>19.294</v>
      </c>
      <c r="O628" s="54">
        <v>19.294</v>
      </c>
      <c r="P628" s="4">
        <v>12</v>
      </c>
      <c r="Q628" s="3" t="s">
        <v>26</v>
      </c>
      <c r="R628" s="3">
        <v>0</v>
      </c>
      <c r="S628" s="4">
        <v>0</v>
      </c>
      <c r="T628" s="4">
        <v>35</v>
      </c>
      <c r="U628" s="4">
        <v>62</v>
      </c>
      <c r="V628" s="54">
        <f>IF(ISERROR(VLOOKUP($S$628,'TAR FIN'!$A$1:$O$91,15,0)),0,VLOOKUP($S$628,'TAR FIN'!$A$1:$O$91,15,0))</f>
        <v>0</v>
      </c>
      <c r="W628" s="54">
        <f>IF(ISERROR(VLOOKUP($T$628,'TAR FIN'!$A$1:$O$91,15,0)),0,VLOOKUP($T$628,'TAR FIN'!$A$1:$O$91,15,0))*(1-0.06)</f>
        <v>293.89099999999996</v>
      </c>
      <c r="X628" s="54">
        <f>IF(ISERROR(VLOOKUP($U$628,'TAR FIN'!$A$1:$O$91,15,0)),0,VLOOKUP($U$628,'TAR FIN'!$A$1:$O$91,15,0))*(1-0.06)</f>
        <v>234.29499999999999</v>
      </c>
      <c r="Y628" s="54"/>
      <c r="Z628" s="54">
        <f ca="1">('TUSD BE'!$AM$51+'TUSD BF'!$AM$51+'TUSD CVA'!$AM$51)*1*(1-0.03)</f>
        <v>376.10508465104562</v>
      </c>
      <c r="AA628" s="54">
        <f>('TE BE'!$AB$41+'TE BF'!$AB$41+'TE CVA'!$AB$41)*1*(1-0.03)</f>
        <v>197.28126009827187</v>
      </c>
      <c r="AB628" s="4">
        <f>$K$628*$V$628</f>
        <v>0</v>
      </c>
      <c r="AC628" s="4">
        <f>$M$628*$W$628</f>
        <v>5670.3329539999995</v>
      </c>
      <c r="AD628" s="4">
        <f>$O$628*$X$628</f>
        <v>4520.4877299999998</v>
      </c>
      <c r="AE628" s="4">
        <f>$K$628*$Y$628</f>
        <v>0</v>
      </c>
      <c r="AF628" s="4">
        <f ca="1">$M$628*$Z$628</f>
        <v>7256.5715032572743</v>
      </c>
      <c r="AG628" s="4">
        <f>$O$628*$AA$628</f>
        <v>3806.3446323360577</v>
      </c>
    </row>
    <row r="629" spans="1:33" ht="11.25" customHeight="1" x14ac:dyDescent="0.25">
      <c r="A629" s="3" t="s">
        <v>21</v>
      </c>
      <c r="B629" s="3" t="s">
        <v>33</v>
      </c>
      <c r="C629" s="3" t="s">
        <v>23</v>
      </c>
      <c r="D629" s="3" t="s">
        <v>46</v>
      </c>
      <c r="E629" s="3" t="s">
        <v>47</v>
      </c>
      <c r="F629" s="3" t="s">
        <v>25</v>
      </c>
      <c r="G629" s="3" t="s">
        <v>25</v>
      </c>
      <c r="H629" s="3" t="s">
        <v>25</v>
      </c>
      <c r="I629" s="6">
        <v>44682</v>
      </c>
      <c r="J629" s="4">
        <v>0</v>
      </c>
      <c r="K629" s="54">
        <v>0</v>
      </c>
      <c r="L629" s="4">
        <v>18.248999999999999</v>
      </c>
      <c r="M629" s="54">
        <v>18.248999999999999</v>
      </c>
      <c r="N629" s="4">
        <v>18.248999999999999</v>
      </c>
      <c r="O629" s="54">
        <v>18.248999999999999</v>
      </c>
      <c r="P629" s="4">
        <v>12</v>
      </c>
      <c r="Q629" s="3" t="s">
        <v>26</v>
      </c>
      <c r="R629" s="3">
        <v>0</v>
      </c>
      <c r="S629" s="4">
        <v>0</v>
      </c>
      <c r="T629" s="4">
        <v>35</v>
      </c>
      <c r="U629" s="4">
        <v>62</v>
      </c>
      <c r="V629" s="54">
        <f>IF(ISERROR(VLOOKUP($S$629,'TAR FIN'!$A$1:$O$91,15,0)),0,VLOOKUP($S$629,'TAR FIN'!$A$1:$O$91,15,0))</f>
        <v>0</v>
      </c>
      <c r="W629" s="54">
        <f>IF(ISERROR(VLOOKUP($T$629,'TAR FIN'!$A$1:$O$91,15,0)),0,VLOOKUP($T$629,'TAR FIN'!$A$1:$O$91,15,0))*(1-0.06)</f>
        <v>293.89099999999996</v>
      </c>
      <c r="X629" s="54">
        <f>IF(ISERROR(VLOOKUP($U$629,'TAR FIN'!$A$1:$O$91,15,0)),0,VLOOKUP($U$629,'TAR FIN'!$A$1:$O$91,15,0))*(1-0.06)</f>
        <v>234.29499999999999</v>
      </c>
      <c r="Y629" s="54"/>
      <c r="Z629" s="54">
        <f ca="1">('TUSD BE'!$AM$51+'TUSD BF'!$AM$51+'TUSD CVA'!$AM$51)*1*(1-0.03)</f>
        <v>376.10508465104562</v>
      </c>
      <c r="AA629" s="54">
        <f>('TE BE'!$AB$41+'TE BF'!$AB$41+'TE CVA'!$AB$41)*1*(1-0.03)</f>
        <v>197.28126009827187</v>
      </c>
      <c r="AB629" s="4">
        <f>$K$629*$V$629</f>
        <v>0</v>
      </c>
      <c r="AC629" s="4">
        <f>$M$629*$W$629</f>
        <v>5363.2168589999992</v>
      </c>
      <c r="AD629" s="4">
        <f>$O$629*$X$629</f>
        <v>4275.6494549999998</v>
      </c>
      <c r="AE629" s="4">
        <f>$K$629*$Y$629</f>
        <v>0</v>
      </c>
      <c r="AF629" s="4">
        <f ca="1">$M$629*$Z$629</f>
        <v>6863.5416897969308</v>
      </c>
      <c r="AG629" s="4">
        <f>$O$629*$AA$629</f>
        <v>3600.1857155333632</v>
      </c>
    </row>
    <row r="630" spans="1:33" ht="11.25" customHeight="1" x14ac:dyDescent="0.25">
      <c r="A630" s="3" t="s">
        <v>21</v>
      </c>
      <c r="B630" s="3" t="s">
        <v>33</v>
      </c>
      <c r="C630" s="3" t="s">
        <v>23</v>
      </c>
      <c r="D630" s="3" t="s">
        <v>46</v>
      </c>
      <c r="E630" s="3" t="s">
        <v>47</v>
      </c>
      <c r="F630" s="3" t="s">
        <v>25</v>
      </c>
      <c r="G630" s="3" t="s">
        <v>25</v>
      </c>
      <c r="H630" s="3" t="s">
        <v>25</v>
      </c>
      <c r="I630" s="6">
        <v>44713</v>
      </c>
      <c r="J630" s="4">
        <v>0</v>
      </c>
      <c r="K630" s="54">
        <v>0</v>
      </c>
      <c r="L630" s="4">
        <v>19.920999999999999</v>
      </c>
      <c r="M630" s="54">
        <v>19.920999999999999</v>
      </c>
      <c r="N630" s="4">
        <v>19.920999999999999</v>
      </c>
      <c r="O630" s="54">
        <v>19.920999999999999</v>
      </c>
      <c r="P630" s="4">
        <v>12</v>
      </c>
      <c r="Q630" s="3" t="s">
        <v>26</v>
      </c>
      <c r="R630" s="3">
        <v>0</v>
      </c>
      <c r="S630" s="4">
        <v>0</v>
      </c>
      <c r="T630" s="4">
        <v>35</v>
      </c>
      <c r="U630" s="4">
        <v>62</v>
      </c>
      <c r="V630" s="54">
        <f>IF(ISERROR(VLOOKUP($S$630,'TAR FIN'!$A$1:$O$91,15,0)),0,VLOOKUP($S$630,'TAR FIN'!$A$1:$O$91,15,0))</f>
        <v>0</v>
      </c>
      <c r="W630" s="54">
        <f>IF(ISERROR(VLOOKUP($T$630,'TAR FIN'!$A$1:$O$91,15,0)),0,VLOOKUP($T$630,'TAR FIN'!$A$1:$O$91,15,0))*(1-0.06)</f>
        <v>293.89099999999996</v>
      </c>
      <c r="X630" s="54">
        <f>IF(ISERROR(VLOOKUP($U$630,'TAR FIN'!$A$1:$O$91,15,0)),0,VLOOKUP($U$630,'TAR FIN'!$A$1:$O$91,15,0))*(1-0.06)</f>
        <v>234.29499999999999</v>
      </c>
      <c r="Y630" s="54"/>
      <c r="Z630" s="54">
        <f ca="1">('TUSD BE'!$AM$51+'TUSD BF'!$AM$51+'TUSD CVA'!$AM$51)*1*(1-0.03)</f>
        <v>376.10508465104562</v>
      </c>
      <c r="AA630" s="54">
        <f>('TE BE'!$AB$41+'TE BF'!$AB$41+'TE CVA'!$AB$41)*1*(1-0.03)</f>
        <v>197.28126009827187</v>
      </c>
      <c r="AB630" s="4">
        <f>$K$630*$V$630</f>
        <v>0</v>
      </c>
      <c r="AC630" s="4">
        <f>$M$630*$W$630</f>
        <v>5854.6026109999993</v>
      </c>
      <c r="AD630" s="4">
        <f>$O$630*$X$630</f>
        <v>4667.3906950000001</v>
      </c>
      <c r="AE630" s="4">
        <f>$K$630*$Y$630</f>
        <v>0</v>
      </c>
      <c r="AF630" s="4">
        <f ca="1">$M$630*$Z$630</f>
        <v>7492.3893913334796</v>
      </c>
      <c r="AG630" s="4">
        <f>$O$630*$AA$630</f>
        <v>3930.0399824176739</v>
      </c>
    </row>
    <row r="631" spans="1:33" ht="11.25" customHeight="1" x14ac:dyDescent="0.25">
      <c r="A631" s="3" t="s">
        <v>21</v>
      </c>
      <c r="B631" s="3" t="s">
        <v>33</v>
      </c>
      <c r="C631" s="3" t="s">
        <v>23</v>
      </c>
      <c r="D631" s="3" t="s">
        <v>46</v>
      </c>
      <c r="E631" s="3" t="s">
        <v>47</v>
      </c>
      <c r="F631" s="3" t="s">
        <v>25</v>
      </c>
      <c r="G631" s="3" t="s">
        <v>25</v>
      </c>
      <c r="H631" s="3" t="s">
        <v>25</v>
      </c>
      <c r="I631" s="6">
        <v>44743</v>
      </c>
      <c r="J631" s="4">
        <v>0</v>
      </c>
      <c r="K631" s="54">
        <v>0</v>
      </c>
      <c r="L631" s="4">
        <v>19.454999999999998</v>
      </c>
      <c r="M631" s="54">
        <v>19.454999999999998</v>
      </c>
      <c r="N631" s="4">
        <v>19.454999999999998</v>
      </c>
      <c r="O631" s="54">
        <v>19.454999999999998</v>
      </c>
      <c r="P631" s="4">
        <v>12</v>
      </c>
      <c r="Q631" s="3" t="s">
        <v>26</v>
      </c>
      <c r="R631" s="3">
        <v>0</v>
      </c>
      <c r="S631" s="4">
        <v>0</v>
      </c>
      <c r="T631" s="4">
        <v>35</v>
      </c>
      <c r="U631" s="4">
        <v>62</v>
      </c>
      <c r="V631" s="54">
        <f>IF(ISERROR(VLOOKUP($S$631,'TAR FIN'!$A$1:$O$91,15,0)),0,VLOOKUP($S$631,'TAR FIN'!$A$1:$O$91,15,0))</f>
        <v>0</v>
      </c>
      <c r="W631" s="54">
        <f>IF(ISERROR(VLOOKUP($T$631,'TAR FIN'!$A$1:$O$91,15,0)),0,VLOOKUP($T$631,'TAR FIN'!$A$1:$O$91,15,0))*(1-0.06)</f>
        <v>293.89099999999996</v>
      </c>
      <c r="X631" s="54">
        <f>IF(ISERROR(VLOOKUP($U$631,'TAR FIN'!$A$1:$O$91,15,0)),0,VLOOKUP($U$631,'TAR FIN'!$A$1:$O$91,15,0))*(1-0.06)</f>
        <v>234.29499999999999</v>
      </c>
      <c r="Y631" s="54"/>
      <c r="Z631" s="54">
        <f ca="1">('TUSD BE'!$AM$51+'TUSD BF'!$AM$51+'TUSD CVA'!$AM$51)*1*(1-0.03)</f>
        <v>376.10508465104562</v>
      </c>
      <c r="AA631" s="54">
        <f>('TE BE'!$AB$41+'TE BF'!$AB$41+'TE CVA'!$AB$41)*1*(1-0.03)</f>
        <v>197.28126009827187</v>
      </c>
      <c r="AB631" s="4">
        <f>$K$631*$V$631</f>
        <v>0</v>
      </c>
      <c r="AC631" s="4">
        <f>$M$631*$W$631</f>
        <v>5717.6494049999992</v>
      </c>
      <c r="AD631" s="4">
        <f>$O$631*$X$631</f>
        <v>4558.2092249999996</v>
      </c>
      <c r="AE631" s="4">
        <f>$K$631*$Y$631</f>
        <v>0</v>
      </c>
      <c r="AF631" s="4">
        <f ca="1">$M$631*$Z$631</f>
        <v>7317.124421886092</v>
      </c>
      <c r="AG631" s="4">
        <f>$O$631*$AA$631</f>
        <v>3838.1069152118789</v>
      </c>
    </row>
    <row r="632" spans="1:33" ht="11.25" customHeight="1" x14ac:dyDescent="0.25">
      <c r="A632" s="3" t="s">
        <v>21</v>
      </c>
      <c r="B632" s="3" t="s">
        <v>33</v>
      </c>
      <c r="C632" s="3" t="s">
        <v>23</v>
      </c>
      <c r="D632" s="3" t="s">
        <v>46</v>
      </c>
      <c r="E632" s="3" t="s">
        <v>47</v>
      </c>
      <c r="F632" s="3" t="s">
        <v>25</v>
      </c>
      <c r="G632" s="3" t="s">
        <v>25</v>
      </c>
      <c r="H632" s="3" t="s">
        <v>25</v>
      </c>
      <c r="I632" s="6">
        <v>44774</v>
      </c>
      <c r="J632" s="4">
        <v>0</v>
      </c>
      <c r="K632" s="54">
        <v>0</v>
      </c>
      <c r="L632" s="4">
        <v>19.423999999999999</v>
      </c>
      <c r="M632" s="54">
        <v>19.423999999999999</v>
      </c>
      <c r="N632" s="4">
        <v>19.423999999999999</v>
      </c>
      <c r="O632" s="54">
        <v>19.423999999999999</v>
      </c>
      <c r="P632" s="4">
        <v>12</v>
      </c>
      <c r="Q632" s="3" t="s">
        <v>26</v>
      </c>
      <c r="R632" s="3">
        <v>0</v>
      </c>
      <c r="S632" s="4">
        <v>0</v>
      </c>
      <c r="T632" s="4">
        <v>35</v>
      </c>
      <c r="U632" s="4">
        <v>62</v>
      </c>
      <c r="V632" s="54">
        <f>IF(ISERROR(VLOOKUP($S$632,'TAR FIN'!$A$1:$O$91,15,0)),0,VLOOKUP($S$632,'TAR FIN'!$A$1:$O$91,15,0))</f>
        <v>0</v>
      </c>
      <c r="W632" s="54">
        <f>IF(ISERROR(VLOOKUP($T$632,'TAR FIN'!$A$1:$O$91,15,0)),0,VLOOKUP($T$632,'TAR FIN'!$A$1:$O$91,15,0))*(1-0.06)</f>
        <v>293.89099999999996</v>
      </c>
      <c r="X632" s="54">
        <f>IF(ISERROR(VLOOKUP($U$632,'TAR FIN'!$A$1:$O$91,15,0)),0,VLOOKUP($U$632,'TAR FIN'!$A$1:$O$91,15,0))*(1-0.06)</f>
        <v>234.29499999999999</v>
      </c>
      <c r="Y632" s="54"/>
      <c r="Z632" s="54">
        <f ca="1">('TUSD BE'!$AM$51+'TUSD BF'!$AM$51+'TUSD CVA'!$AM$51)*1*(1-0.03)</f>
        <v>376.10508465104562</v>
      </c>
      <c r="AA632" s="54">
        <f>('TE BE'!$AB$41+'TE BF'!$AB$41+'TE CVA'!$AB$41)*1*(1-0.03)</f>
        <v>197.28126009827187</v>
      </c>
      <c r="AB632" s="4">
        <f>$K$632*$V$632</f>
        <v>0</v>
      </c>
      <c r="AC632" s="4">
        <f>$M$632*$W$632</f>
        <v>5708.5387839999994</v>
      </c>
      <c r="AD632" s="4">
        <f>$O$632*$X$632</f>
        <v>4550.9460799999997</v>
      </c>
      <c r="AE632" s="4">
        <f>$K$632*$Y$632</f>
        <v>0</v>
      </c>
      <c r="AF632" s="4">
        <f ca="1">$M$632*$Z$632</f>
        <v>7305.4651642619101</v>
      </c>
      <c r="AG632" s="4">
        <f>$O$632*$AA$632</f>
        <v>3831.9911961488328</v>
      </c>
    </row>
    <row r="633" spans="1:33" ht="11.25" customHeight="1" x14ac:dyDescent="0.25">
      <c r="A633" s="3" t="s">
        <v>21</v>
      </c>
      <c r="B633" s="3" t="s">
        <v>43</v>
      </c>
      <c r="C633" s="3" t="s">
        <v>23</v>
      </c>
      <c r="D633" s="3" t="s">
        <v>44</v>
      </c>
      <c r="E633" s="3" t="s">
        <v>45</v>
      </c>
      <c r="F633" s="3" t="s">
        <v>25</v>
      </c>
      <c r="G633" s="3" t="s">
        <v>25</v>
      </c>
      <c r="H633" s="3" t="s">
        <v>25</v>
      </c>
      <c r="I633" s="6">
        <v>44440</v>
      </c>
      <c r="J633" s="4">
        <v>0</v>
      </c>
      <c r="K633" s="4">
        <v>0</v>
      </c>
      <c r="L633" s="4">
        <v>476.20100000000002</v>
      </c>
      <c r="M633" s="4">
        <v>476.20100000000002</v>
      </c>
      <c r="N633" s="4">
        <v>476.20100000000002</v>
      </c>
      <c r="O633" s="4">
        <v>476.20100000000002</v>
      </c>
      <c r="P633" s="4">
        <v>3</v>
      </c>
      <c r="Q633" s="3" t="s">
        <v>26</v>
      </c>
      <c r="R633" s="3">
        <v>0</v>
      </c>
      <c r="S633" s="4">
        <v>0</v>
      </c>
      <c r="T633" s="4">
        <v>33</v>
      </c>
      <c r="U633" s="4">
        <v>81</v>
      </c>
      <c r="V633" s="4">
        <f>IF(ISERROR(VLOOKUP($S$633,'TAR FIN'!$A$1:$O$91,15,0)),0,VLOOKUP($S$633,'TAR FIN'!$A$1:$O$91,15,0))</f>
        <v>0</v>
      </c>
      <c r="W633" s="4">
        <f>IF(ISERROR(VLOOKUP($T$633,'TAR FIN'!$A$1:$O$91,15,0)),0,VLOOKUP($T$633,'TAR FIN'!$A$1:$O$91,15,0))</f>
        <v>171.96</v>
      </c>
      <c r="X633" s="4">
        <f>IF(ISERROR(VLOOKUP($U$633,'TAR FIN'!$A$1:$O$91,15,0)),0,VLOOKUP($U$633,'TAR FIN'!$A$1:$O$91,15,0))</f>
        <v>137.09</v>
      </c>
      <c r="Y633" s="4"/>
      <c r="Z633" s="4">
        <f ca="1">('TUSD BE'!$AM$53+'TUSD BF'!$AM$53+'TUSD CVA'!$AM$53)*1</f>
        <v>213.2554603691496</v>
      </c>
      <c r="AA633" s="4">
        <f>('TE BE'!$AB$43+'TE BF'!$AB$43+'TE CVA'!$AB$43)*1</f>
        <v>111.86050830314387</v>
      </c>
      <c r="AB633" s="4">
        <f>$K$633*$V$633</f>
        <v>0</v>
      </c>
      <c r="AC633" s="4">
        <f>$M$633*$W$633</f>
        <v>81887.523960000006</v>
      </c>
      <c r="AD633" s="4">
        <f>$O$633*$X$633</f>
        <v>65282.395090000005</v>
      </c>
      <c r="AE633" s="4">
        <f>$K$633*$Y$633</f>
        <v>0</v>
      </c>
      <c r="AF633" s="4">
        <f ca="1">$M$633*$Z$633</f>
        <v>101552.46348324942</v>
      </c>
      <c r="AG633" s="4">
        <f>$O$633*$AA$633</f>
        <v>53268.085914465417</v>
      </c>
    </row>
    <row r="634" spans="1:33" ht="11.25" customHeight="1" x14ac:dyDescent="0.25">
      <c r="A634" s="3" t="s">
        <v>21</v>
      </c>
      <c r="B634" s="3" t="s">
        <v>43</v>
      </c>
      <c r="C634" s="3" t="s">
        <v>23</v>
      </c>
      <c r="D634" s="3" t="s">
        <v>44</v>
      </c>
      <c r="E634" s="3" t="s">
        <v>45</v>
      </c>
      <c r="F634" s="3" t="s">
        <v>25</v>
      </c>
      <c r="G634" s="3" t="s">
        <v>25</v>
      </c>
      <c r="H634" s="3" t="s">
        <v>25</v>
      </c>
      <c r="I634" s="6">
        <v>44470</v>
      </c>
      <c r="J634" s="4">
        <v>0</v>
      </c>
      <c r="K634" s="4">
        <v>0</v>
      </c>
      <c r="L634" s="4">
        <v>476.90100000000001</v>
      </c>
      <c r="M634" s="4">
        <v>476.90100000000001</v>
      </c>
      <c r="N634" s="4">
        <v>476.90100000000001</v>
      </c>
      <c r="O634" s="4">
        <v>476.90100000000001</v>
      </c>
      <c r="P634" s="4">
        <v>3</v>
      </c>
      <c r="Q634" s="3" t="s">
        <v>26</v>
      </c>
      <c r="R634" s="3">
        <v>0</v>
      </c>
      <c r="S634" s="4">
        <v>0</v>
      </c>
      <c r="T634" s="4">
        <v>33</v>
      </c>
      <c r="U634" s="4">
        <v>81</v>
      </c>
      <c r="V634" s="4">
        <f>IF(ISERROR(VLOOKUP($S$634,'TAR FIN'!$A$1:$O$91,15,0)),0,VLOOKUP($S$634,'TAR FIN'!$A$1:$O$91,15,0))</f>
        <v>0</v>
      </c>
      <c r="W634" s="4">
        <f>IF(ISERROR(VLOOKUP($T$634,'TAR FIN'!$A$1:$O$91,15,0)),0,VLOOKUP($T$634,'TAR FIN'!$A$1:$O$91,15,0))</f>
        <v>171.96</v>
      </c>
      <c r="X634" s="4">
        <f>IF(ISERROR(VLOOKUP($U$634,'TAR FIN'!$A$1:$O$91,15,0)),0,VLOOKUP($U$634,'TAR FIN'!$A$1:$O$91,15,0))</f>
        <v>137.09</v>
      </c>
      <c r="Y634" s="4"/>
      <c r="Z634" s="4">
        <f ca="1">('TUSD BE'!$AM$53+'TUSD BF'!$AM$53+'TUSD CVA'!$AM$53)*1</f>
        <v>213.2554603691496</v>
      </c>
      <c r="AA634" s="4">
        <f>('TE BE'!$AB$43+'TE BF'!$AB$43+'TE CVA'!$AB$43)*1</f>
        <v>111.86050830314387</v>
      </c>
      <c r="AB634" s="4">
        <f>$K$634*$V$634</f>
        <v>0</v>
      </c>
      <c r="AC634" s="4">
        <f>$M$634*$W$634</f>
        <v>82007.895960000009</v>
      </c>
      <c r="AD634" s="4">
        <f>$O$634*$X$634</f>
        <v>65378.358090000002</v>
      </c>
      <c r="AE634" s="4">
        <f>$K$634*$Y$634</f>
        <v>0</v>
      </c>
      <c r="AF634" s="4">
        <f ca="1">$M$634*$Z$634</f>
        <v>101701.74230550781</v>
      </c>
      <c r="AG634" s="4">
        <f>$O$634*$AA$634</f>
        <v>53346.388270277617</v>
      </c>
    </row>
    <row r="635" spans="1:33" ht="11.25" customHeight="1" x14ac:dyDescent="0.25">
      <c r="A635" s="3" t="s">
        <v>21</v>
      </c>
      <c r="B635" s="3" t="s">
        <v>43</v>
      </c>
      <c r="C635" s="3" t="s">
        <v>23</v>
      </c>
      <c r="D635" s="3" t="s">
        <v>44</v>
      </c>
      <c r="E635" s="3" t="s">
        <v>45</v>
      </c>
      <c r="F635" s="3" t="s">
        <v>25</v>
      </c>
      <c r="G635" s="3" t="s">
        <v>25</v>
      </c>
      <c r="H635" s="3" t="s">
        <v>25</v>
      </c>
      <c r="I635" s="6">
        <v>44501</v>
      </c>
      <c r="J635" s="4">
        <v>0</v>
      </c>
      <c r="K635" s="4">
        <v>0</v>
      </c>
      <c r="L635" s="4">
        <v>457.16300000000001</v>
      </c>
      <c r="M635" s="4">
        <v>457.16300000000001</v>
      </c>
      <c r="N635" s="4">
        <v>457.16300000000001</v>
      </c>
      <c r="O635" s="4">
        <v>457.16300000000001</v>
      </c>
      <c r="P635" s="4">
        <v>3</v>
      </c>
      <c r="Q635" s="3" t="s">
        <v>26</v>
      </c>
      <c r="R635" s="3">
        <v>0</v>
      </c>
      <c r="S635" s="4">
        <v>0</v>
      </c>
      <c r="T635" s="4">
        <v>33</v>
      </c>
      <c r="U635" s="4">
        <v>81</v>
      </c>
      <c r="V635" s="4">
        <f>IF(ISERROR(VLOOKUP($S$635,'TAR FIN'!$A$1:$O$91,15,0)),0,VLOOKUP($S$635,'TAR FIN'!$A$1:$O$91,15,0))</f>
        <v>0</v>
      </c>
      <c r="W635" s="4">
        <f>IF(ISERROR(VLOOKUP($T$635,'TAR FIN'!$A$1:$O$91,15,0)),0,VLOOKUP($T$635,'TAR FIN'!$A$1:$O$91,15,0))</f>
        <v>171.96</v>
      </c>
      <c r="X635" s="4">
        <f>IF(ISERROR(VLOOKUP($U$635,'TAR FIN'!$A$1:$O$91,15,0)),0,VLOOKUP($U$635,'TAR FIN'!$A$1:$O$91,15,0))</f>
        <v>137.09</v>
      </c>
      <c r="Y635" s="4"/>
      <c r="Z635" s="4">
        <f ca="1">('TUSD BE'!$AM$53+'TUSD BF'!$AM$53+'TUSD CVA'!$AM$53)*1</f>
        <v>213.2554603691496</v>
      </c>
      <c r="AA635" s="4">
        <f>('TE BE'!$AB$43+'TE BF'!$AB$43+'TE CVA'!$AB$43)*1</f>
        <v>111.86050830314387</v>
      </c>
      <c r="AB635" s="4">
        <f>$K$635*$V$635</f>
        <v>0</v>
      </c>
      <c r="AC635" s="4">
        <f>$M$635*$W$635</f>
        <v>78613.749479999999</v>
      </c>
      <c r="AD635" s="4">
        <f>$O$635*$X$635</f>
        <v>62672.47567</v>
      </c>
      <c r="AE635" s="4">
        <f>$K$635*$Y$635</f>
        <v>0</v>
      </c>
      <c r="AF635" s="4">
        <f ca="1">$M$635*$Z$635</f>
        <v>97492.50602874154</v>
      </c>
      <c r="AG635" s="4">
        <f>$O$635*$AA$635</f>
        <v>51138.485557390166</v>
      </c>
    </row>
    <row r="636" spans="1:33" ht="11.25" customHeight="1" x14ac:dyDescent="0.25">
      <c r="A636" s="3" t="s">
        <v>21</v>
      </c>
      <c r="B636" s="3" t="s">
        <v>43</v>
      </c>
      <c r="C636" s="3" t="s">
        <v>23</v>
      </c>
      <c r="D636" s="3" t="s">
        <v>44</v>
      </c>
      <c r="E636" s="3" t="s">
        <v>45</v>
      </c>
      <c r="F636" s="3" t="s">
        <v>25</v>
      </c>
      <c r="G636" s="3" t="s">
        <v>25</v>
      </c>
      <c r="H636" s="3" t="s">
        <v>25</v>
      </c>
      <c r="I636" s="6">
        <v>44531</v>
      </c>
      <c r="J636" s="4">
        <v>0</v>
      </c>
      <c r="K636" s="4">
        <v>0</v>
      </c>
      <c r="L636" s="4">
        <v>437.16899999999998</v>
      </c>
      <c r="M636" s="4">
        <v>437.16899999999998</v>
      </c>
      <c r="N636" s="4">
        <v>437.16899999999998</v>
      </c>
      <c r="O636" s="4">
        <v>437.16899999999998</v>
      </c>
      <c r="P636" s="4">
        <v>3</v>
      </c>
      <c r="Q636" s="3" t="s">
        <v>26</v>
      </c>
      <c r="R636" s="3">
        <v>0</v>
      </c>
      <c r="S636" s="4">
        <v>0</v>
      </c>
      <c r="T636" s="4">
        <v>33</v>
      </c>
      <c r="U636" s="4">
        <v>81</v>
      </c>
      <c r="V636" s="4">
        <f>IF(ISERROR(VLOOKUP($S$636,'TAR FIN'!$A$1:$O$91,15,0)),0,VLOOKUP($S$636,'TAR FIN'!$A$1:$O$91,15,0))</f>
        <v>0</v>
      </c>
      <c r="W636" s="4">
        <f>IF(ISERROR(VLOOKUP($T$636,'TAR FIN'!$A$1:$O$91,15,0)),0,VLOOKUP($T$636,'TAR FIN'!$A$1:$O$91,15,0))</f>
        <v>171.96</v>
      </c>
      <c r="X636" s="4">
        <f>IF(ISERROR(VLOOKUP($U$636,'TAR FIN'!$A$1:$O$91,15,0)),0,VLOOKUP($U$636,'TAR FIN'!$A$1:$O$91,15,0))</f>
        <v>137.09</v>
      </c>
      <c r="Y636" s="4"/>
      <c r="Z636" s="4">
        <f ca="1">('TUSD BE'!$AM$53+'TUSD BF'!$AM$53+'TUSD CVA'!$AM$53)*1</f>
        <v>213.2554603691496</v>
      </c>
      <c r="AA636" s="4">
        <f>('TE BE'!$AB$43+'TE BF'!$AB$43+'TE CVA'!$AB$43)*1</f>
        <v>111.86050830314387</v>
      </c>
      <c r="AB636" s="4">
        <f>$K$636*$V$636</f>
        <v>0</v>
      </c>
      <c r="AC636" s="4">
        <f>$M$636*$W$636</f>
        <v>75175.58124</v>
      </c>
      <c r="AD636" s="4">
        <f>$O$636*$X$636</f>
        <v>59931.498209999998</v>
      </c>
      <c r="AE636" s="4">
        <f>$K$636*$Y$636</f>
        <v>0</v>
      </c>
      <c r="AF636" s="4">
        <f ca="1">$M$636*$Z$636</f>
        <v>93228.676354120762</v>
      </c>
      <c r="AG636" s="4">
        <f>$O$636*$AA$636</f>
        <v>48901.9465543771</v>
      </c>
    </row>
    <row r="637" spans="1:33" ht="11.25" customHeight="1" x14ac:dyDescent="0.25">
      <c r="A637" s="3" t="s">
        <v>21</v>
      </c>
      <c r="B637" s="3" t="s">
        <v>43</v>
      </c>
      <c r="C637" s="3" t="s">
        <v>23</v>
      </c>
      <c r="D637" s="3" t="s">
        <v>44</v>
      </c>
      <c r="E637" s="3" t="s">
        <v>45</v>
      </c>
      <c r="F637" s="3" t="s">
        <v>25</v>
      </c>
      <c r="G637" s="3" t="s">
        <v>25</v>
      </c>
      <c r="H637" s="3" t="s">
        <v>25</v>
      </c>
      <c r="I637" s="6">
        <v>44562</v>
      </c>
      <c r="J637" s="4">
        <v>0</v>
      </c>
      <c r="K637" s="4">
        <v>0</v>
      </c>
      <c r="L637" s="4">
        <v>409.19</v>
      </c>
      <c r="M637" s="4">
        <v>409.19</v>
      </c>
      <c r="N637" s="4">
        <v>409.19</v>
      </c>
      <c r="O637" s="4">
        <v>409.19</v>
      </c>
      <c r="P637" s="4">
        <v>3</v>
      </c>
      <c r="Q637" s="3" t="s">
        <v>26</v>
      </c>
      <c r="R637" s="3">
        <v>0</v>
      </c>
      <c r="S637" s="4">
        <v>0</v>
      </c>
      <c r="T637" s="4">
        <v>33</v>
      </c>
      <c r="U637" s="4">
        <v>81</v>
      </c>
      <c r="V637" s="4">
        <f>IF(ISERROR(VLOOKUP($S$637,'TAR FIN'!$A$1:$O$91,15,0)),0,VLOOKUP($S$637,'TAR FIN'!$A$1:$O$91,15,0))</f>
        <v>0</v>
      </c>
      <c r="W637" s="4">
        <f>IF(ISERROR(VLOOKUP($T$637,'TAR FIN'!$A$1:$O$91,15,0)),0,VLOOKUP($T$637,'TAR FIN'!$A$1:$O$91,15,0))</f>
        <v>171.96</v>
      </c>
      <c r="X637" s="4">
        <f>IF(ISERROR(VLOOKUP($U$637,'TAR FIN'!$A$1:$O$91,15,0)),0,VLOOKUP($U$637,'TAR FIN'!$A$1:$O$91,15,0))</f>
        <v>137.09</v>
      </c>
      <c r="Y637" s="4"/>
      <c r="Z637" s="4">
        <f ca="1">('TUSD BE'!$AM$53+'TUSD BF'!$AM$53+'TUSD CVA'!$AM$53)*1</f>
        <v>213.2554603691496</v>
      </c>
      <c r="AA637" s="4">
        <f>('TE BE'!$AB$43+'TE BF'!$AB$43+'TE CVA'!$AB$43)*1</f>
        <v>111.86050830314387</v>
      </c>
      <c r="AB637" s="4">
        <f>$K$637*$V$637</f>
        <v>0</v>
      </c>
      <c r="AC637" s="4">
        <f>$M$637*$W$637</f>
        <v>70364.31240000001</v>
      </c>
      <c r="AD637" s="4">
        <f>$O$637*$X$637</f>
        <v>56095.857100000001</v>
      </c>
      <c r="AE637" s="4">
        <f>$K$637*$Y$637</f>
        <v>0</v>
      </c>
      <c r="AF637" s="4">
        <f ca="1">$M$637*$Z$637</f>
        <v>87262.001828452325</v>
      </c>
      <c r="AG637" s="4">
        <f>$O$637*$AA$637</f>
        <v>45772.201392563438</v>
      </c>
    </row>
    <row r="638" spans="1:33" ht="11.25" customHeight="1" x14ac:dyDescent="0.25">
      <c r="A638" s="3" t="s">
        <v>21</v>
      </c>
      <c r="B638" s="3" t="s">
        <v>43</v>
      </c>
      <c r="C638" s="3" t="s">
        <v>23</v>
      </c>
      <c r="D638" s="3" t="s">
        <v>44</v>
      </c>
      <c r="E638" s="3" t="s">
        <v>45</v>
      </c>
      <c r="F638" s="3" t="s">
        <v>25</v>
      </c>
      <c r="G638" s="3" t="s">
        <v>25</v>
      </c>
      <c r="H638" s="3" t="s">
        <v>25</v>
      </c>
      <c r="I638" s="6">
        <v>44593</v>
      </c>
      <c r="J638" s="4">
        <v>0</v>
      </c>
      <c r="K638" s="4">
        <v>0</v>
      </c>
      <c r="L638" s="4">
        <v>372.28399999999999</v>
      </c>
      <c r="M638" s="4">
        <v>372.28399999999999</v>
      </c>
      <c r="N638" s="4">
        <v>372.28399999999999</v>
      </c>
      <c r="O638" s="4">
        <v>372.28399999999999</v>
      </c>
      <c r="P638" s="4">
        <v>3</v>
      </c>
      <c r="Q638" s="3" t="s">
        <v>26</v>
      </c>
      <c r="R638" s="3">
        <v>0</v>
      </c>
      <c r="S638" s="4">
        <v>0</v>
      </c>
      <c r="T638" s="4">
        <v>33</v>
      </c>
      <c r="U638" s="4">
        <v>81</v>
      </c>
      <c r="V638" s="4">
        <f>IF(ISERROR(VLOOKUP($S$638,'TAR FIN'!$A$1:$O$91,15,0)),0,VLOOKUP($S$638,'TAR FIN'!$A$1:$O$91,15,0))</f>
        <v>0</v>
      </c>
      <c r="W638" s="4">
        <f>IF(ISERROR(VLOOKUP($T$638,'TAR FIN'!$A$1:$O$91,15,0)),0,VLOOKUP($T$638,'TAR FIN'!$A$1:$O$91,15,0))</f>
        <v>171.96</v>
      </c>
      <c r="X638" s="4">
        <f>IF(ISERROR(VLOOKUP($U$638,'TAR FIN'!$A$1:$O$91,15,0)),0,VLOOKUP($U$638,'TAR FIN'!$A$1:$O$91,15,0))</f>
        <v>137.09</v>
      </c>
      <c r="Y638" s="4"/>
      <c r="Z638" s="4">
        <f ca="1">('TUSD BE'!$AM$53+'TUSD BF'!$AM$53+'TUSD CVA'!$AM$53)*1</f>
        <v>213.2554603691496</v>
      </c>
      <c r="AA638" s="4">
        <f>('TE BE'!$AB$43+'TE BF'!$AB$43+'TE CVA'!$AB$43)*1</f>
        <v>111.86050830314387</v>
      </c>
      <c r="AB638" s="4">
        <f>$K$638*$V$638</f>
        <v>0</v>
      </c>
      <c r="AC638" s="4">
        <f>$M$638*$W$638</f>
        <v>64017.956640000004</v>
      </c>
      <c r="AD638" s="4">
        <f>$O$638*$X$638</f>
        <v>51036.413560000001</v>
      </c>
      <c r="AE638" s="4">
        <f>$K$638*$Y$638</f>
        <v>0</v>
      </c>
      <c r="AF638" s="4">
        <f ca="1">$M$638*$Z$638</f>
        <v>79391.595808068494</v>
      </c>
      <c r="AG638" s="4">
        <f>$O$638*$AA$638</f>
        <v>41643.877473127613</v>
      </c>
    </row>
    <row r="639" spans="1:33" ht="11.25" customHeight="1" x14ac:dyDescent="0.25">
      <c r="A639" s="3" t="s">
        <v>21</v>
      </c>
      <c r="B639" s="3" t="s">
        <v>43</v>
      </c>
      <c r="C639" s="3" t="s">
        <v>23</v>
      </c>
      <c r="D639" s="3" t="s">
        <v>44</v>
      </c>
      <c r="E639" s="3" t="s">
        <v>45</v>
      </c>
      <c r="F639" s="3" t="s">
        <v>25</v>
      </c>
      <c r="G639" s="3" t="s">
        <v>25</v>
      </c>
      <c r="H639" s="3" t="s">
        <v>25</v>
      </c>
      <c r="I639" s="6">
        <v>44621</v>
      </c>
      <c r="J639" s="4">
        <v>0</v>
      </c>
      <c r="K639" s="4">
        <v>0</v>
      </c>
      <c r="L639" s="4">
        <v>349.851</v>
      </c>
      <c r="M639" s="4">
        <v>349.851</v>
      </c>
      <c r="N639" s="4">
        <v>349.851</v>
      </c>
      <c r="O639" s="4">
        <v>349.851</v>
      </c>
      <c r="P639" s="4">
        <v>3</v>
      </c>
      <c r="Q639" s="3" t="s">
        <v>26</v>
      </c>
      <c r="R639" s="3">
        <v>0</v>
      </c>
      <c r="S639" s="4">
        <v>0</v>
      </c>
      <c r="T639" s="4">
        <v>33</v>
      </c>
      <c r="U639" s="4">
        <v>81</v>
      </c>
      <c r="V639" s="4">
        <f>IF(ISERROR(VLOOKUP($S$639,'TAR FIN'!$A$1:$O$91,15,0)),0,VLOOKUP($S$639,'TAR FIN'!$A$1:$O$91,15,0))</f>
        <v>0</v>
      </c>
      <c r="W639" s="4">
        <f>IF(ISERROR(VLOOKUP($T$639,'TAR FIN'!$A$1:$O$91,15,0)),0,VLOOKUP($T$639,'TAR FIN'!$A$1:$O$91,15,0))</f>
        <v>171.96</v>
      </c>
      <c r="X639" s="4">
        <f>IF(ISERROR(VLOOKUP($U$639,'TAR FIN'!$A$1:$O$91,15,0)),0,VLOOKUP($U$639,'TAR FIN'!$A$1:$O$91,15,0))</f>
        <v>137.09</v>
      </c>
      <c r="Y639" s="4"/>
      <c r="Z639" s="4">
        <f ca="1">('TUSD BE'!$AM$53+'TUSD BF'!$AM$53+'TUSD CVA'!$AM$53)*1</f>
        <v>213.2554603691496</v>
      </c>
      <c r="AA639" s="4">
        <f>('TE BE'!$AB$43+'TE BF'!$AB$43+'TE CVA'!$AB$43)*1</f>
        <v>111.86050830314387</v>
      </c>
      <c r="AB639" s="4">
        <f>$K$639*$V$639</f>
        <v>0</v>
      </c>
      <c r="AC639" s="4">
        <f>$M$639*$W$639</f>
        <v>60160.377960000005</v>
      </c>
      <c r="AD639" s="4">
        <f>$O$639*$X$639</f>
        <v>47961.07359</v>
      </c>
      <c r="AE639" s="4">
        <f>$K$639*$Y$639</f>
        <v>0</v>
      </c>
      <c r="AF639" s="4">
        <f ca="1">$M$639*$Z$639</f>
        <v>74607.636065607352</v>
      </c>
      <c r="AG639" s="4">
        <f>$O$639*$AA$639</f>
        <v>39134.510690363189</v>
      </c>
    </row>
    <row r="640" spans="1:33" ht="11.25" customHeight="1" x14ac:dyDescent="0.25">
      <c r="A640" s="3" t="s">
        <v>21</v>
      </c>
      <c r="B640" s="3" t="s">
        <v>43</v>
      </c>
      <c r="C640" s="3" t="s">
        <v>23</v>
      </c>
      <c r="D640" s="3" t="s">
        <v>44</v>
      </c>
      <c r="E640" s="3" t="s">
        <v>45</v>
      </c>
      <c r="F640" s="3" t="s">
        <v>25</v>
      </c>
      <c r="G640" s="3" t="s">
        <v>25</v>
      </c>
      <c r="H640" s="3" t="s">
        <v>25</v>
      </c>
      <c r="I640" s="6">
        <v>44652</v>
      </c>
      <c r="J640" s="4">
        <v>0</v>
      </c>
      <c r="K640" s="4">
        <v>0</v>
      </c>
      <c r="L640" s="4">
        <v>308.34399999999999</v>
      </c>
      <c r="M640" s="4">
        <v>308.34399999999999</v>
      </c>
      <c r="N640" s="4">
        <v>308.34399999999999</v>
      </c>
      <c r="O640" s="4">
        <v>308.34399999999999</v>
      </c>
      <c r="P640" s="4">
        <v>3</v>
      </c>
      <c r="Q640" s="3" t="s">
        <v>26</v>
      </c>
      <c r="R640" s="3">
        <v>0</v>
      </c>
      <c r="S640" s="4">
        <v>0</v>
      </c>
      <c r="T640" s="4">
        <v>33</v>
      </c>
      <c r="U640" s="4">
        <v>81</v>
      </c>
      <c r="V640" s="4">
        <f>IF(ISERROR(VLOOKUP($S$640,'TAR FIN'!$A$1:$O$91,15,0)),0,VLOOKUP($S$640,'TAR FIN'!$A$1:$O$91,15,0))</f>
        <v>0</v>
      </c>
      <c r="W640" s="4">
        <f>IF(ISERROR(VLOOKUP($T$640,'TAR FIN'!$A$1:$O$91,15,0)),0,VLOOKUP($T$640,'TAR FIN'!$A$1:$O$91,15,0))</f>
        <v>171.96</v>
      </c>
      <c r="X640" s="4">
        <f>IF(ISERROR(VLOOKUP($U$640,'TAR FIN'!$A$1:$O$91,15,0)),0,VLOOKUP($U$640,'TAR FIN'!$A$1:$O$91,15,0))</f>
        <v>137.09</v>
      </c>
      <c r="Y640" s="4"/>
      <c r="Z640" s="4">
        <f ca="1">('TUSD BE'!$AM$53+'TUSD BF'!$AM$53+'TUSD CVA'!$AM$53)*1</f>
        <v>213.2554603691496</v>
      </c>
      <c r="AA640" s="4">
        <f>('TE BE'!$AB$43+'TE BF'!$AB$43+'TE CVA'!$AB$43)*1</f>
        <v>111.86050830314387</v>
      </c>
      <c r="AB640" s="4">
        <f>$K$640*$V$640</f>
        <v>0</v>
      </c>
      <c r="AC640" s="4">
        <f>$M$640*$W$640</f>
        <v>53022.834240000004</v>
      </c>
      <c r="AD640" s="4">
        <f>$O$640*$X$640</f>
        <v>42270.878960000002</v>
      </c>
      <c r="AE640" s="4">
        <f>$K$640*$Y$640</f>
        <v>0</v>
      </c>
      <c r="AF640" s="4">
        <f ca="1">$M$640*$Z$640</f>
        <v>65756.041672065068</v>
      </c>
      <c r="AG640" s="4">
        <f>$O$640*$AA$640</f>
        <v>34491.516572224595</v>
      </c>
    </row>
    <row r="641" spans="1:33" ht="11.25" customHeight="1" x14ac:dyDescent="0.25">
      <c r="A641" s="3" t="s">
        <v>21</v>
      </c>
      <c r="B641" s="3" t="s">
        <v>43</v>
      </c>
      <c r="C641" s="3" t="s">
        <v>23</v>
      </c>
      <c r="D641" s="3" t="s">
        <v>44</v>
      </c>
      <c r="E641" s="3" t="s">
        <v>45</v>
      </c>
      <c r="F641" s="3" t="s">
        <v>25</v>
      </c>
      <c r="G641" s="3" t="s">
        <v>25</v>
      </c>
      <c r="H641" s="3" t="s">
        <v>25</v>
      </c>
      <c r="I641" s="6">
        <v>44682</v>
      </c>
      <c r="J641" s="4">
        <v>0</v>
      </c>
      <c r="K641" s="4">
        <v>0</v>
      </c>
      <c r="L641" s="4">
        <v>313.791</v>
      </c>
      <c r="M641" s="4">
        <v>313.791</v>
      </c>
      <c r="N641" s="4">
        <v>313.791</v>
      </c>
      <c r="O641" s="4">
        <v>313.791</v>
      </c>
      <c r="P641" s="4">
        <v>3</v>
      </c>
      <c r="Q641" s="3" t="s">
        <v>26</v>
      </c>
      <c r="R641" s="3">
        <v>0</v>
      </c>
      <c r="S641" s="4">
        <v>0</v>
      </c>
      <c r="T641" s="4">
        <v>33</v>
      </c>
      <c r="U641" s="4">
        <v>81</v>
      </c>
      <c r="V641" s="4">
        <f>IF(ISERROR(VLOOKUP($S$641,'TAR FIN'!$A$1:$O$91,15,0)),0,VLOOKUP($S$641,'TAR FIN'!$A$1:$O$91,15,0))</f>
        <v>0</v>
      </c>
      <c r="W641" s="4">
        <f>IF(ISERROR(VLOOKUP($T$641,'TAR FIN'!$A$1:$O$91,15,0)),0,VLOOKUP($T$641,'TAR FIN'!$A$1:$O$91,15,0))</f>
        <v>171.96</v>
      </c>
      <c r="X641" s="4">
        <f>IF(ISERROR(VLOOKUP($U$641,'TAR FIN'!$A$1:$O$91,15,0)),0,VLOOKUP($U$641,'TAR FIN'!$A$1:$O$91,15,0))</f>
        <v>137.09</v>
      </c>
      <c r="Y641" s="4"/>
      <c r="Z641" s="4">
        <f ca="1">('TUSD BE'!$AM$53+'TUSD BF'!$AM$53+'TUSD CVA'!$AM$53)*1</f>
        <v>213.2554603691496</v>
      </c>
      <c r="AA641" s="4">
        <f>('TE BE'!$AB$43+'TE BF'!$AB$43+'TE CVA'!$AB$43)*1</f>
        <v>111.86050830314387</v>
      </c>
      <c r="AB641" s="4">
        <f>$K$641*$V$641</f>
        <v>0</v>
      </c>
      <c r="AC641" s="4">
        <f>$M$641*$W$641</f>
        <v>53959.500360000005</v>
      </c>
      <c r="AD641" s="4">
        <f>$O$641*$X$641</f>
        <v>43017.608189999999</v>
      </c>
      <c r="AE641" s="4">
        <f>$K$641*$Y$641</f>
        <v>0</v>
      </c>
      <c r="AF641" s="4">
        <f ca="1">$M$641*$Z$641</f>
        <v>66917.644164695826</v>
      </c>
      <c r="AG641" s="4">
        <f>$O$641*$AA$641</f>
        <v>35100.820760951821</v>
      </c>
    </row>
    <row r="642" spans="1:33" ht="11.25" customHeight="1" x14ac:dyDescent="0.25">
      <c r="A642" s="3" t="s">
        <v>21</v>
      </c>
      <c r="B642" s="3" t="s">
        <v>43</v>
      </c>
      <c r="C642" s="3" t="s">
        <v>23</v>
      </c>
      <c r="D642" s="3" t="s">
        <v>44</v>
      </c>
      <c r="E642" s="3" t="s">
        <v>45</v>
      </c>
      <c r="F642" s="3" t="s">
        <v>25</v>
      </c>
      <c r="G642" s="3" t="s">
        <v>25</v>
      </c>
      <c r="H642" s="3" t="s">
        <v>25</v>
      </c>
      <c r="I642" s="6">
        <v>44713</v>
      </c>
      <c r="J642" s="4">
        <v>0</v>
      </c>
      <c r="K642" s="4">
        <v>0</v>
      </c>
      <c r="L642" s="4">
        <v>308.44099999999997</v>
      </c>
      <c r="M642" s="4">
        <v>308.44099999999997</v>
      </c>
      <c r="N642" s="4">
        <v>308.44099999999997</v>
      </c>
      <c r="O642" s="4">
        <v>308.44099999999997</v>
      </c>
      <c r="P642" s="4">
        <v>3</v>
      </c>
      <c r="Q642" s="3" t="s">
        <v>26</v>
      </c>
      <c r="R642" s="3">
        <v>0</v>
      </c>
      <c r="S642" s="4">
        <v>0</v>
      </c>
      <c r="T642" s="4">
        <v>33</v>
      </c>
      <c r="U642" s="4">
        <v>81</v>
      </c>
      <c r="V642" s="4">
        <f>IF(ISERROR(VLOOKUP($S$642,'TAR FIN'!$A$1:$O$91,15,0)),0,VLOOKUP($S$642,'TAR FIN'!$A$1:$O$91,15,0))</f>
        <v>0</v>
      </c>
      <c r="W642" s="4">
        <f>IF(ISERROR(VLOOKUP($T$642,'TAR FIN'!$A$1:$O$91,15,0)),0,VLOOKUP($T$642,'TAR FIN'!$A$1:$O$91,15,0))</f>
        <v>171.96</v>
      </c>
      <c r="X642" s="4">
        <f>IF(ISERROR(VLOOKUP($U$642,'TAR FIN'!$A$1:$O$91,15,0)),0,VLOOKUP($U$642,'TAR FIN'!$A$1:$O$91,15,0))</f>
        <v>137.09</v>
      </c>
      <c r="Y642" s="4"/>
      <c r="Z642" s="4">
        <f ca="1">('TUSD BE'!$AM$53+'TUSD BF'!$AM$53+'TUSD CVA'!$AM$53)*1</f>
        <v>213.2554603691496</v>
      </c>
      <c r="AA642" s="4">
        <f>('TE BE'!$AB$43+'TE BF'!$AB$43+'TE CVA'!$AB$43)*1</f>
        <v>111.86050830314387</v>
      </c>
      <c r="AB642" s="4">
        <f>$K$642*$V$642</f>
        <v>0</v>
      </c>
      <c r="AC642" s="4">
        <f>$M$642*$W$642</f>
        <v>53039.514360000001</v>
      </c>
      <c r="AD642" s="4">
        <f>$O$642*$X$642</f>
        <v>42284.17669</v>
      </c>
      <c r="AE642" s="4">
        <f>$K$642*$Y$642</f>
        <v>0</v>
      </c>
      <c r="AF642" s="4">
        <f ca="1">$M$642*$Z$642</f>
        <v>65776.727451720872</v>
      </c>
      <c r="AG642" s="4">
        <f>$O$642*$AA$642</f>
        <v>34502.36704153</v>
      </c>
    </row>
    <row r="643" spans="1:33" ht="11.25" customHeight="1" x14ac:dyDescent="0.25">
      <c r="A643" s="3" t="s">
        <v>21</v>
      </c>
      <c r="B643" s="3" t="s">
        <v>43</v>
      </c>
      <c r="C643" s="3" t="s">
        <v>23</v>
      </c>
      <c r="D643" s="3" t="s">
        <v>44</v>
      </c>
      <c r="E643" s="3" t="s">
        <v>45</v>
      </c>
      <c r="F643" s="3" t="s">
        <v>25</v>
      </c>
      <c r="G643" s="3" t="s">
        <v>25</v>
      </c>
      <c r="H643" s="3" t="s">
        <v>25</v>
      </c>
      <c r="I643" s="6">
        <v>44743</v>
      </c>
      <c r="J643" s="4">
        <v>0</v>
      </c>
      <c r="K643" s="4">
        <v>0</v>
      </c>
      <c r="L643" s="4">
        <v>318.589</v>
      </c>
      <c r="M643" s="4">
        <v>318.589</v>
      </c>
      <c r="N643" s="4">
        <v>318.589</v>
      </c>
      <c r="O643" s="4">
        <v>318.589</v>
      </c>
      <c r="P643" s="4">
        <v>3</v>
      </c>
      <c r="Q643" s="3" t="s">
        <v>26</v>
      </c>
      <c r="R643" s="3">
        <v>0</v>
      </c>
      <c r="S643" s="4">
        <v>0</v>
      </c>
      <c r="T643" s="4">
        <v>33</v>
      </c>
      <c r="U643" s="4">
        <v>81</v>
      </c>
      <c r="V643" s="4">
        <f>IF(ISERROR(VLOOKUP($S$643,'TAR FIN'!$A$1:$O$91,15,0)),0,VLOOKUP($S$643,'TAR FIN'!$A$1:$O$91,15,0))</f>
        <v>0</v>
      </c>
      <c r="W643" s="4">
        <f>IF(ISERROR(VLOOKUP($T$643,'TAR FIN'!$A$1:$O$91,15,0)),0,VLOOKUP($T$643,'TAR FIN'!$A$1:$O$91,15,0))</f>
        <v>171.96</v>
      </c>
      <c r="X643" s="4">
        <f>IF(ISERROR(VLOOKUP($U$643,'TAR FIN'!$A$1:$O$91,15,0)),0,VLOOKUP($U$643,'TAR FIN'!$A$1:$O$91,15,0))</f>
        <v>137.09</v>
      </c>
      <c r="Y643" s="4"/>
      <c r="Z643" s="4">
        <f ca="1">('TUSD BE'!$AM$53+'TUSD BF'!$AM$53+'TUSD CVA'!$AM$53)*1</f>
        <v>213.2554603691496</v>
      </c>
      <c r="AA643" s="4">
        <f>('TE BE'!$AB$43+'TE BF'!$AB$43+'TE CVA'!$AB$43)*1</f>
        <v>111.86050830314387</v>
      </c>
      <c r="AB643" s="4">
        <f>$K$643*$V$643</f>
        <v>0</v>
      </c>
      <c r="AC643" s="4">
        <f>$M$643*$W$643</f>
        <v>54784.564440000002</v>
      </c>
      <c r="AD643" s="4">
        <f>$O$643*$X$643</f>
        <v>43675.366009999998</v>
      </c>
      <c r="AE643" s="4">
        <f>$K$643*$Y$643</f>
        <v>0</v>
      </c>
      <c r="AF643" s="4">
        <f ca="1">$M$643*$Z$643</f>
        <v>67940.843863547008</v>
      </c>
      <c r="AG643" s="4">
        <f>$O$643*$AA$643</f>
        <v>35637.527479790304</v>
      </c>
    </row>
    <row r="644" spans="1:33" ht="11.25" customHeight="1" x14ac:dyDescent="0.25">
      <c r="A644" s="3" t="s">
        <v>21</v>
      </c>
      <c r="B644" s="3" t="s">
        <v>43</v>
      </c>
      <c r="C644" s="3" t="s">
        <v>23</v>
      </c>
      <c r="D644" s="3" t="s">
        <v>44</v>
      </c>
      <c r="E644" s="3" t="s">
        <v>45</v>
      </c>
      <c r="F644" s="3" t="s">
        <v>25</v>
      </c>
      <c r="G644" s="3" t="s">
        <v>25</v>
      </c>
      <c r="H644" s="3" t="s">
        <v>25</v>
      </c>
      <c r="I644" s="6">
        <v>44774</v>
      </c>
      <c r="J644" s="4">
        <v>0</v>
      </c>
      <c r="K644" s="4">
        <v>0</v>
      </c>
      <c r="L644" s="4">
        <v>319.55200000000002</v>
      </c>
      <c r="M644" s="4">
        <v>319.55200000000002</v>
      </c>
      <c r="N644" s="4">
        <v>319.55200000000002</v>
      </c>
      <c r="O644" s="4">
        <v>319.55200000000002</v>
      </c>
      <c r="P644" s="4">
        <v>3</v>
      </c>
      <c r="Q644" s="3" t="s">
        <v>26</v>
      </c>
      <c r="R644" s="3">
        <v>0</v>
      </c>
      <c r="S644" s="4">
        <v>0</v>
      </c>
      <c r="T644" s="4">
        <v>33</v>
      </c>
      <c r="U644" s="4">
        <v>81</v>
      </c>
      <c r="V644" s="4">
        <f>IF(ISERROR(VLOOKUP($S$644,'TAR FIN'!$A$1:$O$91,15,0)),0,VLOOKUP($S$644,'TAR FIN'!$A$1:$O$91,15,0))</f>
        <v>0</v>
      </c>
      <c r="W644" s="4">
        <f>IF(ISERROR(VLOOKUP($T$644,'TAR FIN'!$A$1:$O$91,15,0)),0,VLOOKUP($T$644,'TAR FIN'!$A$1:$O$91,15,0))</f>
        <v>171.96</v>
      </c>
      <c r="X644" s="4">
        <f>IF(ISERROR(VLOOKUP($U$644,'TAR FIN'!$A$1:$O$91,15,0)),0,VLOOKUP($U$644,'TAR FIN'!$A$1:$O$91,15,0))</f>
        <v>137.09</v>
      </c>
      <c r="Y644" s="4"/>
      <c r="Z644" s="4">
        <f ca="1">('TUSD BE'!$AM$53+'TUSD BF'!$AM$53+'TUSD CVA'!$AM$53)*1</f>
        <v>213.2554603691496</v>
      </c>
      <c r="AA644" s="4">
        <f>('TE BE'!$AB$43+'TE BF'!$AB$43+'TE CVA'!$AB$43)*1</f>
        <v>111.86050830314387</v>
      </c>
      <c r="AB644" s="4">
        <f>$K$644*$V$644</f>
        <v>0</v>
      </c>
      <c r="AC644" s="4">
        <f>$M$644*$W$644</f>
        <v>54950.161920000006</v>
      </c>
      <c r="AD644" s="4">
        <f>$O$644*$X$644</f>
        <v>43807.383680000006</v>
      </c>
      <c r="AE644" s="4">
        <f>$K$644*$Y$644</f>
        <v>0</v>
      </c>
      <c r="AF644" s="4">
        <f ca="1">$M$644*$Z$644</f>
        <v>68146.208871882496</v>
      </c>
      <c r="AG644" s="4">
        <f>$O$644*$AA$644</f>
        <v>35745.249149286232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E2B7-D83B-4C95-A4C5-10D41B24E3AA}">
  <sheetPr codeName="Planilha17"/>
  <dimension ref="A1:AJ645"/>
  <sheetViews>
    <sheetView showGridLines="0" topLeftCell="AD1" workbookViewId="0">
      <selection activeCell="AJ12" sqref="AJ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23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10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H1" s="35" t="s">
        <v>662</v>
      </c>
      <c r="AI1" s="35" t="s">
        <v>669</v>
      </c>
      <c r="AJ1" s="35" t="s">
        <v>670</v>
      </c>
    </row>
    <row r="2" spans="1:36" ht="11.25" customHeight="1" x14ac:dyDescent="0.25">
      <c r="A2" s="3" t="s">
        <v>21</v>
      </c>
      <c r="B2" s="3" t="s">
        <v>35</v>
      </c>
      <c r="C2" s="3" t="s">
        <v>48</v>
      </c>
      <c r="D2" s="3" t="s">
        <v>46</v>
      </c>
      <c r="E2" s="3" t="s">
        <v>47</v>
      </c>
      <c r="F2" s="3" t="s">
        <v>25</v>
      </c>
      <c r="G2" s="3" t="s">
        <v>25</v>
      </c>
      <c r="H2" s="3" t="s">
        <v>38</v>
      </c>
      <c r="I2" s="6">
        <v>44440</v>
      </c>
      <c r="J2" s="4">
        <v>119</v>
      </c>
      <c r="K2" s="53">
        <v>119</v>
      </c>
      <c r="L2" s="4">
        <v>67.009</v>
      </c>
      <c r="M2" s="54">
        <v>67.009</v>
      </c>
      <c r="N2" s="4">
        <v>67.009</v>
      </c>
      <c r="O2" s="54">
        <v>67.009</v>
      </c>
      <c r="P2" s="4">
        <v>0</v>
      </c>
      <c r="Q2" s="3" t="s">
        <v>26</v>
      </c>
      <c r="R2" s="3">
        <v>0</v>
      </c>
      <c r="S2" s="3">
        <v>11</v>
      </c>
      <c r="T2" s="3">
        <v>14</v>
      </c>
      <c r="U2" s="3">
        <v>69</v>
      </c>
      <c r="V2" s="54">
        <f>IF(ISERROR(VLOOKUP($S$2,'TAR FIN'!$A$1:$O$91,15,0)),0,VLOOKUP($S$2,'TAR FIN'!$A$1:$O$91,15,0))*(1-0.06)</f>
        <v>17.060999999999996</v>
      </c>
      <c r="W2" s="54">
        <f>IF(ISERROR(VLOOKUP($T$2,'TAR FIN'!$A$1:$O$91,15,0)),0,VLOOKUP($T$2,'TAR FIN'!$A$1:$O$91,15,0))*(1-0.06)</f>
        <v>66.871600000000001</v>
      </c>
      <c r="X2" s="54">
        <f>IF(ISERROR(VLOOKUP($U$2,'TAR FIN'!$A$1:$O$91,15,0)),0,VLOOKUP($U$2,'TAR FIN'!$A$1:$O$91,15,0))*(1-0.06)</f>
        <v>234.29499999999999</v>
      </c>
      <c r="Y2" s="54">
        <f ca="1">('TUSD BE'!$AM$6+'TUSD BF'!$AM$6+'TUSD CVA'!$AM$6)*1*(1-0.03)</f>
        <v>20.639983826307745</v>
      </c>
      <c r="Z2" s="54">
        <f ca="1">('TUSD BE'!$AM$7+'TUSD BF'!$AM$7+'TUSD CVA'!$AM$7)*1*(1-0.03)</f>
        <v>99.799749520056594</v>
      </c>
      <c r="AA2" s="54">
        <f>('TE BE'!$AB$6+'TE BF'!$AB$6+'TE CVA'!$AB$6)*1*(1-0.03)</f>
        <v>197.28126009827187</v>
      </c>
      <c r="AB2" s="54">
        <f>(SUBSIDIO!$J$2*SUBSIDIO!$V$2)*(0.06)/(1-0.06)</f>
        <v>129.59099999999998</v>
      </c>
      <c r="AC2" s="54">
        <f>((SUBSIDIO!$L$2*SUBSIDIO!$W$2)+(SUBSIDIO!$N$2*SUBSIDIO!$X$2))*(0.06)/(1-0.06)</f>
        <v>1288.1408105999999</v>
      </c>
      <c r="AD2" s="54">
        <f ca="1">(SUBSIDIO!$J$2*SUBSIDIO!$Y$2)*(0.03)/(1-0.03)</f>
        <v>75.96365181434912</v>
      </c>
      <c r="AE2" s="54">
        <f ca="1">((SUBSIDIO!$L$2*SUBSIDIO!$Z$2)+(SUBSIDIO!$N$2*SUBSIDIO!$AA$2))*(0.03)/(1-0.03)</f>
        <v>615.68354763447121</v>
      </c>
      <c r="AF2" s="3" t="s">
        <v>663</v>
      </c>
      <c r="AH2" s="36" t="s">
        <v>671</v>
      </c>
      <c r="AI2" s="37">
        <f t="shared" ref="AI2:AI9" si="0">SUMIF($AF$2:$AF$645,AH2,$AB$2:$AB$645)+SUMIF($AF$2:$AF$645,AH2,$AC$2:$AC$645)</f>
        <v>0</v>
      </c>
      <c r="AJ2" s="37">
        <f t="shared" ref="AJ2:AJ9" si="1">SUMIF($AF$2:$AF$645,AH2,$AD$2:$AD$645)+SUMIF($AF$2:$AF$645,AH2,$AE$2:$AE$645)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48</v>
      </c>
      <c r="D3" s="3" t="s">
        <v>46</v>
      </c>
      <c r="E3" s="3" t="s">
        <v>47</v>
      </c>
      <c r="F3" s="3" t="s">
        <v>25</v>
      </c>
      <c r="G3" s="3" t="s">
        <v>25</v>
      </c>
      <c r="H3" s="3" t="s">
        <v>38</v>
      </c>
      <c r="I3" s="6">
        <v>44470</v>
      </c>
      <c r="J3" s="4">
        <v>119</v>
      </c>
      <c r="K3" s="53">
        <v>119</v>
      </c>
      <c r="L3" s="4">
        <v>67.436000000000007</v>
      </c>
      <c r="M3" s="54">
        <v>67.436000000000007</v>
      </c>
      <c r="N3" s="4">
        <v>67.436000000000007</v>
      </c>
      <c r="O3" s="54">
        <v>67.436000000000007</v>
      </c>
      <c r="P3" s="4">
        <v>0</v>
      </c>
      <c r="Q3" s="3" t="s">
        <v>26</v>
      </c>
      <c r="R3" s="3">
        <v>0</v>
      </c>
      <c r="S3" s="3">
        <v>11</v>
      </c>
      <c r="T3" s="3">
        <v>14</v>
      </c>
      <c r="U3" s="3">
        <v>69</v>
      </c>
      <c r="V3" s="54">
        <f>IF(ISERROR(VLOOKUP($S$3,'TAR FIN'!$A$1:$O$91,15,0)),0,VLOOKUP($S$3,'TAR FIN'!$A$1:$O$91,15,0))*(1-0.06)</f>
        <v>17.060999999999996</v>
      </c>
      <c r="W3" s="54">
        <f>IF(ISERROR(VLOOKUP($T$3,'TAR FIN'!$A$1:$O$91,15,0)),0,VLOOKUP($T$3,'TAR FIN'!$A$1:$O$91,15,0))*(1-0.06)</f>
        <v>66.871600000000001</v>
      </c>
      <c r="X3" s="54">
        <f>IF(ISERROR(VLOOKUP($U$3,'TAR FIN'!$A$1:$O$91,15,0)),0,VLOOKUP($U$3,'TAR FIN'!$A$1:$O$91,15,0))*(1-0.06)</f>
        <v>234.29499999999999</v>
      </c>
      <c r="Y3" s="54">
        <f ca="1">('TUSD BE'!$AM$6+'TUSD BF'!$AM$6+'TUSD CVA'!$AM$6)*1*(1-0.03)</f>
        <v>20.639983826307745</v>
      </c>
      <c r="Z3" s="54">
        <f ca="1">('TUSD BE'!$AM$7+'TUSD BF'!$AM$7+'TUSD CVA'!$AM$7)*1*(1-0.03)</f>
        <v>99.799749520056594</v>
      </c>
      <c r="AA3" s="54">
        <f>('TE BE'!$AB$6+'TE BF'!$AB$6+'TE CVA'!$AB$6)*1*(1-0.03)</f>
        <v>197.28126009827187</v>
      </c>
      <c r="AB3" s="54">
        <f>(SUBSIDIO!$J$3*SUBSIDIO!$V$3)*(0.06)/(1-0.06)</f>
        <v>129.59099999999998</v>
      </c>
      <c r="AC3" s="54">
        <f>((SUBSIDIO!$L$3*SUBSIDIO!$W$3)+(SUBSIDIO!$N$3*SUBSIDIO!$X$3))*(0.06)/(1-0.06)</f>
        <v>1296.3492024000002</v>
      </c>
      <c r="AD3" s="54">
        <f ca="1">(SUBSIDIO!$J$3*SUBSIDIO!$Y$3)*(0.03)/(1-0.03)</f>
        <v>75.96365181434912</v>
      </c>
      <c r="AE3" s="54">
        <f ca="1">((SUBSIDIO!$L$3*SUBSIDIO!$Z$3)+(SUBSIDIO!$N$3*SUBSIDIO!$AA$3))*(0.03)/(1-0.03)</f>
        <v>619.60685457592581</v>
      </c>
      <c r="AF3" s="3" t="s">
        <v>663</v>
      </c>
      <c r="AH3" s="36" t="s">
        <v>665</v>
      </c>
      <c r="AI3" s="37">
        <f t="shared" si="0"/>
        <v>87252</v>
      </c>
      <c r="AJ3" s="37">
        <f t="shared" ca="1" si="1"/>
        <v>88110.091270169243</v>
      </c>
    </row>
    <row r="4" spans="1:36" ht="11.25" customHeight="1" x14ac:dyDescent="0.25">
      <c r="A4" s="3" t="s">
        <v>21</v>
      </c>
      <c r="B4" s="3" t="s">
        <v>35</v>
      </c>
      <c r="C4" s="3" t="s">
        <v>48</v>
      </c>
      <c r="D4" s="3" t="s">
        <v>46</v>
      </c>
      <c r="E4" s="3" t="s">
        <v>47</v>
      </c>
      <c r="F4" s="3" t="s">
        <v>25</v>
      </c>
      <c r="G4" s="3" t="s">
        <v>25</v>
      </c>
      <c r="H4" s="3" t="s">
        <v>38</v>
      </c>
      <c r="I4" s="6">
        <v>44501</v>
      </c>
      <c r="J4" s="4">
        <v>121</v>
      </c>
      <c r="K4" s="53">
        <v>121</v>
      </c>
      <c r="L4" s="4">
        <v>66.242999999999995</v>
      </c>
      <c r="M4" s="54">
        <v>66.242999999999995</v>
      </c>
      <c r="N4" s="4">
        <v>66.242999999999995</v>
      </c>
      <c r="O4" s="54">
        <v>66.242999999999995</v>
      </c>
      <c r="P4" s="4">
        <v>0</v>
      </c>
      <c r="Q4" s="3" t="s">
        <v>26</v>
      </c>
      <c r="R4" s="3">
        <v>0</v>
      </c>
      <c r="S4" s="3">
        <v>11</v>
      </c>
      <c r="T4" s="3">
        <v>14</v>
      </c>
      <c r="U4" s="3">
        <v>69</v>
      </c>
      <c r="V4" s="54">
        <f>IF(ISERROR(VLOOKUP($S$4,'TAR FIN'!$A$1:$O$91,15,0)),0,VLOOKUP($S$4,'TAR FIN'!$A$1:$O$91,15,0))*(1-0.06)</f>
        <v>17.060999999999996</v>
      </c>
      <c r="W4" s="54">
        <f>IF(ISERROR(VLOOKUP($T$4,'TAR FIN'!$A$1:$O$91,15,0)),0,VLOOKUP($T$4,'TAR FIN'!$A$1:$O$91,15,0))*(1-0.06)</f>
        <v>66.871600000000001</v>
      </c>
      <c r="X4" s="54">
        <f>IF(ISERROR(VLOOKUP($U$4,'TAR FIN'!$A$1:$O$91,15,0)),0,VLOOKUP($U$4,'TAR FIN'!$A$1:$O$91,15,0))*(1-0.06)</f>
        <v>234.29499999999999</v>
      </c>
      <c r="Y4" s="54">
        <f ca="1">('TUSD BE'!$AM$6+'TUSD BF'!$AM$6+'TUSD CVA'!$AM$6)*1*(1-0.03)</f>
        <v>20.639983826307745</v>
      </c>
      <c r="Z4" s="54">
        <f ca="1">('TUSD BE'!$AM$7+'TUSD BF'!$AM$7+'TUSD CVA'!$AM$7)*1*(1-0.03)</f>
        <v>99.799749520056594</v>
      </c>
      <c r="AA4" s="54">
        <f>('TE BE'!$AB$6+'TE BF'!$AB$6+'TE CVA'!$AB$6)*1*(1-0.03)</f>
        <v>197.28126009827187</v>
      </c>
      <c r="AB4" s="54">
        <f>(SUBSIDIO!$J$4*SUBSIDIO!$V$4)*(0.06)/(1-0.06)</f>
        <v>131.76899999999995</v>
      </c>
      <c r="AC4" s="54">
        <f>((SUBSIDIO!$L$4*SUBSIDIO!$W$4)+(SUBSIDIO!$N$4*SUBSIDIO!$X$4))*(0.06)/(1-0.06)</f>
        <v>1273.4156861999998</v>
      </c>
      <c r="AD4" s="54">
        <f ca="1">(SUBSIDIO!$J$4*SUBSIDIO!$Y$4)*(0.03)/(1-0.03)</f>
        <v>77.24035184484238</v>
      </c>
      <c r="AE4" s="54">
        <f ca="1">((SUBSIDIO!$L$4*SUBSIDIO!$Z$4)+(SUBSIDIO!$N$4*SUBSIDIO!$AA$4))*(0.03)/(1-0.03)</f>
        <v>608.64548412825559</v>
      </c>
      <c r="AF4" s="3" t="s">
        <v>663</v>
      </c>
      <c r="AH4" s="36" t="s">
        <v>664</v>
      </c>
      <c r="AI4" s="37">
        <f t="shared" si="0"/>
        <v>0</v>
      </c>
      <c r="AJ4" s="37">
        <f t="shared" ca="1" si="1"/>
        <v>0</v>
      </c>
    </row>
    <row r="5" spans="1:36" ht="11.25" customHeight="1" x14ac:dyDescent="0.25">
      <c r="A5" s="3" t="s">
        <v>21</v>
      </c>
      <c r="B5" s="3" t="s">
        <v>35</v>
      </c>
      <c r="C5" s="3" t="s">
        <v>48</v>
      </c>
      <c r="D5" s="3" t="s">
        <v>46</v>
      </c>
      <c r="E5" s="3" t="s">
        <v>47</v>
      </c>
      <c r="F5" s="3" t="s">
        <v>25</v>
      </c>
      <c r="G5" s="3" t="s">
        <v>25</v>
      </c>
      <c r="H5" s="3" t="s">
        <v>38</v>
      </c>
      <c r="I5" s="6">
        <v>44531</v>
      </c>
      <c r="J5" s="4">
        <v>119</v>
      </c>
      <c r="K5" s="53">
        <v>119</v>
      </c>
      <c r="L5" s="4">
        <v>67.462000000000003</v>
      </c>
      <c r="M5" s="54">
        <v>67.462000000000003</v>
      </c>
      <c r="N5" s="4">
        <v>67.462000000000003</v>
      </c>
      <c r="O5" s="54">
        <v>67.462000000000003</v>
      </c>
      <c r="P5" s="4">
        <v>0</v>
      </c>
      <c r="Q5" s="3" t="s">
        <v>26</v>
      </c>
      <c r="R5" s="3">
        <v>0</v>
      </c>
      <c r="S5" s="3">
        <v>11</v>
      </c>
      <c r="T5" s="3">
        <v>14</v>
      </c>
      <c r="U5" s="3">
        <v>69</v>
      </c>
      <c r="V5" s="54">
        <f>IF(ISERROR(VLOOKUP($S$5,'TAR FIN'!$A$1:$O$91,15,0)),0,VLOOKUP($S$5,'TAR FIN'!$A$1:$O$91,15,0))*(1-0.06)</f>
        <v>17.060999999999996</v>
      </c>
      <c r="W5" s="54">
        <f>IF(ISERROR(VLOOKUP($T$5,'TAR FIN'!$A$1:$O$91,15,0)),0,VLOOKUP($T$5,'TAR FIN'!$A$1:$O$91,15,0))*(1-0.06)</f>
        <v>66.871600000000001</v>
      </c>
      <c r="X5" s="54">
        <f>IF(ISERROR(VLOOKUP($U$5,'TAR FIN'!$A$1:$O$91,15,0)),0,VLOOKUP($U$5,'TAR FIN'!$A$1:$O$91,15,0))*(1-0.06)</f>
        <v>234.29499999999999</v>
      </c>
      <c r="Y5" s="54">
        <f ca="1">('TUSD BE'!$AM$6+'TUSD BF'!$AM$6+'TUSD CVA'!$AM$6)*1*(1-0.03)</f>
        <v>20.639983826307745</v>
      </c>
      <c r="Z5" s="54">
        <f ca="1">('TUSD BE'!$AM$7+'TUSD BF'!$AM$7+'TUSD CVA'!$AM$7)*1*(1-0.03)</f>
        <v>99.799749520056594</v>
      </c>
      <c r="AA5" s="54">
        <f>('TE BE'!$AB$6+'TE BF'!$AB$6+'TE CVA'!$AB$6)*1*(1-0.03)</f>
        <v>197.28126009827187</v>
      </c>
      <c r="AB5" s="54">
        <f>(SUBSIDIO!$J$5*SUBSIDIO!$V$5)*(0.06)/(1-0.06)</f>
        <v>129.59099999999998</v>
      </c>
      <c r="AC5" s="54">
        <f>((SUBSIDIO!$L$5*SUBSIDIO!$W$5)+(SUBSIDIO!$N$5*SUBSIDIO!$X$5))*(0.06)/(1-0.06)</f>
        <v>1296.8490108000001</v>
      </c>
      <c r="AD5" s="54">
        <f ca="1">(SUBSIDIO!$J$5*SUBSIDIO!$Y$5)*(0.03)/(1-0.03)</f>
        <v>75.96365181434912</v>
      </c>
      <c r="AE5" s="54">
        <f ca="1">((SUBSIDIO!$L$5*SUBSIDIO!$Z$5)+(SUBSIDIO!$N$5*SUBSIDIO!$AA$5))*(0.03)/(1-0.03)</f>
        <v>619.84574445994883</v>
      </c>
      <c r="AF5" s="3" t="s">
        <v>663</v>
      </c>
      <c r="AH5" s="36" t="s">
        <v>663</v>
      </c>
      <c r="AI5" s="37">
        <f t="shared" si="0"/>
        <v>41010.350368199994</v>
      </c>
      <c r="AJ5" s="37">
        <f t="shared" ca="1" si="1"/>
        <v>21048.18314948407</v>
      </c>
    </row>
    <row r="6" spans="1:36" ht="11.25" customHeight="1" x14ac:dyDescent="0.25">
      <c r="A6" s="3" t="s">
        <v>21</v>
      </c>
      <c r="B6" s="3" t="s">
        <v>35</v>
      </c>
      <c r="C6" s="3" t="s">
        <v>48</v>
      </c>
      <c r="D6" s="3" t="s">
        <v>46</v>
      </c>
      <c r="E6" s="3" t="s">
        <v>47</v>
      </c>
      <c r="F6" s="3" t="s">
        <v>25</v>
      </c>
      <c r="G6" s="3" t="s">
        <v>25</v>
      </c>
      <c r="H6" s="3" t="s">
        <v>38</v>
      </c>
      <c r="I6" s="6">
        <v>44562</v>
      </c>
      <c r="J6" s="4">
        <v>123</v>
      </c>
      <c r="K6" s="53">
        <v>123</v>
      </c>
      <c r="L6" s="4">
        <v>71.691000000000003</v>
      </c>
      <c r="M6" s="54">
        <v>71.691000000000003</v>
      </c>
      <c r="N6" s="4">
        <v>71.691000000000003</v>
      </c>
      <c r="O6" s="54">
        <v>71.691000000000003</v>
      </c>
      <c r="P6" s="4">
        <v>0</v>
      </c>
      <c r="Q6" s="3" t="s">
        <v>26</v>
      </c>
      <c r="R6" s="3">
        <v>0</v>
      </c>
      <c r="S6" s="3">
        <v>11</v>
      </c>
      <c r="T6" s="3">
        <v>14</v>
      </c>
      <c r="U6" s="3">
        <v>69</v>
      </c>
      <c r="V6" s="54">
        <f>IF(ISERROR(VLOOKUP($S$6,'TAR FIN'!$A$1:$O$91,15,0)),0,VLOOKUP($S$6,'TAR FIN'!$A$1:$O$91,15,0))*(1-0.06)</f>
        <v>17.060999999999996</v>
      </c>
      <c r="W6" s="54">
        <f>IF(ISERROR(VLOOKUP($T$6,'TAR FIN'!$A$1:$O$91,15,0)),0,VLOOKUP($T$6,'TAR FIN'!$A$1:$O$91,15,0))*(1-0.06)</f>
        <v>66.871600000000001</v>
      </c>
      <c r="X6" s="54">
        <f>IF(ISERROR(VLOOKUP($U$6,'TAR FIN'!$A$1:$O$91,15,0)),0,VLOOKUP($U$6,'TAR FIN'!$A$1:$O$91,15,0))*(1-0.06)</f>
        <v>234.29499999999999</v>
      </c>
      <c r="Y6" s="54">
        <f ca="1">('TUSD BE'!$AM$6+'TUSD BF'!$AM$6+'TUSD CVA'!$AM$6)*1*(1-0.03)</f>
        <v>20.639983826307745</v>
      </c>
      <c r="Z6" s="54">
        <f ca="1">('TUSD BE'!$AM$7+'TUSD BF'!$AM$7+'TUSD CVA'!$AM$7)*1*(1-0.03)</f>
        <v>99.799749520056594</v>
      </c>
      <c r="AA6" s="54">
        <f>('TE BE'!$AB$6+'TE BF'!$AB$6+'TE CVA'!$AB$6)*1*(1-0.03)</f>
        <v>197.28126009827187</v>
      </c>
      <c r="AB6" s="54">
        <f>(SUBSIDIO!$J$6*SUBSIDIO!$V$6)*(0.06)/(1-0.06)</f>
        <v>133.947</v>
      </c>
      <c r="AC6" s="54">
        <f>((SUBSIDIO!$L$6*SUBSIDIO!$W$6)+(SUBSIDIO!$N$6*SUBSIDIO!$X$6))*(0.06)/(1-0.06)</f>
        <v>1378.1447693999999</v>
      </c>
      <c r="AD6" s="54">
        <f ca="1">(SUBSIDIO!$J$6*SUBSIDIO!$Y$6)*(0.03)/(1-0.03)</f>
        <v>78.517051875335653</v>
      </c>
      <c r="AE6" s="54">
        <f ca="1">((SUBSIDIO!$L$6*SUBSIDIO!$Z$6)+(SUBSIDIO!$N$6*SUBSIDIO!$AA$6))*(0.03)/(1-0.03)</f>
        <v>658.7021029035335</v>
      </c>
      <c r="AF6" s="3" t="s">
        <v>663</v>
      </c>
      <c r="AH6" s="36" t="s">
        <v>667</v>
      </c>
      <c r="AI6" s="37">
        <f t="shared" si="0"/>
        <v>1838106.938689999</v>
      </c>
      <c r="AJ6" s="37">
        <f t="shared" ca="1" si="1"/>
        <v>966817.44229646598</v>
      </c>
    </row>
    <row r="7" spans="1:36" ht="11.25" customHeight="1" x14ac:dyDescent="0.25">
      <c r="A7" s="3" t="s">
        <v>21</v>
      </c>
      <c r="B7" s="3" t="s">
        <v>35</v>
      </c>
      <c r="C7" s="3" t="s">
        <v>48</v>
      </c>
      <c r="D7" s="3" t="s">
        <v>46</v>
      </c>
      <c r="E7" s="3" t="s">
        <v>47</v>
      </c>
      <c r="F7" s="3" t="s">
        <v>25</v>
      </c>
      <c r="G7" s="3" t="s">
        <v>25</v>
      </c>
      <c r="H7" s="3" t="s">
        <v>38</v>
      </c>
      <c r="I7" s="6">
        <v>44593</v>
      </c>
      <c r="J7" s="4">
        <v>123</v>
      </c>
      <c r="K7" s="53">
        <v>123</v>
      </c>
      <c r="L7" s="4">
        <v>64.504000000000005</v>
      </c>
      <c r="M7" s="54">
        <v>64.504000000000005</v>
      </c>
      <c r="N7" s="4">
        <v>64.504000000000005</v>
      </c>
      <c r="O7" s="54">
        <v>64.504000000000005</v>
      </c>
      <c r="P7" s="4">
        <v>0</v>
      </c>
      <c r="Q7" s="3" t="s">
        <v>26</v>
      </c>
      <c r="R7" s="3">
        <v>0</v>
      </c>
      <c r="S7" s="3">
        <v>11</v>
      </c>
      <c r="T7" s="3">
        <v>14</v>
      </c>
      <c r="U7" s="3">
        <v>69</v>
      </c>
      <c r="V7" s="54">
        <f>IF(ISERROR(VLOOKUP($S$7,'TAR FIN'!$A$1:$O$91,15,0)),0,VLOOKUP($S$7,'TAR FIN'!$A$1:$O$91,15,0))*(1-0.06)</f>
        <v>17.060999999999996</v>
      </c>
      <c r="W7" s="54">
        <f>IF(ISERROR(VLOOKUP($T$7,'TAR FIN'!$A$1:$O$91,15,0)),0,VLOOKUP($T$7,'TAR FIN'!$A$1:$O$91,15,0))*(1-0.06)</f>
        <v>66.871600000000001</v>
      </c>
      <c r="X7" s="54">
        <f>IF(ISERROR(VLOOKUP($U$7,'TAR FIN'!$A$1:$O$91,15,0)),0,VLOOKUP($U$7,'TAR FIN'!$A$1:$O$91,15,0))*(1-0.06)</f>
        <v>234.29499999999999</v>
      </c>
      <c r="Y7" s="54">
        <f ca="1">('TUSD BE'!$AM$6+'TUSD BF'!$AM$6+'TUSD CVA'!$AM$6)*1*(1-0.03)</f>
        <v>20.639983826307745</v>
      </c>
      <c r="Z7" s="54">
        <f ca="1">('TUSD BE'!$AM$7+'TUSD BF'!$AM$7+'TUSD CVA'!$AM$7)*1*(1-0.03)</f>
        <v>99.799749520056594</v>
      </c>
      <c r="AA7" s="54">
        <f>('TE BE'!$AB$6+'TE BF'!$AB$6+'TE CVA'!$AB$6)*1*(1-0.03)</f>
        <v>197.28126009827187</v>
      </c>
      <c r="AB7" s="54">
        <f>(SUBSIDIO!$J$7*SUBSIDIO!$V$7)*(0.06)/(1-0.06)</f>
        <v>133.947</v>
      </c>
      <c r="AC7" s="54">
        <f>((SUBSIDIO!$L$7*SUBSIDIO!$W$7)+(SUBSIDIO!$N$7*SUBSIDIO!$X$7))*(0.06)/(1-0.06)</f>
        <v>1239.9861936</v>
      </c>
      <c r="AD7" s="54">
        <f ca="1">(SUBSIDIO!$J$7*SUBSIDIO!$Y$7)*(0.03)/(1-0.03)</f>
        <v>78.517051875335653</v>
      </c>
      <c r="AE7" s="54">
        <f ca="1">((SUBSIDIO!$L$7*SUBSIDIO!$Z$7)+(SUBSIDIO!$N$7*SUBSIDIO!$AA$7))*(0.03)/(1-0.03)</f>
        <v>592.66742611610289</v>
      </c>
      <c r="AF7" s="3" t="s">
        <v>663</v>
      </c>
      <c r="AH7" s="36" t="s">
        <v>668</v>
      </c>
      <c r="AI7" s="37">
        <f t="shared" si="0"/>
        <v>326192.28398399998</v>
      </c>
      <c r="AJ7" s="37">
        <f t="shared" ca="1" si="1"/>
        <v>330444.77781897713</v>
      </c>
    </row>
    <row r="8" spans="1:36" ht="11.25" customHeight="1" x14ac:dyDescent="0.25">
      <c r="A8" s="3" t="s">
        <v>21</v>
      </c>
      <c r="B8" s="3" t="s">
        <v>35</v>
      </c>
      <c r="C8" s="3" t="s">
        <v>48</v>
      </c>
      <c r="D8" s="3" t="s">
        <v>46</v>
      </c>
      <c r="E8" s="3" t="s">
        <v>47</v>
      </c>
      <c r="F8" s="3" t="s">
        <v>25</v>
      </c>
      <c r="G8" s="3" t="s">
        <v>25</v>
      </c>
      <c r="H8" s="3" t="s">
        <v>38</v>
      </c>
      <c r="I8" s="6">
        <v>44621</v>
      </c>
      <c r="J8" s="4">
        <v>121</v>
      </c>
      <c r="K8" s="53">
        <v>121</v>
      </c>
      <c r="L8" s="4">
        <v>68.736000000000004</v>
      </c>
      <c r="M8" s="54">
        <v>68.736000000000004</v>
      </c>
      <c r="N8" s="4">
        <v>68.736000000000004</v>
      </c>
      <c r="O8" s="54">
        <v>68.736000000000004</v>
      </c>
      <c r="P8" s="4">
        <v>0</v>
      </c>
      <c r="Q8" s="3" t="s">
        <v>26</v>
      </c>
      <c r="R8" s="3">
        <v>0</v>
      </c>
      <c r="S8" s="3">
        <v>11</v>
      </c>
      <c r="T8" s="3">
        <v>14</v>
      </c>
      <c r="U8" s="3">
        <v>69</v>
      </c>
      <c r="V8" s="54">
        <f>IF(ISERROR(VLOOKUP($S$8,'TAR FIN'!$A$1:$O$91,15,0)),0,VLOOKUP($S$8,'TAR FIN'!$A$1:$O$91,15,0))*(1-0.06)</f>
        <v>17.060999999999996</v>
      </c>
      <c r="W8" s="54">
        <f>IF(ISERROR(VLOOKUP($T$8,'TAR FIN'!$A$1:$O$91,15,0)),0,VLOOKUP($T$8,'TAR FIN'!$A$1:$O$91,15,0))*(1-0.06)</f>
        <v>66.871600000000001</v>
      </c>
      <c r="X8" s="54">
        <f>IF(ISERROR(VLOOKUP($U$8,'TAR FIN'!$A$1:$O$91,15,0)),0,VLOOKUP($U$8,'TAR FIN'!$A$1:$O$91,15,0))*(1-0.06)</f>
        <v>234.29499999999999</v>
      </c>
      <c r="Y8" s="54">
        <f ca="1">('TUSD BE'!$AM$6+'TUSD BF'!$AM$6+'TUSD CVA'!$AM$6)*1*(1-0.03)</f>
        <v>20.639983826307745</v>
      </c>
      <c r="Z8" s="54">
        <f ca="1">('TUSD BE'!$AM$7+'TUSD BF'!$AM$7+'TUSD CVA'!$AM$7)*1*(1-0.03)</f>
        <v>99.799749520056594</v>
      </c>
      <c r="AA8" s="54">
        <f>('TE BE'!$AB$6+'TE BF'!$AB$6+'TE CVA'!$AB$6)*1*(1-0.03)</f>
        <v>197.28126009827187</v>
      </c>
      <c r="AB8" s="54">
        <f>(SUBSIDIO!$J$8*SUBSIDIO!$V$8)*(0.06)/(1-0.06)</f>
        <v>131.76899999999995</v>
      </c>
      <c r="AC8" s="54">
        <f>((SUBSIDIO!$L$8*SUBSIDIO!$W$8)+(SUBSIDIO!$N$8*SUBSIDIO!$X$8))*(0.06)/(1-0.06)</f>
        <v>1321.3396224000001</v>
      </c>
      <c r="AD8" s="54">
        <f ca="1">(SUBSIDIO!$J$8*SUBSIDIO!$Y$8)*(0.03)/(1-0.03)</f>
        <v>77.24035184484238</v>
      </c>
      <c r="AE8" s="54">
        <f ca="1">((SUBSIDIO!$L$8*SUBSIDIO!$Z$8)+(SUBSIDIO!$N$8*SUBSIDIO!$AA$8))*(0.03)/(1-0.03)</f>
        <v>631.55134877707508</v>
      </c>
      <c r="AF8" s="3" t="s">
        <v>663</v>
      </c>
      <c r="AH8" s="36" t="s">
        <v>666</v>
      </c>
      <c r="AI8" s="37">
        <f t="shared" si="0"/>
        <v>154701.14456299989</v>
      </c>
      <c r="AJ8" s="37">
        <f t="shared" ca="1" si="1"/>
        <v>151181.46202819544</v>
      </c>
    </row>
    <row r="9" spans="1:36" ht="11.25" customHeight="1" x14ac:dyDescent="0.25">
      <c r="A9" s="3" t="s">
        <v>21</v>
      </c>
      <c r="B9" s="3" t="s">
        <v>35</v>
      </c>
      <c r="C9" s="3" t="s">
        <v>48</v>
      </c>
      <c r="D9" s="3" t="s">
        <v>46</v>
      </c>
      <c r="E9" s="3" t="s">
        <v>47</v>
      </c>
      <c r="F9" s="3" t="s">
        <v>25</v>
      </c>
      <c r="G9" s="3" t="s">
        <v>25</v>
      </c>
      <c r="H9" s="3" t="s">
        <v>38</v>
      </c>
      <c r="I9" s="6">
        <v>44652</v>
      </c>
      <c r="J9" s="4">
        <v>119</v>
      </c>
      <c r="K9" s="53">
        <v>119</v>
      </c>
      <c r="L9" s="4">
        <v>69.516000000000005</v>
      </c>
      <c r="M9" s="54">
        <v>69.516000000000005</v>
      </c>
      <c r="N9" s="4">
        <v>69.516000000000005</v>
      </c>
      <c r="O9" s="54">
        <v>69.516000000000005</v>
      </c>
      <c r="P9" s="4">
        <v>0</v>
      </c>
      <c r="Q9" s="3" t="s">
        <v>26</v>
      </c>
      <c r="R9" s="3">
        <v>0</v>
      </c>
      <c r="S9" s="3">
        <v>11</v>
      </c>
      <c r="T9" s="3">
        <v>14</v>
      </c>
      <c r="U9" s="3">
        <v>69</v>
      </c>
      <c r="V9" s="54">
        <f>IF(ISERROR(VLOOKUP($S$9,'TAR FIN'!$A$1:$O$91,15,0)),0,VLOOKUP($S$9,'TAR FIN'!$A$1:$O$91,15,0))*(1-0.06)</f>
        <v>17.060999999999996</v>
      </c>
      <c r="W9" s="54">
        <f>IF(ISERROR(VLOOKUP($T$9,'TAR FIN'!$A$1:$O$91,15,0)),0,VLOOKUP($T$9,'TAR FIN'!$A$1:$O$91,15,0))*(1-0.06)</f>
        <v>66.871600000000001</v>
      </c>
      <c r="X9" s="54">
        <f>IF(ISERROR(VLOOKUP($U$9,'TAR FIN'!$A$1:$O$91,15,0)),0,VLOOKUP($U$9,'TAR FIN'!$A$1:$O$91,15,0))*(1-0.06)</f>
        <v>234.29499999999999</v>
      </c>
      <c r="Y9" s="54">
        <f ca="1">('TUSD BE'!$AM$6+'TUSD BF'!$AM$6+'TUSD CVA'!$AM$6)*1*(1-0.03)</f>
        <v>20.639983826307745</v>
      </c>
      <c r="Z9" s="54">
        <f ca="1">('TUSD BE'!$AM$7+'TUSD BF'!$AM$7+'TUSD CVA'!$AM$7)*1*(1-0.03)</f>
        <v>99.799749520056594</v>
      </c>
      <c r="AA9" s="54">
        <f>('TE BE'!$AB$6+'TE BF'!$AB$6+'TE CVA'!$AB$6)*1*(1-0.03)</f>
        <v>197.28126009827187</v>
      </c>
      <c r="AB9" s="54">
        <f>(SUBSIDIO!$J$9*SUBSIDIO!$V$9)*(0.06)/(1-0.06)</f>
        <v>129.59099999999998</v>
      </c>
      <c r="AC9" s="54">
        <f>((SUBSIDIO!$L$9*SUBSIDIO!$W$9)+(SUBSIDIO!$N$9*SUBSIDIO!$X$9))*(0.06)/(1-0.06)</f>
        <v>1336.3338744000002</v>
      </c>
      <c r="AD9" s="54">
        <f ca="1">(SUBSIDIO!$J$9*SUBSIDIO!$Y$9)*(0.03)/(1-0.03)</f>
        <v>75.96365181434912</v>
      </c>
      <c r="AE9" s="54">
        <f ca="1">((SUBSIDIO!$L$9*SUBSIDIO!$Z$9)+(SUBSIDIO!$N$9*SUBSIDIO!$AA$9))*(0.03)/(1-0.03)</f>
        <v>638.71804529776466</v>
      </c>
      <c r="AF9" s="3" t="s">
        <v>663</v>
      </c>
      <c r="AH9" s="36" t="s">
        <v>672</v>
      </c>
      <c r="AI9" s="37">
        <f t="shared" si="0"/>
        <v>0</v>
      </c>
      <c r="AJ9" s="37">
        <f t="shared" si="1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48</v>
      </c>
      <c r="D10" s="3" t="s">
        <v>46</v>
      </c>
      <c r="E10" s="3" t="s">
        <v>47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140</v>
      </c>
      <c r="K10" s="53">
        <v>140</v>
      </c>
      <c r="L10" s="4">
        <v>68.391999999999996</v>
      </c>
      <c r="M10" s="54">
        <v>68.391999999999996</v>
      </c>
      <c r="N10" s="4">
        <v>68.391999999999996</v>
      </c>
      <c r="O10" s="54">
        <v>68.391999999999996</v>
      </c>
      <c r="P10" s="4">
        <v>0</v>
      </c>
      <c r="Q10" s="3" t="s">
        <v>26</v>
      </c>
      <c r="R10" s="3">
        <v>0</v>
      </c>
      <c r="S10" s="3">
        <v>11</v>
      </c>
      <c r="T10" s="3">
        <v>14</v>
      </c>
      <c r="U10" s="3">
        <v>69</v>
      </c>
      <c r="V10" s="54">
        <f>IF(ISERROR(VLOOKUP($S$10,'TAR FIN'!$A$1:$O$91,15,0)),0,VLOOKUP($S$10,'TAR FIN'!$A$1:$O$91,15,0))*(1-0.06)</f>
        <v>17.060999999999996</v>
      </c>
      <c r="W10" s="54">
        <f>IF(ISERROR(VLOOKUP($T$10,'TAR FIN'!$A$1:$O$91,15,0)),0,VLOOKUP($T$10,'TAR FIN'!$A$1:$O$91,15,0))*(1-0.06)</f>
        <v>66.871600000000001</v>
      </c>
      <c r="X10" s="54">
        <f>IF(ISERROR(VLOOKUP($U$10,'TAR FIN'!$A$1:$O$91,15,0)),0,VLOOKUP($U$10,'TAR FIN'!$A$1:$O$91,15,0))*(1-0.06)</f>
        <v>234.29499999999999</v>
      </c>
      <c r="Y10" s="54">
        <f ca="1">('TUSD BE'!$AM$6+'TUSD BF'!$AM$6+'TUSD CVA'!$AM$6)*1*(1-0.03)</f>
        <v>20.639983826307745</v>
      </c>
      <c r="Z10" s="54">
        <f ca="1">('TUSD BE'!$AM$7+'TUSD BF'!$AM$7+'TUSD CVA'!$AM$7)*1*(1-0.03)</f>
        <v>99.799749520056594</v>
      </c>
      <c r="AA10" s="54">
        <f>('TE BE'!$AB$6+'TE BF'!$AB$6+'TE CVA'!$AB$6)*1*(1-0.03)</f>
        <v>197.28126009827187</v>
      </c>
      <c r="AB10" s="54">
        <f>(SUBSIDIO!$J$10*SUBSIDIO!$V$10)*(0.06)/(1-0.06)</f>
        <v>152.45999999999998</v>
      </c>
      <c r="AC10" s="54">
        <f>((SUBSIDIO!$L$10*SUBSIDIO!$W$10)+(SUBSIDIO!$N$10*SUBSIDIO!$X$10))*(0.06)/(1-0.06)</f>
        <v>1314.7267727999999</v>
      </c>
      <c r="AD10" s="54">
        <f ca="1">(SUBSIDIO!$J$10*SUBSIDIO!$Y$10)*(0.03)/(1-0.03)</f>
        <v>89.369002134528387</v>
      </c>
      <c r="AE10" s="54">
        <f ca="1">((SUBSIDIO!$L$10*SUBSIDIO!$Z$10)+(SUBSIDIO!$N$10*SUBSIDIO!$AA$10))*(0.03)/(1-0.03)</f>
        <v>628.39065185000163</v>
      </c>
      <c r="AF10" s="3" t="s">
        <v>663</v>
      </c>
    </row>
    <row r="11" spans="1:36" ht="11.25" customHeight="1" x14ac:dyDescent="0.25">
      <c r="A11" s="3" t="s">
        <v>21</v>
      </c>
      <c r="B11" s="3" t="s">
        <v>35</v>
      </c>
      <c r="C11" s="3" t="s">
        <v>48</v>
      </c>
      <c r="D11" s="3" t="s">
        <v>46</v>
      </c>
      <c r="E11" s="3" t="s">
        <v>47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119</v>
      </c>
      <c r="K11" s="53">
        <v>119</v>
      </c>
      <c r="L11" s="4">
        <v>63.353000000000002</v>
      </c>
      <c r="M11" s="54">
        <v>63.353000000000002</v>
      </c>
      <c r="N11" s="4">
        <v>63.353000000000002</v>
      </c>
      <c r="O11" s="54">
        <v>63.353000000000002</v>
      </c>
      <c r="P11" s="4">
        <v>0</v>
      </c>
      <c r="Q11" s="3" t="s">
        <v>26</v>
      </c>
      <c r="R11" s="3">
        <v>0</v>
      </c>
      <c r="S11" s="3">
        <v>11</v>
      </c>
      <c r="T11" s="3">
        <v>14</v>
      </c>
      <c r="U11" s="3">
        <v>69</v>
      </c>
      <c r="V11" s="54">
        <f>IF(ISERROR(VLOOKUP($S$11,'TAR FIN'!$A$1:$O$91,15,0)),0,VLOOKUP($S$11,'TAR FIN'!$A$1:$O$91,15,0))*(1-0.06)</f>
        <v>17.060999999999996</v>
      </c>
      <c r="W11" s="54">
        <f>IF(ISERROR(VLOOKUP($T$11,'TAR FIN'!$A$1:$O$91,15,0)),0,VLOOKUP($T$11,'TAR FIN'!$A$1:$O$91,15,0))*(1-0.06)</f>
        <v>66.871600000000001</v>
      </c>
      <c r="X11" s="54">
        <f>IF(ISERROR(VLOOKUP($U$11,'TAR FIN'!$A$1:$O$91,15,0)),0,VLOOKUP($U$11,'TAR FIN'!$A$1:$O$91,15,0))*(1-0.06)</f>
        <v>234.29499999999999</v>
      </c>
      <c r="Y11" s="54">
        <f ca="1">('TUSD BE'!$AM$6+'TUSD BF'!$AM$6+'TUSD CVA'!$AM$6)*1*(1-0.03)</f>
        <v>20.639983826307745</v>
      </c>
      <c r="Z11" s="54">
        <f ca="1">('TUSD BE'!$AM$7+'TUSD BF'!$AM$7+'TUSD CVA'!$AM$7)*1*(1-0.03)</f>
        <v>99.799749520056594</v>
      </c>
      <c r="AA11" s="54">
        <f>('TE BE'!$AB$6+'TE BF'!$AB$6+'TE CVA'!$AB$6)*1*(1-0.03)</f>
        <v>197.28126009827187</v>
      </c>
      <c r="AB11" s="54">
        <f>(SUBSIDIO!$J$11*SUBSIDIO!$V$11)*(0.06)/(1-0.06)</f>
        <v>129.59099999999998</v>
      </c>
      <c r="AC11" s="54">
        <f>((SUBSIDIO!$L$11*SUBSIDIO!$W$11)+(SUBSIDIO!$N$11*SUBSIDIO!$X$11))*(0.06)/(1-0.06)</f>
        <v>1217.8600601999999</v>
      </c>
      <c r="AD11" s="54">
        <f ca="1">(SUBSIDIO!$J$11*SUBSIDIO!$Y$11)*(0.03)/(1-0.03)</f>
        <v>75.96365181434912</v>
      </c>
      <c r="AE11" s="54">
        <f ca="1">((SUBSIDIO!$L$11*SUBSIDIO!$Z$11)+(SUBSIDIO!$N$11*SUBSIDIO!$AA$11))*(0.03)/(1-0.03)</f>
        <v>582.09195471185456</v>
      </c>
      <c r="AF11" s="3" t="s">
        <v>663</v>
      </c>
      <c r="AJ11" s="4">
        <f ca="1">SUM(AJ2:AJ10)</f>
        <v>1557601.9565632918</v>
      </c>
    </row>
    <row r="12" spans="1:36" ht="11.25" customHeight="1" x14ac:dyDescent="0.25">
      <c r="A12" s="3" t="s">
        <v>21</v>
      </c>
      <c r="B12" s="3" t="s">
        <v>35</v>
      </c>
      <c r="C12" s="3" t="s">
        <v>48</v>
      </c>
      <c r="D12" s="3" t="s">
        <v>46</v>
      </c>
      <c r="E12" s="3" t="s">
        <v>47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119</v>
      </c>
      <c r="K12" s="53">
        <v>119</v>
      </c>
      <c r="L12" s="4">
        <v>65.085999999999999</v>
      </c>
      <c r="M12" s="54">
        <v>65.085999999999999</v>
      </c>
      <c r="N12" s="4">
        <v>65.085999999999999</v>
      </c>
      <c r="O12" s="54">
        <v>65.085999999999999</v>
      </c>
      <c r="P12" s="4">
        <v>0</v>
      </c>
      <c r="Q12" s="3" t="s">
        <v>26</v>
      </c>
      <c r="R12" s="3">
        <v>0</v>
      </c>
      <c r="S12" s="3">
        <v>11</v>
      </c>
      <c r="T12" s="3">
        <v>14</v>
      </c>
      <c r="U12" s="3">
        <v>69</v>
      </c>
      <c r="V12" s="54">
        <f>IF(ISERROR(VLOOKUP($S$12,'TAR FIN'!$A$1:$O$91,15,0)),0,VLOOKUP($S$12,'TAR FIN'!$A$1:$O$91,15,0))*(1-0.06)</f>
        <v>17.060999999999996</v>
      </c>
      <c r="W12" s="54">
        <f>IF(ISERROR(VLOOKUP($T$12,'TAR FIN'!$A$1:$O$91,15,0)),0,VLOOKUP($T$12,'TAR FIN'!$A$1:$O$91,15,0))*(1-0.06)</f>
        <v>66.871600000000001</v>
      </c>
      <c r="X12" s="54">
        <f>IF(ISERROR(VLOOKUP($U$12,'TAR FIN'!$A$1:$O$91,15,0)),0,VLOOKUP($U$12,'TAR FIN'!$A$1:$O$91,15,0))*(1-0.06)</f>
        <v>234.29499999999999</v>
      </c>
      <c r="Y12" s="54">
        <f ca="1">('TUSD BE'!$AM$6+'TUSD BF'!$AM$6+'TUSD CVA'!$AM$6)*1*(1-0.03)</f>
        <v>20.639983826307745</v>
      </c>
      <c r="Z12" s="54">
        <f ca="1">('TUSD BE'!$AM$7+'TUSD BF'!$AM$7+'TUSD CVA'!$AM$7)*1*(1-0.03)</f>
        <v>99.799749520056594</v>
      </c>
      <c r="AA12" s="54">
        <f>('TE BE'!$AB$6+'TE BF'!$AB$6+'TE CVA'!$AB$6)*1*(1-0.03)</f>
        <v>197.28126009827187</v>
      </c>
      <c r="AB12" s="54">
        <f>(SUBSIDIO!$J$12*SUBSIDIO!$V$12)*(0.06)/(1-0.06)</f>
        <v>129.59099999999998</v>
      </c>
      <c r="AC12" s="54">
        <f>((SUBSIDIO!$L$12*SUBSIDIO!$W$12)+(SUBSIDIO!$N$12*SUBSIDIO!$X$12))*(0.06)/(1-0.06)</f>
        <v>1251.1742123999998</v>
      </c>
      <c r="AD12" s="54">
        <f ca="1">(SUBSIDIO!$J$12*SUBSIDIO!$Y$12)*(0.03)/(1-0.03)</f>
        <v>75.96365181434912</v>
      </c>
      <c r="AE12" s="54">
        <f ca="1">((SUBSIDIO!$L$12*SUBSIDIO!$Z$12)+(SUBSIDIO!$N$12*SUBSIDIO!$AA$12))*(0.03)/(1-0.03)</f>
        <v>598.0148842892329</v>
      </c>
      <c r="AF12" s="3" t="s">
        <v>663</v>
      </c>
    </row>
    <row r="13" spans="1:36" ht="11.25" customHeight="1" x14ac:dyDescent="0.25">
      <c r="A13" s="3" t="s">
        <v>21</v>
      </c>
      <c r="B13" s="3" t="s">
        <v>35</v>
      </c>
      <c r="C13" s="3" t="s">
        <v>48</v>
      </c>
      <c r="D13" s="3" t="s">
        <v>46</v>
      </c>
      <c r="E13" s="3" t="s">
        <v>47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119</v>
      </c>
      <c r="K13" s="53">
        <v>119</v>
      </c>
      <c r="L13" s="4">
        <v>63.167999999999999</v>
      </c>
      <c r="M13" s="54">
        <v>63.167999999999999</v>
      </c>
      <c r="N13" s="4">
        <v>63.167999999999999</v>
      </c>
      <c r="O13" s="54">
        <v>63.167999999999999</v>
      </c>
      <c r="P13" s="4">
        <v>0</v>
      </c>
      <c r="Q13" s="3" t="s">
        <v>26</v>
      </c>
      <c r="R13" s="3">
        <v>0</v>
      </c>
      <c r="S13" s="3">
        <v>11</v>
      </c>
      <c r="T13" s="3">
        <v>14</v>
      </c>
      <c r="U13" s="3">
        <v>69</v>
      </c>
      <c r="V13" s="54">
        <f>IF(ISERROR(VLOOKUP($S$13,'TAR FIN'!$A$1:$O$91,15,0)),0,VLOOKUP($S$13,'TAR FIN'!$A$1:$O$91,15,0))*(1-0.06)</f>
        <v>17.060999999999996</v>
      </c>
      <c r="W13" s="54">
        <f>IF(ISERROR(VLOOKUP($T$13,'TAR FIN'!$A$1:$O$91,15,0)),0,VLOOKUP($T$13,'TAR FIN'!$A$1:$O$91,15,0))*(1-0.06)</f>
        <v>66.871600000000001</v>
      </c>
      <c r="X13" s="54">
        <f>IF(ISERROR(VLOOKUP($U$13,'TAR FIN'!$A$1:$O$91,15,0)),0,VLOOKUP($U$13,'TAR FIN'!$A$1:$O$91,15,0))*(1-0.06)</f>
        <v>234.29499999999999</v>
      </c>
      <c r="Y13" s="54">
        <f ca="1">('TUSD BE'!$AM$6+'TUSD BF'!$AM$6+'TUSD CVA'!$AM$6)*1*(1-0.03)</f>
        <v>20.639983826307745</v>
      </c>
      <c r="Z13" s="54">
        <f ca="1">('TUSD BE'!$AM$7+'TUSD BF'!$AM$7+'TUSD CVA'!$AM$7)*1*(1-0.03)</f>
        <v>99.799749520056594</v>
      </c>
      <c r="AA13" s="54">
        <f>('TE BE'!$AB$6+'TE BF'!$AB$6+'TE CVA'!$AB$6)*1*(1-0.03)</f>
        <v>197.28126009827187</v>
      </c>
      <c r="AB13" s="54">
        <f>(SUBSIDIO!$J$13*SUBSIDIO!$V$13)*(0.06)/(1-0.06)</f>
        <v>129.59099999999998</v>
      </c>
      <c r="AC13" s="54">
        <f>((SUBSIDIO!$L$13*SUBSIDIO!$W$13)+(SUBSIDIO!$N$13*SUBSIDIO!$X$13))*(0.06)/(1-0.06)</f>
        <v>1214.3037311999999</v>
      </c>
      <c r="AD13" s="54">
        <f ca="1">(SUBSIDIO!$J$13*SUBSIDIO!$Y$13)*(0.03)/(1-0.03)</f>
        <v>75.96365181434912</v>
      </c>
      <c r="AE13" s="54">
        <f ca="1">((SUBSIDIO!$L$13*SUBSIDIO!$Z$13)+(SUBSIDIO!$N$13*SUBSIDIO!$AA$13))*(0.03)/(1-0.03)</f>
        <v>580.39216130630643</v>
      </c>
      <c r="AF13" s="3" t="s">
        <v>663</v>
      </c>
    </row>
    <row r="14" spans="1:36" ht="11.25" customHeight="1" x14ac:dyDescent="0.25">
      <c r="A14" s="3" t="s">
        <v>21</v>
      </c>
      <c r="B14" s="3" t="s">
        <v>35</v>
      </c>
      <c r="C14" s="3" t="s">
        <v>48</v>
      </c>
      <c r="D14" s="3" t="s">
        <v>46</v>
      </c>
      <c r="E14" s="3" t="s">
        <v>47</v>
      </c>
      <c r="F14" s="3" t="s">
        <v>25</v>
      </c>
      <c r="G14" s="3" t="s">
        <v>25</v>
      </c>
      <c r="H14" s="3" t="s">
        <v>37</v>
      </c>
      <c r="I14" s="6">
        <v>44440</v>
      </c>
      <c r="J14" s="4">
        <v>119</v>
      </c>
      <c r="K14" s="53">
        <v>119</v>
      </c>
      <c r="L14" s="4">
        <v>8.0259999999999998</v>
      </c>
      <c r="M14" s="54">
        <v>8.0259999999999998</v>
      </c>
      <c r="N14" s="4">
        <v>8.0259999999999998</v>
      </c>
      <c r="O14" s="54">
        <v>8.0259999999999998</v>
      </c>
      <c r="P14" s="4">
        <v>0</v>
      </c>
      <c r="Q14" s="3" t="s">
        <v>26</v>
      </c>
      <c r="R14" s="3">
        <v>0</v>
      </c>
      <c r="S14" s="3">
        <v>8</v>
      </c>
      <c r="T14" s="3">
        <v>14</v>
      </c>
      <c r="U14" s="3">
        <v>77</v>
      </c>
      <c r="V14" s="54">
        <f>IF(ISERROR(VLOOKUP($S$14,'TAR FIN'!$A$1:$O$91,15,0)),0,VLOOKUP($S$14,'TAR FIN'!$A$1:$O$91,15,0))*(1-0.06)</f>
        <v>52.950199999999995</v>
      </c>
      <c r="W14" s="54">
        <f>IF(ISERROR(VLOOKUP($T$14,'TAR FIN'!$A$1:$O$91,15,0)),0,VLOOKUP($T$14,'TAR FIN'!$A$1:$O$91,15,0))*(1-0.06)</f>
        <v>66.871600000000001</v>
      </c>
      <c r="X14" s="54">
        <f>IF(ISERROR(VLOOKUP($U$14,'TAR FIN'!$A$1:$O$91,15,0)),0,VLOOKUP($U$14,'TAR FIN'!$A$1:$O$91,15,0))*(1-0.06)</f>
        <v>234.29499999999999</v>
      </c>
      <c r="Y14" s="54">
        <f ca="1">('TUSD BE'!$AM$5+'TUSD BF'!$AM$5+'TUSD CVA'!$AM$5)*1*(1-0.03)</f>
        <v>64.230666268128303</v>
      </c>
      <c r="Z14" s="54">
        <f ca="1">('TUSD BE'!$AM$7+'TUSD BF'!$AM$7+'TUSD CVA'!$AM$7)*1*(1-0.03)</f>
        <v>99.799749520056594</v>
      </c>
      <c r="AA14" s="54">
        <f>('TE BE'!$AB$5+'TE BF'!$AB$5+'TE CVA'!$AB$5)*1*(1-0.03)</f>
        <v>197.28126009827187</v>
      </c>
      <c r="AB14" s="54">
        <f>(SUBSIDIO!$J$14*SUBSIDIO!$V$14)*(0.06)/(1-0.06)</f>
        <v>402.19619999999998</v>
      </c>
      <c r="AC14" s="54">
        <f>((SUBSIDIO!$L$14*SUBSIDIO!$W$14)+(SUBSIDIO!$N$14*SUBSIDIO!$X$14))*(0.06)/(1-0.06)</f>
        <v>154.28700839999999</v>
      </c>
      <c r="AD14" s="54">
        <f ca="1">(SUBSIDIO!$J$14*SUBSIDIO!$Y$14)*(0.03)/(1-0.03)</f>
        <v>236.39533873940005</v>
      </c>
      <c r="AE14" s="54">
        <f ca="1">((SUBSIDIO!$L$14*SUBSIDIO!$Z$14)+(SUBSIDIO!$N$14*SUBSIDIO!$AA$14))*(0.03)/(1-0.03)</f>
        <v>73.743469583403225</v>
      </c>
      <c r="AF14" s="3" t="s">
        <v>663</v>
      </c>
    </row>
    <row r="15" spans="1:36" ht="11.25" customHeight="1" x14ac:dyDescent="0.25">
      <c r="A15" s="3" t="s">
        <v>21</v>
      </c>
      <c r="B15" s="3" t="s">
        <v>35</v>
      </c>
      <c r="C15" s="3" t="s">
        <v>48</v>
      </c>
      <c r="D15" s="3" t="s">
        <v>46</v>
      </c>
      <c r="E15" s="3" t="s">
        <v>47</v>
      </c>
      <c r="F15" s="3" t="s">
        <v>25</v>
      </c>
      <c r="G15" s="3" t="s">
        <v>25</v>
      </c>
      <c r="H15" s="3" t="s">
        <v>37</v>
      </c>
      <c r="I15" s="6">
        <v>44470</v>
      </c>
      <c r="J15" s="4">
        <v>119</v>
      </c>
      <c r="K15" s="53">
        <v>119</v>
      </c>
      <c r="L15" s="4">
        <v>7.4390000000000001</v>
      </c>
      <c r="M15" s="54">
        <v>7.4390000000000001</v>
      </c>
      <c r="N15" s="4">
        <v>7.4390000000000001</v>
      </c>
      <c r="O15" s="54">
        <v>7.4390000000000001</v>
      </c>
      <c r="P15" s="4">
        <v>0</v>
      </c>
      <c r="Q15" s="3" t="s">
        <v>26</v>
      </c>
      <c r="R15" s="3">
        <v>0</v>
      </c>
      <c r="S15" s="3">
        <v>8</v>
      </c>
      <c r="T15" s="3">
        <v>14</v>
      </c>
      <c r="U15" s="3">
        <v>77</v>
      </c>
      <c r="V15" s="54">
        <f>IF(ISERROR(VLOOKUP($S$15,'TAR FIN'!$A$1:$O$91,15,0)),0,VLOOKUP($S$15,'TAR FIN'!$A$1:$O$91,15,0))*(1-0.06)</f>
        <v>52.950199999999995</v>
      </c>
      <c r="W15" s="54">
        <f>IF(ISERROR(VLOOKUP($T$15,'TAR FIN'!$A$1:$O$91,15,0)),0,VLOOKUP($T$15,'TAR FIN'!$A$1:$O$91,15,0))*(1-0.06)</f>
        <v>66.871600000000001</v>
      </c>
      <c r="X15" s="54">
        <f>IF(ISERROR(VLOOKUP($U$15,'TAR FIN'!$A$1:$O$91,15,0)),0,VLOOKUP($U$15,'TAR FIN'!$A$1:$O$91,15,0))*(1-0.06)</f>
        <v>234.29499999999999</v>
      </c>
      <c r="Y15" s="54">
        <f ca="1">('TUSD BE'!$AM$5+'TUSD BF'!$AM$5+'TUSD CVA'!$AM$5)*1*(1-0.03)</f>
        <v>64.230666268128303</v>
      </c>
      <c r="Z15" s="54">
        <f ca="1">('TUSD BE'!$AM$7+'TUSD BF'!$AM$7+'TUSD CVA'!$AM$7)*1*(1-0.03)</f>
        <v>99.799749520056594</v>
      </c>
      <c r="AA15" s="54">
        <f>('TE BE'!$AB$5+'TE BF'!$AB$5+'TE CVA'!$AB$5)*1*(1-0.03)</f>
        <v>197.28126009827187</v>
      </c>
      <c r="AB15" s="54">
        <f>(SUBSIDIO!$J$15*SUBSIDIO!$V$15)*(0.06)/(1-0.06)</f>
        <v>402.19619999999998</v>
      </c>
      <c r="AC15" s="54">
        <f>((SUBSIDIO!$L$15*SUBSIDIO!$W$15)+(SUBSIDIO!$N$15*SUBSIDIO!$X$15))*(0.06)/(1-0.06)</f>
        <v>143.00287260000002</v>
      </c>
      <c r="AD15" s="54">
        <f ca="1">(SUBSIDIO!$J$15*SUBSIDIO!$Y$15)*(0.03)/(1-0.03)</f>
        <v>236.39533873940005</v>
      </c>
      <c r="AE15" s="54">
        <f ca="1">((SUBSIDIO!$L$15*SUBSIDIO!$Z$15)+(SUBSIDIO!$N$15*SUBSIDIO!$AA$15))*(0.03)/(1-0.03)</f>
        <v>68.350071047961194</v>
      </c>
      <c r="AF15" s="3" t="s">
        <v>663</v>
      </c>
    </row>
    <row r="16" spans="1:36" ht="11.25" customHeight="1" x14ac:dyDescent="0.25">
      <c r="A16" s="3" t="s">
        <v>21</v>
      </c>
      <c r="B16" s="3" t="s">
        <v>35</v>
      </c>
      <c r="C16" s="3" t="s">
        <v>48</v>
      </c>
      <c r="D16" s="3" t="s">
        <v>46</v>
      </c>
      <c r="E16" s="3" t="s">
        <v>47</v>
      </c>
      <c r="F16" s="3" t="s">
        <v>25</v>
      </c>
      <c r="G16" s="3" t="s">
        <v>25</v>
      </c>
      <c r="H16" s="3" t="s">
        <v>37</v>
      </c>
      <c r="I16" s="6">
        <v>44501</v>
      </c>
      <c r="J16" s="4">
        <v>120</v>
      </c>
      <c r="K16" s="53">
        <v>120</v>
      </c>
      <c r="L16" s="4">
        <v>7.6929999999999996</v>
      </c>
      <c r="M16" s="54">
        <v>7.6929999999999996</v>
      </c>
      <c r="N16" s="4">
        <v>7.6929999999999996</v>
      </c>
      <c r="O16" s="54">
        <v>7.6929999999999996</v>
      </c>
      <c r="P16" s="4">
        <v>0</v>
      </c>
      <c r="Q16" s="3" t="s">
        <v>26</v>
      </c>
      <c r="R16" s="3">
        <v>0</v>
      </c>
      <c r="S16" s="3">
        <v>8</v>
      </c>
      <c r="T16" s="3">
        <v>14</v>
      </c>
      <c r="U16" s="3">
        <v>77</v>
      </c>
      <c r="V16" s="54">
        <f>IF(ISERROR(VLOOKUP($S$16,'TAR FIN'!$A$1:$O$91,15,0)),0,VLOOKUP($S$16,'TAR FIN'!$A$1:$O$91,15,0))*(1-0.06)</f>
        <v>52.950199999999995</v>
      </c>
      <c r="W16" s="54">
        <f>IF(ISERROR(VLOOKUP($T$16,'TAR FIN'!$A$1:$O$91,15,0)),0,VLOOKUP($T$16,'TAR FIN'!$A$1:$O$91,15,0))*(1-0.06)</f>
        <v>66.871600000000001</v>
      </c>
      <c r="X16" s="54">
        <f>IF(ISERROR(VLOOKUP($U$16,'TAR FIN'!$A$1:$O$91,15,0)),0,VLOOKUP($U$16,'TAR FIN'!$A$1:$O$91,15,0))*(1-0.06)</f>
        <v>234.29499999999999</v>
      </c>
      <c r="Y16" s="54">
        <f ca="1">('TUSD BE'!$AM$5+'TUSD BF'!$AM$5+'TUSD CVA'!$AM$5)*1*(1-0.03)</f>
        <v>64.230666268128303</v>
      </c>
      <c r="Z16" s="54">
        <f ca="1">('TUSD BE'!$AM$7+'TUSD BF'!$AM$7+'TUSD CVA'!$AM$7)*1*(1-0.03)</f>
        <v>99.799749520056594</v>
      </c>
      <c r="AA16" s="54">
        <f>('TE BE'!$AB$5+'TE BF'!$AB$5+'TE CVA'!$AB$5)*1*(1-0.03)</f>
        <v>197.28126009827187</v>
      </c>
      <c r="AB16" s="54">
        <f>(SUBSIDIO!$J$16*SUBSIDIO!$V$16)*(0.06)/(1-0.06)</f>
        <v>405.57599999999996</v>
      </c>
      <c r="AC16" s="54">
        <f>((SUBSIDIO!$L$16*SUBSIDIO!$W$16)+(SUBSIDIO!$N$16*SUBSIDIO!$X$16))*(0.06)/(1-0.06)</f>
        <v>147.88561619999996</v>
      </c>
      <c r="AD16" s="54">
        <f ca="1">(SUBSIDIO!$J$16*SUBSIDIO!$Y$16)*(0.03)/(1-0.03)</f>
        <v>238.38185419099165</v>
      </c>
      <c r="AE16" s="54">
        <f ca="1">((SUBSIDIO!$L$16*SUBSIDIO!$Z$16)+(SUBSIDIO!$N$16*SUBSIDIO!$AA$16))*(0.03)/(1-0.03)</f>
        <v>70.68384145341652</v>
      </c>
      <c r="AF16" s="3" t="s">
        <v>663</v>
      </c>
    </row>
    <row r="17" spans="1:32" ht="11.25" customHeight="1" x14ac:dyDescent="0.25">
      <c r="A17" s="3" t="s">
        <v>21</v>
      </c>
      <c r="B17" s="3" t="s">
        <v>35</v>
      </c>
      <c r="C17" s="3" t="s">
        <v>48</v>
      </c>
      <c r="D17" s="3" t="s">
        <v>46</v>
      </c>
      <c r="E17" s="3" t="s">
        <v>47</v>
      </c>
      <c r="F17" s="3" t="s">
        <v>25</v>
      </c>
      <c r="G17" s="3" t="s">
        <v>25</v>
      </c>
      <c r="H17" s="3" t="s">
        <v>37</v>
      </c>
      <c r="I17" s="6">
        <v>44531</v>
      </c>
      <c r="J17" s="4">
        <v>119</v>
      </c>
      <c r="K17" s="53">
        <v>119</v>
      </c>
      <c r="L17" s="4">
        <v>7.806</v>
      </c>
      <c r="M17" s="54">
        <v>7.806</v>
      </c>
      <c r="N17" s="4">
        <v>7.806</v>
      </c>
      <c r="O17" s="54">
        <v>7.806</v>
      </c>
      <c r="P17" s="4">
        <v>0</v>
      </c>
      <c r="Q17" s="3" t="s">
        <v>26</v>
      </c>
      <c r="R17" s="3">
        <v>0</v>
      </c>
      <c r="S17" s="3">
        <v>8</v>
      </c>
      <c r="T17" s="3">
        <v>14</v>
      </c>
      <c r="U17" s="3">
        <v>77</v>
      </c>
      <c r="V17" s="54">
        <f>IF(ISERROR(VLOOKUP($S$17,'TAR FIN'!$A$1:$O$91,15,0)),0,VLOOKUP($S$17,'TAR FIN'!$A$1:$O$91,15,0))*(1-0.06)</f>
        <v>52.950199999999995</v>
      </c>
      <c r="W17" s="54">
        <f>IF(ISERROR(VLOOKUP($T$17,'TAR FIN'!$A$1:$O$91,15,0)),0,VLOOKUP($T$17,'TAR FIN'!$A$1:$O$91,15,0))*(1-0.06)</f>
        <v>66.871600000000001</v>
      </c>
      <c r="X17" s="54">
        <f>IF(ISERROR(VLOOKUP($U$17,'TAR FIN'!$A$1:$O$91,15,0)),0,VLOOKUP($U$17,'TAR FIN'!$A$1:$O$91,15,0))*(1-0.06)</f>
        <v>234.29499999999999</v>
      </c>
      <c r="Y17" s="54">
        <f ca="1">('TUSD BE'!$AM$5+'TUSD BF'!$AM$5+'TUSD CVA'!$AM$5)*1*(1-0.03)</f>
        <v>64.230666268128303</v>
      </c>
      <c r="Z17" s="54">
        <f ca="1">('TUSD BE'!$AM$7+'TUSD BF'!$AM$7+'TUSD CVA'!$AM$7)*1*(1-0.03)</f>
        <v>99.799749520056594</v>
      </c>
      <c r="AA17" s="54">
        <f>('TE BE'!$AB$5+'TE BF'!$AB$5+'TE CVA'!$AB$5)*1*(1-0.03)</f>
        <v>197.28126009827187</v>
      </c>
      <c r="AB17" s="54">
        <f>(SUBSIDIO!$J$17*SUBSIDIO!$V$17)*(0.06)/(1-0.06)</f>
        <v>402.19619999999998</v>
      </c>
      <c r="AC17" s="54">
        <f>((SUBSIDIO!$L$17*SUBSIDIO!$W$17)+(SUBSIDIO!$N$17*SUBSIDIO!$X$17))*(0.06)/(1-0.06)</f>
        <v>150.05786039999998</v>
      </c>
      <c r="AD17" s="54">
        <f ca="1">(SUBSIDIO!$J$17*SUBSIDIO!$Y$17)*(0.03)/(1-0.03)</f>
        <v>236.39533873940005</v>
      </c>
      <c r="AE17" s="54">
        <f ca="1">((SUBSIDIO!$L$17*SUBSIDIO!$Z$17)+(SUBSIDIO!$N$17*SUBSIDIO!$AA$17))*(0.03)/(1-0.03)</f>
        <v>71.722093641670256</v>
      </c>
      <c r="AF17" s="3" t="s">
        <v>663</v>
      </c>
    </row>
    <row r="18" spans="1:32" ht="11.25" customHeight="1" x14ac:dyDescent="0.25">
      <c r="A18" s="3" t="s">
        <v>21</v>
      </c>
      <c r="B18" s="3" t="s">
        <v>35</v>
      </c>
      <c r="C18" s="3" t="s">
        <v>48</v>
      </c>
      <c r="D18" s="3" t="s">
        <v>46</v>
      </c>
      <c r="E18" s="3" t="s">
        <v>47</v>
      </c>
      <c r="F18" s="3" t="s">
        <v>25</v>
      </c>
      <c r="G18" s="3" t="s">
        <v>25</v>
      </c>
      <c r="H18" s="3" t="s">
        <v>37</v>
      </c>
      <c r="I18" s="6">
        <v>44562</v>
      </c>
      <c r="J18" s="4">
        <v>122</v>
      </c>
      <c r="K18" s="53">
        <v>122</v>
      </c>
      <c r="L18" s="4">
        <v>7.3620000000000001</v>
      </c>
      <c r="M18" s="54">
        <v>7.3620000000000001</v>
      </c>
      <c r="N18" s="4">
        <v>7.3620000000000001</v>
      </c>
      <c r="O18" s="54">
        <v>7.3620000000000001</v>
      </c>
      <c r="P18" s="4">
        <v>0</v>
      </c>
      <c r="Q18" s="3" t="s">
        <v>26</v>
      </c>
      <c r="R18" s="3">
        <v>0</v>
      </c>
      <c r="S18" s="3">
        <v>8</v>
      </c>
      <c r="T18" s="3">
        <v>14</v>
      </c>
      <c r="U18" s="3">
        <v>77</v>
      </c>
      <c r="V18" s="54">
        <f>IF(ISERROR(VLOOKUP($S$18,'TAR FIN'!$A$1:$O$91,15,0)),0,VLOOKUP($S$18,'TAR FIN'!$A$1:$O$91,15,0))*(1-0.06)</f>
        <v>52.950199999999995</v>
      </c>
      <c r="W18" s="54">
        <f>IF(ISERROR(VLOOKUP($T$18,'TAR FIN'!$A$1:$O$91,15,0)),0,VLOOKUP($T$18,'TAR FIN'!$A$1:$O$91,15,0))*(1-0.06)</f>
        <v>66.871600000000001</v>
      </c>
      <c r="X18" s="54">
        <f>IF(ISERROR(VLOOKUP($U$18,'TAR FIN'!$A$1:$O$91,15,0)),0,VLOOKUP($U$18,'TAR FIN'!$A$1:$O$91,15,0))*(1-0.06)</f>
        <v>234.29499999999999</v>
      </c>
      <c r="Y18" s="54">
        <f ca="1">('TUSD BE'!$AM$5+'TUSD BF'!$AM$5+'TUSD CVA'!$AM$5)*1*(1-0.03)</f>
        <v>64.230666268128303</v>
      </c>
      <c r="Z18" s="54">
        <f ca="1">('TUSD BE'!$AM$7+'TUSD BF'!$AM$7+'TUSD CVA'!$AM$7)*1*(1-0.03)</f>
        <v>99.799749520056594</v>
      </c>
      <c r="AA18" s="54">
        <f>('TE BE'!$AB$5+'TE BF'!$AB$5+'TE CVA'!$AB$5)*1*(1-0.03)</f>
        <v>197.28126009827187</v>
      </c>
      <c r="AB18" s="54">
        <f>(SUBSIDIO!$J$18*SUBSIDIO!$V$18)*(0.06)/(1-0.06)</f>
        <v>412.3356</v>
      </c>
      <c r="AC18" s="54">
        <f>((SUBSIDIO!$L$18*SUBSIDIO!$W$18)+(SUBSIDIO!$N$18*SUBSIDIO!$X$18))*(0.06)/(1-0.06)</f>
        <v>141.52267079999999</v>
      </c>
      <c r="AD18" s="54">
        <f ca="1">(SUBSIDIO!$J$18*SUBSIDIO!$Y$18)*(0.03)/(1-0.03)</f>
        <v>242.35488509417482</v>
      </c>
      <c r="AE18" s="54">
        <f ca="1">((SUBSIDIO!$L$18*SUBSIDIO!$Z$18)+(SUBSIDIO!$N$18*SUBSIDIO!$AA$18))*(0.03)/(1-0.03)</f>
        <v>67.642589468354657</v>
      </c>
      <c r="AF18" s="3" t="s">
        <v>663</v>
      </c>
    </row>
    <row r="19" spans="1:32" ht="11.25" customHeight="1" x14ac:dyDescent="0.25">
      <c r="A19" s="3" t="s">
        <v>21</v>
      </c>
      <c r="B19" s="3" t="s">
        <v>35</v>
      </c>
      <c r="C19" s="3" t="s">
        <v>48</v>
      </c>
      <c r="D19" s="3" t="s">
        <v>46</v>
      </c>
      <c r="E19" s="3" t="s">
        <v>47</v>
      </c>
      <c r="F19" s="3" t="s">
        <v>25</v>
      </c>
      <c r="G19" s="3" t="s">
        <v>25</v>
      </c>
      <c r="H19" s="3" t="s">
        <v>37</v>
      </c>
      <c r="I19" s="6">
        <v>44593</v>
      </c>
      <c r="J19" s="4">
        <v>122</v>
      </c>
      <c r="K19" s="53">
        <v>122</v>
      </c>
      <c r="L19" s="4">
        <v>7.2539999999999996</v>
      </c>
      <c r="M19" s="54">
        <v>7.2539999999999996</v>
      </c>
      <c r="N19" s="4">
        <v>7.2539999999999996</v>
      </c>
      <c r="O19" s="54">
        <v>7.2539999999999996</v>
      </c>
      <c r="P19" s="4">
        <v>0</v>
      </c>
      <c r="Q19" s="3" t="s">
        <v>26</v>
      </c>
      <c r="R19" s="3">
        <v>0</v>
      </c>
      <c r="S19" s="3">
        <v>8</v>
      </c>
      <c r="T19" s="3">
        <v>14</v>
      </c>
      <c r="U19" s="3">
        <v>77</v>
      </c>
      <c r="V19" s="54">
        <f>IF(ISERROR(VLOOKUP($S$19,'TAR FIN'!$A$1:$O$91,15,0)),0,VLOOKUP($S$19,'TAR FIN'!$A$1:$O$91,15,0))*(1-0.06)</f>
        <v>52.950199999999995</v>
      </c>
      <c r="W19" s="54">
        <f>IF(ISERROR(VLOOKUP($T$19,'TAR FIN'!$A$1:$O$91,15,0)),0,VLOOKUP($T$19,'TAR FIN'!$A$1:$O$91,15,0))*(1-0.06)</f>
        <v>66.871600000000001</v>
      </c>
      <c r="X19" s="54">
        <f>IF(ISERROR(VLOOKUP($U$19,'TAR FIN'!$A$1:$O$91,15,0)),0,VLOOKUP($U$19,'TAR FIN'!$A$1:$O$91,15,0))*(1-0.06)</f>
        <v>234.29499999999999</v>
      </c>
      <c r="Y19" s="54">
        <f ca="1">('TUSD BE'!$AM$5+'TUSD BF'!$AM$5+'TUSD CVA'!$AM$5)*1*(1-0.03)</f>
        <v>64.230666268128303</v>
      </c>
      <c r="Z19" s="54">
        <f ca="1">('TUSD BE'!$AM$7+'TUSD BF'!$AM$7+'TUSD CVA'!$AM$7)*1*(1-0.03)</f>
        <v>99.799749520056594</v>
      </c>
      <c r="AA19" s="54">
        <f>('TE BE'!$AB$5+'TE BF'!$AB$5+'TE CVA'!$AB$5)*1*(1-0.03)</f>
        <v>197.28126009827187</v>
      </c>
      <c r="AB19" s="54">
        <f>(SUBSIDIO!$J$19*SUBSIDIO!$V$19)*(0.06)/(1-0.06)</f>
        <v>412.3356</v>
      </c>
      <c r="AC19" s="54">
        <f>((SUBSIDIO!$L$19*SUBSIDIO!$W$19)+(SUBSIDIO!$N$19*SUBSIDIO!$X$19))*(0.06)/(1-0.06)</f>
        <v>139.44654359999998</v>
      </c>
      <c r="AD19" s="54">
        <f ca="1">(SUBSIDIO!$J$19*SUBSIDIO!$Y$19)*(0.03)/(1-0.03)</f>
        <v>242.35488509417482</v>
      </c>
      <c r="AE19" s="54">
        <f ca="1">((SUBSIDIO!$L$19*SUBSIDIO!$Z$19)+(SUBSIDIO!$N$19*SUBSIDIO!$AA$19))*(0.03)/(1-0.03)</f>
        <v>66.65027764241303</v>
      </c>
      <c r="AF19" s="3" t="s">
        <v>663</v>
      </c>
    </row>
    <row r="20" spans="1:32" ht="11.25" customHeight="1" x14ac:dyDescent="0.25">
      <c r="A20" s="3" t="s">
        <v>21</v>
      </c>
      <c r="B20" s="3" t="s">
        <v>35</v>
      </c>
      <c r="C20" s="3" t="s">
        <v>48</v>
      </c>
      <c r="D20" s="3" t="s">
        <v>46</v>
      </c>
      <c r="E20" s="3" t="s">
        <v>47</v>
      </c>
      <c r="F20" s="3" t="s">
        <v>25</v>
      </c>
      <c r="G20" s="3" t="s">
        <v>25</v>
      </c>
      <c r="H20" s="3" t="s">
        <v>37</v>
      </c>
      <c r="I20" s="6">
        <v>44621</v>
      </c>
      <c r="J20" s="4">
        <v>121</v>
      </c>
      <c r="K20" s="53">
        <v>121</v>
      </c>
      <c r="L20" s="4">
        <v>7.9989999999999997</v>
      </c>
      <c r="M20" s="54">
        <v>7.9989999999999997</v>
      </c>
      <c r="N20" s="4">
        <v>7.9989999999999997</v>
      </c>
      <c r="O20" s="54">
        <v>7.9989999999999997</v>
      </c>
      <c r="P20" s="4">
        <v>0</v>
      </c>
      <c r="Q20" s="3" t="s">
        <v>26</v>
      </c>
      <c r="R20" s="3">
        <v>0</v>
      </c>
      <c r="S20" s="3">
        <v>8</v>
      </c>
      <c r="T20" s="3">
        <v>14</v>
      </c>
      <c r="U20" s="3">
        <v>77</v>
      </c>
      <c r="V20" s="54">
        <f>IF(ISERROR(VLOOKUP($S$20,'TAR FIN'!$A$1:$O$91,15,0)),0,VLOOKUP($S$20,'TAR FIN'!$A$1:$O$91,15,0))*(1-0.06)</f>
        <v>52.950199999999995</v>
      </c>
      <c r="W20" s="54">
        <f>IF(ISERROR(VLOOKUP($T$20,'TAR FIN'!$A$1:$O$91,15,0)),0,VLOOKUP($T$20,'TAR FIN'!$A$1:$O$91,15,0))*(1-0.06)</f>
        <v>66.871600000000001</v>
      </c>
      <c r="X20" s="54">
        <f>IF(ISERROR(VLOOKUP($U$20,'TAR FIN'!$A$1:$O$91,15,0)),0,VLOOKUP($U$20,'TAR FIN'!$A$1:$O$91,15,0))*(1-0.06)</f>
        <v>234.29499999999999</v>
      </c>
      <c r="Y20" s="54">
        <f ca="1">('TUSD BE'!$AM$5+'TUSD BF'!$AM$5+'TUSD CVA'!$AM$5)*1*(1-0.03)</f>
        <v>64.230666268128303</v>
      </c>
      <c r="Z20" s="54">
        <f ca="1">('TUSD BE'!$AM$7+'TUSD BF'!$AM$7+'TUSD CVA'!$AM$7)*1*(1-0.03)</f>
        <v>99.799749520056594</v>
      </c>
      <c r="AA20" s="54">
        <f>('TE BE'!$AB$5+'TE BF'!$AB$5+'TE CVA'!$AB$5)*1*(1-0.03)</f>
        <v>197.28126009827187</v>
      </c>
      <c r="AB20" s="54">
        <f>(SUBSIDIO!$J$20*SUBSIDIO!$V$20)*(0.06)/(1-0.06)</f>
        <v>408.95579999999995</v>
      </c>
      <c r="AC20" s="54">
        <f>((SUBSIDIO!$L$20*SUBSIDIO!$W$20)+(SUBSIDIO!$N$20*SUBSIDIO!$X$20))*(0.06)/(1-0.06)</f>
        <v>153.7679766</v>
      </c>
      <c r="AD20" s="54">
        <f ca="1">(SUBSIDIO!$J$20*SUBSIDIO!$Y$20)*(0.03)/(1-0.03)</f>
        <v>240.36836964258325</v>
      </c>
      <c r="AE20" s="54">
        <f ca="1">((SUBSIDIO!$L$20*SUBSIDIO!$Z$20)+(SUBSIDIO!$N$20*SUBSIDIO!$AA$20))*(0.03)/(1-0.03)</f>
        <v>73.495391626917808</v>
      </c>
      <c r="AF20" s="3" t="s">
        <v>663</v>
      </c>
    </row>
    <row r="21" spans="1:32" ht="11.25" customHeight="1" x14ac:dyDescent="0.25">
      <c r="A21" s="3" t="s">
        <v>21</v>
      </c>
      <c r="B21" s="3" t="s">
        <v>35</v>
      </c>
      <c r="C21" s="3" t="s">
        <v>48</v>
      </c>
      <c r="D21" s="3" t="s">
        <v>46</v>
      </c>
      <c r="E21" s="3" t="s">
        <v>47</v>
      </c>
      <c r="F21" s="3" t="s">
        <v>25</v>
      </c>
      <c r="G21" s="3" t="s">
        <v>25</v>
      </c>
      <c r="H21" s="3" t="s">
        <v>37</v>
      </c>
      <c r="I21" s="6">
        <v>44652</v>
      </c>
      <c r="J21" s="4">
        <v>119</v>
      </c>
      <c r="K21" s="53">
        <v>119</v>
      </c>
      <c r="L21" s="4">
        <v>7.383</v>
      </c>
      <c r="M21" s="54">
        <v>7.383</v>
      </c>
      <c r="N21" s="4">
        <v>7.383</v>
      </c>
      <c r="O21" s="54">
        <v>7.383</v>
      </c>
      <c r="P21" s="4">
        <v>0</v>
      </c>
      <c r="Q21" s="3" t="s">
        <v>26</v>
      </c>
      <c r="R21" s="3">
        <v>0</v>
      </c>
      <c r="S21" s="3">
        <v>8</v>
      </c>
      <c r="T21" s="3">
        <v>14</v>
      </c>
      <c r="U21" s="3">
        <v>77</v>
      </c>
      <c r="V21" s="54">
        <f>IF(ISERROR(VLOOKUP($S$21,'TAR FIN'!$A$1:$O$91,15,0)),0,VLOOKUP($S$21,'TAR FIN'!$A$1:$O$91,15,0))*(1-0.06)</f>
        <v>52.950199999999995</v>
      </c>
      <c r="W21" s="54">
        <f>IF(ISERROR(VLOOKUP($T$21,'TAR FIN'!$A$1:$O$91,15,0)),0,VLOOKUP($T$21,'TAR FIN'!$A$1:$O$91,15,0))*(1-0.06)</f>
        <v>66.871600000000001</v>
      </c>
      <c r="X21" s="54">
        <f>IF(ISERROR(VLOOKUP($U$21,'TAR FIN'!$A$1:$O$91,15,0)),0,VLOOKUP($U$21,'TAR FIN'!$A$1:$O$91,15,0))*(1-0.06)</f>
        <v>234.29499999999999</v>
      </c>
      <c r="Y21" s="54">
        <f ca="1">('TUSD BE'!$AM$5+'TUSD BF'!$AM$5+'TUSD CVA'!$AM$5)*1*(1-0.03)</f>
        <v>64.230666268128303</v>
      </c>
      <c r="Z21" s="54">
        <f ca="1">('TUSD BE'!$AM$7+'TUSD BF'!$AM$7+'TUSD CVA'!$AM$7)*1*(1-0.03)</f>
        <v>99.799749520056594</v>
      </c>
      <c r="AA21" s="54">
        <f>('TE BE'!$AB$5+'TE BF'!$AB$5+'TE CVA'!$AB$5)*1*(1-0.03)</f>
        <v>197.28126009827187</v>
      </c>
      <c r="AB21" s="54">
        <f>(SUBSIDIO!$J$21*SUBSIDIO!$V$21)*(0.06)/(1-0.06)</f>
        <v>402.19619999999998</v>
      </c>
      <c r="AC21" s="54">
        <f>((SUBSIDIO!$L$21*SUBSIDIO!$W$21)+(SUBSIDIO!$N$21*SUBSIDIO!$X$21))*(0.06)/(1-0.06)</f>
        <v>141.9263622</v>
      </c>
      <c r="AD21" s="54">
        <f ca="1">(SUBSIDIO!$J$21*SUBSIDIO!$Y$21)*(0.03)/(1-0.03)</f>
        <v>236.39533873940005</v>
      </c>
      <c r="AE21" s="54">
        <f ca="1">((SUBSIDIO!$L$21*SUBSIDIO!$Z$21)+(SUBSIDIO!$N$21*SUBSIDIO!$AA$21))*(0.03)/(1-0.03)</f>
        <v>67.83553899006553</v>
      </c>
      <c r="AF21" s="3" t="s">
        <v>663</v>
      </c>
    </row>
    <row r="22" spans="1:32" ht="11.25" customHeight="1" x14ac:dyDescent="0.25">
      <c r="A22" s="3" t="s">
        <v>21</v>
      </c>
      <c r="B22" s="3" t="s">
        <v>35</v>
      </c>
      <c r="C22" s="3" t="s">
        <v>48</v>
      </c>
      <c r="D22" s="3" t="s">
        <v>46</v>
      </c>
      <c r="E22" s="3" t="s">
        <v>47</v>
      </c>
      <c r="F22" s="3" t="s">
        <v>25</v>
      </c>
      <c r="G22" s="3" t="s">
        <v>25</v>
      </c>
      <c r="H22" s="3" t="s">
        <v>37</v>
      </c>
      <c r="I22" s="6">
        <v>44682</v>
      </c>
      <c r="J22" s="4">
        <v>134</v>
      </c>
      <c r="K22" s="53">
        <v>134</v>
      </c>
      <c r="L22" s="4">
        <v>7.6139999999999999</v>
      </c>
      <c r="M22" s="54">
        <v>7.6139999999999999</v>
      </c>
      <c r="N22" s="4">
        <v>7.6139999999999999</v>
      </c>
      <c r="O22" s="54">
        <v>7.6139999999999999</v>
      </c>
      <c r="P22" s="4">
        <v>0</v>
      </c>
      <c r="Q22" s="3" t="s">
        <v>26</v>
      </c>
      <c r="R22" s="3">
        <v>0</v>
      </c>
      <c r="S22" s="3">
        <v>8</v>
      </c>
      <c r="T22" s="3">
        <v>14</v>
      </c>
      <c r="U22" s="3">
        <v>77</v>
      </c>
      <c r="V22" s="54">
        <f>IF(ISERROR(VLOOKUP($S$22,'TAR FIN'!$A$1:$O$91,15,0)),0,VLOOKUP($S$22,'TAR FIN'!$A$1:$O$91,15,0))*(1-0.06)</f>
        <v>52.950199999999995</v>
      </c>
      <c r="W22" s="54">
        <f>IF(ISERROR(VLOOKUP($T$22,'TAR FIN'!$A$1:$O$91,15,0)),0,VLOOKUP($T$22,'TAR FIN'!$A$1:$O$91,15,0))*(1-0.06)</f>
        <v>66.871600000000001</v>
      </c>
      <c r="X22" s="54">
        <f>IF(ISERROR(VLOOKUP($U$22,'TAR FIN'!$A$1:$O$91,15,0)),0,VLOOKUP($U$22,'TAR FIN'!$A$1:$O$91,15,0))*(1-0.06)</f>
        <v>234.29499999999999</v>
      </c>
      <c r="Y22" s="54">
        <f ca="1">('TUSD BE'!$AM$5+'TUSD BF'!$AM$5+'TUSD CVA'!$AM$5)*1*(1-0.03)</f>
        <v>64.230666268128303</v>
      </c>
      <c r="Z22" s="54">
        <f ca="1">('TUSD BE'!$AM$7+'TUSD BF'!$AM$7+'TUSD CVA'!$AM$7)*1*(1-0.03)</f>
        <v>99.799749520056594</v>
      </c>
      <c r="AA22" s="54">
        <f>('TE BE'!$AB$5+'TE BF'!$AB$5+'TE CVA'!$AB$5)*1*(1-0.03)</f>
        <v>197.28126009827187</v>
      </c>
      <c r="AB22" s="54">
        <f>(SUBSIDIO!$J$22*SUBSIDIO!$V$22)*(0.06)/(1-0.06)</f>
        <v>452.89319999999998</v>
      </c>
      <c r="AC22" s="54">
        <f>((SUBSIDIO!$L$22*SUBSIDIO!$W$22)+(SUBSIDIO!$N$22*SUBSIDIO!$X$22))*(0.06)/(1-0.06)</f>
        <v>146.36696759999998</v>
      </c>
      <c r="AD22" s="54">
        <f ca="1">(SUBSIDIO!$J$22*SUBSIDIO!$Y$22)*(0.03)/(1-0.03)</f>
        <v>266.19307051327399</v>
      </c>
      <c r="AE22" s="54">
        <f ca="1">((SUBSIDIO!$L$22*SUBSIDIO!$Z$22)+(SUBSIDIO!$N$22*SUBSIDIO!$AA$22))*(0.03)/(1-0.03)</f>
        <v>69.957983728885125</v>
      </c>
      <c r="AF22" s="3" t="s">
        <v>663</v>
      </c>
    </row>
    <row r="23" spans="1:32" ht="11.25" customHeight="1" x14ac:dyDescent="0.25">
      <c r="A23" s="3" t="s">
        <v>21</v>
      </c>
      <c r="B23" s="3" t="s">
        <v>35</v>
      </c>
      <c r="C23" s="3" t="s">
        <v>48</v>
      </c>
      <c r="D23" s="3" t="s">
        <v>46</v>
      </c>
      <c r="E23" s="3" t="s">
        <v>47</v>
      </c>
      <c r="F23" s="3" t="s">
        <v>25</v>
      </c>
      <c r="G23" s="3" t="s">
        <v>25</v>
      </c>
      <c r="H23" s="3" t="s">
        <v>37</v>
      </c>
      <c r="I23" s="6">
        <v>44713</v>
      </c>
      <c r="J23" s="4">
        <v>119</v>
      </c>
      <c r="K23" s="53">
        <v>119</v>
      </c>
      <c r="L23" s="4">
        <v>7.6159999999999997</v>
      </c>
      <c r="M23" s="54">
        <v>7.6159999999999997</v>
      </c>
      <c r="N23" s="4">
        <v>7.6159999999999997</v>
      </c>
      <c r="O23" s="54">
        <v>7.6159999999999997</v>
      </c>
      <c r="P23" s="4">
        <v>0</v>
      </c>
      <c r="Q23" s="3" t="s">
        <v>26</v>
      </c>
      <c r="R23" s="3">
        <v>0</v>
      </c>
      <c r="S23" s="3">
        <v>8</v>
      </c>
      <c r="T23" s="3">
        <v>14</v>
      </c>
      <c r="U23" s="3">
        <v>77</v>
      </c>
      <c r="V23" s="54">
        <f>IF(ISERROR(VLOOKUP($S$23,'TAR FIN'!$A$1:$O$91,15,0)),0,VLOOKUP($S$23,'TAR FIN'!$A$1:$O$91,15,0))*(1-0.06)</f>
        <v>52.950199999999995</v>
      </c>
      <c r="W23" s="54">
        <f>IF(ISERROR(VLOOKUP($T$23,'TAR FIN'!$A$1:$O$91,15,0)),0,VLOOKUP($T$23,'TAR FIN'!$A$1:$O$91,15,0))*(1-0.06)</f>
        <v>66.871600000000001</v>
      </c>
      <c r="X23" s="54">
        <f>IF(ISERROR(VLOOKUP($U$23,'TAR FIN'!$A$1:$O$91,15,0)),0,VLOOKUP($U$23,'TAR FIN'!$A$1:$O$91,15,0))*(1-0.06)</f>
        <v>234.29499999999999</v>
      </c>
      <c r="Y23" s="54">
        <f ca="1">('TUSD BE'!$AM$5+'TUSD BF'!$AM$5+'TUSD CVA'!$AM$5)*1*(1-0.03)</f>
        <v>64.230666268128303</v>
      </c>
      <c r="Z23" s="54">
        <f ca="1">('TUSD BE'!$AM$7+'TUSD BF'!$AM$7+'TUSD CVA'!$AM$7)*1*(1-0.03)</f>
        <v>99.799749520056594</v>
      </c>
      <c r="AA23" s="54">
        <f>('TE BE'!$AB$5+'TE BF'!$AB$5+'TE CVA'!$AB$5)*1*(1-0.03)</f>
        <v>197.28126009827187</v>
      </c>
      <c r="AB23" s="54">
        <f>(SUBSIDIO!$J$23*SUBSIDIO!$V$23)*(0.06)/(1-0.06)</f>
        <v>402.19619999999998</v>
      </c>
      <c r="AC23" s="54">
        <f>((SUBSIDIO!$L$23*SUBSIDIO!$W$23)+(SUBSIDIO!$N$23*SUBSIDIO!$X$23))*(0.06)/(1-0.06)</f>
        <v>146.40541440000001</v>
      </c>
      <c r="AD23" s="54">
        <f ca="1">(SUBSIDIO!$J$23*SUBSIDIO!$Y$23)*(0.03)/(1-0.03)</f>
        <v>236.39533873940005</v>
      </c>
      <c r="AE23" s="54">
        <f ca="1">((SUBSIDIO!$L$23*SUBSIDIO!$Z$23)+(SUBSIDIO!$N$23*SUBSIDIO!$AA$23))*(0.03)/(1-0.03)</f>
        <v>69.976359873809997</v>
      </c>
      <c r="AF23" s="3" t="s">
        <v>663</v>
      </c>
    </row>
    <row r="24" spans="1:32" ht="11.25" customHeight="1" x14ac:dyDescent="0.25">
      <c r="A24" s="3" t="s">
        <v>21</v>
      </c>
      <c r="B24" s="3" t="s">
        <v>35</v>
      </c>
      <c r="C24" s="3" t="s">
        <v>48</v>
      </c>
      <c r="D24" s="3" t="s">
        <v>46</v>
      </c>
      <c r="E24" s="3" t="s">
        <v>47</v>
      </c>
      <c r="F24" s="3" t="s">
        <v>25</v>
      </c>
      <c r="G24" s="3" t="s">
        <v>25</v>
      </c>
      <c r="H24" s="3" t="s">
        <v>37</v>
      </c>
      <c r="I24" s="6">
        <v>44743</v>
      </c>
      <c r="J24" s="4">
        <v>119</v>
      </c>
      <c r="K24" s="53">
        <v>119</v>
      </c>
      <c r="L24" s="4">
        <v>7.0119999999999996</v>
      </c>
      <c r="M24" s="54">
        <v>7.0119999999999996</v>
      </c>
      <c r="N24" s="4">
        <v>7.0119999999999996</v>
      </c>
      <c r="O24" s="54">
        <v>7.0119999999999996</v>
      </c>
      <c r="P24" s="4">
        <v>0</v>
      </c>
      <c r="Q24" s="3" t="s">
        <v>26</v>
      </c>
      <c r="R24" s="3">
        <v>0</v>
      </c>
      <c r="S24" s="3">
        <v>8</v>
      </c>
      <c r="T24" s="3">
        <v>14</v>
      </c>
      <c r="U24" s="3">
        <v>77</v>
      </c>
      <c r="V24" s="54">
        <f>IF(ISERROR(VLOOKUP($S$24,'TAR FIN'!$A$1:$O$91,15,0)),0,VLOOKUP($S$24,'TAR FIN'!$A$1:$O$91,15,0))*(1-0.06)</f>
        <v>52.950199999999995</v>
      </c>
      <c r="W24" s="54">
        <f>IF(ISERROR(VLOOKUP($T$24,'TAR FIN'!$A$1:$O$91,15,0)),0,VLOOKUP($T$24,'TAR FIN'!$A$1:$O$91,15,0))*(1-0.06)</f>
        <v>66.871600000000001</v>
      </c>
      <c r="X24" s="54">
        <f>IF(ISERROR(VLOOKUP($U$24,'TAR FIN'!$A$1:$O$91,15,0)),0,VLOOKUP($U$24,'TAR FIN'!$A$1:$O$91,15,0))*(1-0.06)</f>
        <v>234.29499999999999</v>
      </c>
      <c r="Y24" s="54">
        <f ca="1">('TUSD BE'!$AM$5+'TUSD BF'!$AM$5+'TUSD CVA'!$AM$5)*1*(1-0.03)</f>
        <v>64.230666268128303</v>
      </c>
      <c r="Z24" s="54">
        <f ca="1">('TUSD BE'!$AM$7+'TUSD BF'!$AM$7+'TUSD CVA'!$AM$7)*1*(1-0.03)</f>
        <v>99.799749520056594</v>
      </c>
      <c r="AA24" s="54">
        <f>('TE BE'!$AB$5+'TE BF'!$AB$5+'TE CVA'!$AB$5)*1*(1-0.03)</f>
        <v>197.28126009827187</v>
      </c>
      <c r="AB24" s="54">
        <f>(SUBSIDIO!$J$24*SUBSIDIO!$V$24)*(0.06)/(1-0.06)</f>
        <v>402.19619999999998</v>
      </c>
      <c r="AC24" s="54">
        <f>((SUBSIDIO!$L$24*SUBSIDIO!$W$24)+(SUBSIDIO!$N$24*SUBSIDIO!$X$24))*(0.06)/(1-0.06)</f>
        <v>134.79448079999997</v>
      </c>
      <c r="AD24" s="54">
        <f ca="1">(SUBSIDIO!$J$24*SUBSIDIO!$Y$24)*(0.03)/(1-0.03)</f>
        <v>236.39533873940005</v>
      </c>
      <c r="AE24" s="54">
        <f ca="1">((SUBSIDIO!$L$24*SUBSIDIO!$Z$24)+(SUBSIDIO!$N$24*SUBSIDIO!$AA$24))*(0.03)/(1-0.03)</f>
        <v>64.426764106506766</v>
      </c>
      <c r="AF24" s="3" t="s">
        <v>663</v>
      </c>
    </row>
    <row r="25" spans="1:32" ht="11.25" customHeight="1" x14ac:dyDescent="0.25">
      <c r="A25" s="3" t="s">
        <v>21</v>
      </c>
      <c r="B25" s="3" t="s">
        <v>35</v>
      </c>
      <c r="C25" s="3" t="s">
        <v>48</v>
      </c>
      <c r="D25" s="3" t="s">
        <v>46</v>
      </c>
      <c r="E25" s="3" t="s">
        <v>47</v>
      </c>
      <c r="F25" s="3" t="s">
        <v>25</v>
      </c>
      <c r="G25" s="3" t="s">
        <v>25</v>
      </c>
      <c r="H25" s="3" t="s">
        <v>37</v>
      </c>
      <c r="I25" s="6">
        <v>44774</v>
      </c>
      <c r="J25" s="4">
        <v>122</v>
      </c>
      <c r="K25" s="53">
        <v>122</v>
      </c>
      <c r="L25" s="4">
        <v>7.9409999999999998</v>
      </c>
      <c r="M25" s="54">
        <v>7.9409999999999998</v>
      </c>
      <c r="N25" s="4">
        <v>7.9409999999999998</v>
      </c>
      <c r="O25" s="54">
        <v>7.9409999999999998</v>
      </c>
      <c r="P25" s="4">
        <v>0</v>
      </c>
      <c r="Q25" s="3" t="s">
        <v>26</v>
      </c>
      <c r="R25" s="3">
        <v>0</v>
      </c>
      <c r="S25" s="3">
        <v>8</v>
      </c>
      <c r="T25" s="3">
        <v>14</v>
      </c>
      <c r="U25" s="3">
        <v>77</v>
      </c>
      <c r="V25" s="54">
        <f>IF(ISERROR(VLOOKUP($S$25,'TAR FIN'!$A$1:$O$91,15,0)),0,VLOOKUP($S$25,'TAR FIN'!$A$1:$O$91,15,0))*(1-0.06)</f>
        <v>52.950199999999995</v>
      </c>
      <c r="W25" s="54">
        <f>IF(ISERROR(VLOOKUP($T$25,'TAR FIN'!$A$1:$O$91,15,0)),0,VLOOKUP($T$25,'TAR FIN'!$A$1:$O$91,15,0))*(1-0.06)</f>
        <v>66.871600000000001</v>
      </c>
      <c r="X25" s="54">
        <f>IF(ISERROR(VLOOKUP($U$25,'TAR FIN'!$A$1:$O$91,15,0)),0,VLOOKUP($U$25,'TAR FIN'!$A$1:$O$91,15,0))*(1-0.06)</f>
        <v>234.29499999999999</v>
      </c>
      <c r="Y25" s="54">
        <f ca="1">('TUSD BE'!$AM$5+'TUSD BF'!$AM$5+'TUSD CVA'!$AM$5)*1*(1-0.03)</f>
        <v>64.230666268128303</v>
      </c>
      <c r="Z25" s="54">
        <f ca="1">('TUSD BE'!$AM$7+'TUSD BF'!$AM$7+'TUSD CVA'!$AM$7)*1*(1-0.03)</f>
        <v>99.799749520056594</v>
      </c>
      <c r="AA25" s="54">
        <f>('TE BE'!$AB$5+'TE BF'!$AB$5+'TE CVA'!$AB$5)*1*(1-0.03)</f>
        <v>197.28126009827187</v>
      </c>
      <c r="AB25" s="54">
        <f>(SUBSIDIO!$J$25*SUBSIDIO!$V$25)*(0.06)/(1-0.06)</f>
        <v>412.3356</v>
      </c>
      <c r="AC25" s="54">
        <f>((SUBSIDIO!$L$25*SUBSIDIO!$W$25)+(SUBSIDIO!$N$25*SUBSIDIO!$X$25))*(0.06)/(1-0.06)</f>
        <v>152.65301940000001</v>
      </c>
      <c r="AD25" s="54">
        <f ca="1">(SUBSIDIO!$J$25*SUBSIDIO!$Y$25)*(0.03)/(1-0.03)</f>
        <v>242.35488509417482</v>
      </c>
      <c r="AE25" s="54">
        <f ca="1">((SUBSIDIO!$L$25*SUBSIDIO!$Z$25)+(SUBSIDIO!$N$25*SUBSIDIO!$AA$25))*(0.03)/(1-0.03)</f>
        <v>72.962483424097314</v>
      </c>
      <c r="AF25" s="3" t="s">
        <v>663</v>
      </c>
    </row>
    <row r="26" spans="1:32" ht="11.25" customHeight="1" x14ac:dyDescent="0.25">
      <c r="A26" s="3" t="s">
        <v>21</v>
      </c>
      <c r="B26" s="3" t="s">
        <v>35</v>
      </c>
      <c r="C26" s="3" t="s">
        <v>56</v>
      </c>
      <c r="D26" s="3" t="s">
        <v>25</v>
      </c>
      <c r="E26" s="3" t="s">
        <v>25</v>
      </c>
      <c r="F26" s="3" t="s">
        <v>57</v>
      </c>
      <c r="G26" s="3" t="s">
        <v>58</v>
      </c>
      <c r="H26" s="3" t="s">
        <v>38</v>
      </c>
      <c r="I26" s="6">
        <v>44440</v>
      </c>
      <c r="J26" s="4">
        <v>2500</v>
      </c>
      <c r="K26" s="34">
        <f>J26*(1-SUMIFS(CUSTOS!$T$40:$T$100,CUSTOS!$O$40:$O$100,SUBSIDIO!G26,CUSTOS!$S$40:$S$100,SUBSIDIO!B26,CUSTOS!$R$40:$R$100,"Potência"))</f>
        <v>2500</v>
      </c>
      <c r="L26" s="4">
        <v>481.97800000000001</v>
      </c>
      <c r="M26" s="34">
        <f>L26*(1-SUMIFS(CUSTOS!$T$40:$T$100,CUSTOS!$O$40:$O$100,SUBSIDIO!G26,CUSTOS!$S$40:$S$100,SUBSIDIO!B26,CUSTOS!$R$40:$R$100,"Potência"))</f>
        <v>481.97800000000001</v>
      </c>
      <c r="N26" s="4">
        <v>0</v>
      </c>
      <c r="O26" s="34">
        <f>N26*(1-SUMIFS(CUSTOS!$T$40:$T$100,CUSTOS!$O$40:$O$100,SUBSIDIO!G26,CUSTOS!$S$40:$S$100,SUBSIDIO!B26,CUSTOS!$R$40:$R$100,"Energia"))</f>
        <v>0</v>
      </c>
      <c r="P26" s="4">
        <v>0</v>
      </c>
      <c r="Q26" s="3" t="s">
        <v>59</v>
      </c>
      <c r="R26" s="3">
        <v>5351</v>
      </c>
      <c r="S26" s="3">
        <v>6</v>
      </c>
      <c r="T26" s="3">
        <v>1</v>
      </c>
      <c r="U26" s="3">
        <v>0</v>
      </c>
      <c r="V26" s="4">
        <f>IF(ISERROR(VLOOKUP($S$26,'TAR FIN'!$A$1:$O$91,15,0)),0,VLOOKUP($S$26,'TAR FIN'!$A$1:$O$91,15,0))</f>
        <v>14.44</v>
      </c>
      <c r="W26" s="4">
        <f>IF(ISERROR(VLOOKUP($T$26,'TAR FIN'!$A$1:$O$91,15,0)),0,VLOOKUP($T$26,'TAR FIN'!$A$1:$O$91,15,0))</f>
        <v>10.52</v>
      </c>
      <c r="X26" s="4">
        <f>IF(ISERROR(VLOOKUP($U$26,'TAR FIN'!$A$1:$O$91,15,0)),0,VLOOKUP($U$26,'TAR FIN'!$A$1:$O$91,15,0))</f>
        <v>0</v>
      </c>
      <c r="Y26" s="4">
        <f ca="1">('TUSD BE'!$AM$10+'TUSD BF'!$AM$10+'TUSD CVA'!$AM$10)*1</f>
        <v>16.859088917825055</v>
      </c>
      <c r="Z26" s="4">
        <f ca="1">('TUSD BE'!$AM$11+'TUSD BF'!$AM$11+'TUSD CVA'!$AM$11)*1</f>
        <v>8.9251920173408053</v>
      </c>
      <c r="AA26" s="4">
        <f>('TE BE'!$AB$8+'TE BF'!$AB$8+'TE CVA'!$AB$8)*1</f>
        <v>203.47604618827933</v>
      </c>
      <c r="AB26" s="4">
        <f t="shared" ref="AB26:AB65" si="2">(J26-K26)*V26</f>
        <v>0</v>
      </c>
      <c r="AC26" s="4">
        <f t="shared" ref="AC26:AC33" si="3">(L26-M26)*W26+(N26-O26)*X26</f>
        <v>0</v>
      </c>
      <c r="AD26" s="4">
        <f t="shared" ref="AD26:AD65" ca="1" si="4">(J26-K26)*Y26</f>
        <v>0</v>
      </c>
      <c r="AE26" s="4">
        <f t="shared" ref="AE26:AE33" ca="1" si="5">(L26-M26)*Z26+(N26-O26)*AA26</f>
        <v>0</v>
      </c>
      <c r="AF26" s="3" t="s">
        <v>664</v>
      </c>
    </row>
    <row r="27" spans="1:32" ht="11.25" customHeight="1" x14ac:dyDescent="0.25">
      <c r="A27" s="3" t="s">
        <v>21</v>
      </c>
      <c r="B27" s="3" t="s">
        <v>35</v>
      </c>
      <c r="C27" s="3" t="s">
        <v>56</v>
      </c>
      <c r="D27" s="3" t="s">
        <v>25</v>
      </c>
      <c r="E27" s="3" t="s">
        <v>25</v>
      </c>
      <c r="F27" s="3" t="s">
        <v>57</v>
      </c>
      <c r="G27" s="3" t="s">
        <v>58</v>
      </c>
      <c r="H27" s="3" t="s">
        <v>38</v>
      </c>
      <c r="I27" s="6">
        <v>44470</v>
      </c>
      <c r="J27" s="4">
        <v>2500</v>
      </c>
      <c r="K27" s="34">
        <f>J27*(1-SUMIFS(CUSTOS!$T$40:$T$100,CUSTOS!$O$40:$O$100,SUBSIDIO!G27,CUSTOS!$S$40:$S$100,SUBSIDIO!B27,CUSTOS!$R$40:$R$100,"Potência"))</f>
        <v>2500</v>
      </c>
      <c r="L27" s="4">
        <v>292.416</v>
      </c>
      <c r="M27" s="34">
        <f>L27*(1-SUMIFS(CUSTOS!$T$40:$T$100,CUSTOS!$O$40:$O$100,SUBSIDIO!G27,CUSTOS!$S$40:$S$100,SUBSIDIO!B27,CUSTOS!$R$40:$R$100,"Potência"))</f>
        <v>292.416</v>
      </c>
      <c r="N27" s="4">
        <v>0</v>
      </c>
      <c r="O27" s="34">
        <f>N27*(1-SUMIFS(CUSTOS!$T$40:$T$100,CUSTOS!$O$40:$O$100,SUBSIDIO!G27,CUSTOS!$S$40:$S$100,SUBSIDIO!B27,CUSTOS!$R$40:$R$100,"Energia"))</f>
        <v>0</v>
      </c>
      <c r="P27" s="4">
        <v>0</v>
      </c>
      <c r="Q27" s="3" t="s">
        <v>59</v>
      </c>
      <c r="R27" s="3">
        <v>5351</v>
      </c>
      <c r="S27" s="3">
        <v>6</v>
      </c>
      <c r="T27" s="3">
        <v>1</v>
      </c>
      <c r="U27" s="3">
        <v>0</v>
      </c>
      <c r="V27" s="4">
        <f>IF(ISERROR(VLOOKUP($S$27,'TAR FIN'!$A$1:$O$91,15,0)),0,VLOOKUP($S$27,'TAR FIN'!$A$1:$O$91,15,0))</f>
        <v>14.44</v>
      </c>
      <c r="W27" s="4">
        <f>IF(ISERROR(VLOOKUP($T$27,'TAR FIN'!$A$1:$O$91,15,0)),0,VLOOKUP($T$27,'TAR FIN'!$A$1:$O$91,15,0))</f>
        <v>10.52</v>
      </c>
      <c r="X27" s="4">
        <f>IF(ISERROR(VLOOKUP($U$27,'TAR FIN'!$A$1:$O$91,15,0)),0,VLOOKUP($U$27,'TAR FIN'!$A$1:$O$91,15,0))</f>
        <v>0</v>
      </c>
      <c r="Y27" s="4">
        <f ca="1">('TUSD BE'!$AM$10+'TUSD BF'!$AM$10+'TUSD CVA'!$AM$10)*1</f>
        <v>16.859088917825055</v>
      </c>
      <c r="Z27" s="4">
        <f ca="1">('TUSD BE'!$AM$11+'TUSD BF'!$AM$11+'TUSD CVA'!$AM$11)*1</f>
        <v>8.9251920173408053</v>
      </c>
      <c r="AA27" s="4">
        <f>('TE BE'!$AB$8+'TE BF'!$AB$8+'TE CVA'!$AB$8)*1</f>
        <v>203.47604618827933</v>
      </c>
      <c r="AB27" s="4">
        <f t="shared" si="2"/>
        <v>0</v>
      </c>
      <c r="AC27" s="4">
        <f t="shared" si="3"/>
        <v>0</v>
      </c>
      <c r="AD27" s="4">
        <f t="shared" ca="1" si="4"/>
        <v>0</v>
      </c>
      <c r="AE27" s="4">
        <f t="shared" ca="1" si="5"/>
        <v>0</v>
      </c>
      <c r="AF27" s="3" t="s">
        <v>664</v>
      </c>
    </row>
    <row r="28" spans="1:32" ht="11.25" customHeight="1" x14ac:dyDescent="0.25">
      <c r="A28" s="3" t="s">
        <v>21</v>
      </c>
      <c r="B28" s="3" t="s">
        <v>35</v>
      </c>
      <c r="C28" s="3" t="s">
        <v>56</v>
      </c>
      <c r="D28" s="3" t="s">
        <v>25</v>
      </c>
      <c r="E28" s="3" t="s">
        <v>25</v>
      </c>
      <c r="F28" s="3" t="s">
        <v>57</v>
      </c>
      <c r="G28" s="3" t="s">
        <v>58</v>
      </c>
      <c r="H28" s="3" t="s">
        <v>38</v>
      </c>
      <c r="I28" s="6">
        <v>44501</v>
      </c>
      <c r="J28" s="4">
        <v>2500</v>
      </c>
      <c r="K28" s="34">
        <f>J28*(1-SUMIFS(CUSTOS!$T$40:$T$100,CUSTOS!$O$40:$O$100,SUBSIDIO!G28,CUSTOS!$S$40:$S$100,SUBSIDIO!B28,CUSTOS!$R$40:$R$100,"Potência"))</f>
        <v>2500</v>
      </c>
      <c r="L28" s="4">
        <v>342.30599999999998</v>
      </c>
      <c r="M28" s="34">
        <f>L28*(1-SUMIFS(CUSTOS!$T$40:$T$100,CUSTOS!$O$40:$O$100,SUBSIDIO!G28,CUSTOS!$S$40:$S$100,SUBSIDIO!B28,CUSTOS!$R$40:$R$100,"Potência"))</f>
        <v>342.30599999999998</v>
      </c>
      <c r="N28" s="4">
        <v>0</v>
      </c>
      <c r="O28" s="34">
        <f>N28*(1-SUMIFS(CUSTOS!$T$40:$T$100,CUSTOS!$O$40:$O$100,SUBSIDIO!G28,CUSTOS!$S$40:$S$100,SUBSIDIO!B28,CUSTOS!$R$40:$R$100,"Energia"))</f>
        <v>0</v>
      </c>
      <c r="P28" s="4">
        <v>0</v>
      </c>
      <c r="Q28" s="3" t="s">
        <v>59</v>
      </c>
      <c r="R28" s="3">
        <v>5351</v>
      </c>
      <c r="S28" s="3">
        <v>6</v>
      </c>
      <c r="T28" s="3">
        <v>1</v>
      </c>
      <c r="U28" s="3">
        <v>0</v>
      </c>
      <c r="V28" s="4">
        <f>IF(ISERROR(VLOOKUP($S$28,'TAR FIN'!$A$1:$O$91,15,0)),0,VLOOKUP($S$28,'TAR FIN'!$A$1:$O$91,15,0))</f>
        <v>14.44</v>
      </c>
      <c r="W28" s="4">
        <f>IF(ISERROR(VLOOKUP($T$28,'TAR FIN'!$A$1:$O$91,15,0)),0,VLOOKUP($T$28,'TAR FIN'!$A$1:$O$91,15,0))</f>
        <v>10.52</v>
      </c>
      <c r="X28" s="4">
        <f>IF(ISERROR(VLOOKUP($U$28,'TAR FIN'!$A$1:$O$91,15,0)),0,VLOOKUP($U$28,'TAR FIN'!$A$1:$O$91,15,0))</f>
        <v>0</v>
      </c>
      <c r="Y28" s="4">
        <f ca="1">('TUSD BE'!$AM$10+'TUSD BF'!$AM$10+'TUSD CVA'!$AM$10)*1</f>
        <v>16.859088917825055</v>
      </c>
      <c r="Z28" s="4">
        <f ca="1">('TUSD BE'!$AM$11+'TUSD BF'!$AM$11+'TUSD CVA'!$AM$11)*1</f>
        <v>8.9251920173408053</v>
      </c>
      <c r="AA28" s="4">
        <f>('TE BE'!$AB$8+'TE BF'!$AB$8+'TE CVA'!$AB$8)*1</f>
        <v>203.47604618827933</v>
      </c>
      <c r="AB28" s="4">
        <f t="shared" si="2"/>
        <v>0</v>
      </c>
      <c r="AC28" s="4">
        <f t="shared" si="3"/>
        <v>0</v>
      </c>
      <c r="AD28" s="4">
        <f t="shared" ca="1" si="4"/>
        <v>0</v>
      </c>
      <c r="AE28" s="4">
        <f t="shared" ca="1" si="5"/>
        <v>0</v>
      </c>
      <c r="AF28" s="3" t="s">
        <v>664</v>
      </c>
    </row>
    <row r="29" spans="1:32" ht="11.25" customHeight="1" x14ac:dyDescent="0.25">
      <c r="A29" s="3" t="s">
        <v>21</v>
      </c>
      <c r="B29" s="3" t="s">
        <v>35</v>
      </c>
      <c r="C29" s="3" t="s">
        <v>56</v>
      </c>
      <c r="D29" s="3" t="s">
        <v>25</v>
      </c>
      <c r="E29" s="3" t="s">
        <v>25</v>
      </c>
      <c r="F29" s="3" t="s">
        <v>57</v>
      </c>
      <c r="G29" s="3" t="s">
        <v>58</v>
      </c>
      <c r="H29" s="3" t="s">
        <v>38</v>
      </c>
      <c r="I29" s="6">
        <v>44531</v>
      </c>
      <c r="J29" s="4">
        <v>2550</v>
      </c>
      <c r="K29" s="34">
        <f>J29*(1-SUMIFS(CUSTOS!$T$40:$T$100,CUSTOS!$O$40:$O$100,SUBSIDIO!G29,CUSTOS!$S$40:$S$100,SUBSIDIO!B29,CUSTOS!$R$40:$R$100,"Potência"))</f>
        <v>2550</v>
      </c>
      <c r="L29" s="4">
        <v>379.07299999999998</v>
      </c>
      <c r="M29" s="34">
        <f>L29*(1-SUMIFS(CUSTOS!$T$40:$T$100,CUSTOS!$O$40:$O$100,SUBSIDIO!G29,CUSTOS!$S$40:$S$100,SUBSIDIO!B29,CUSTOS!$R$40:$R$100,"Potência"))</f>
        <v>379.07299999999998</v>
      </c>
      <c r="N29" s="4">
        <v>0</v>
      </c>
      <c r="O29" s="34">
        <f>N29*(1-SUMIFS(CUSTOS!$T$40:$T$100,CUSTOS!$O$40:$O$100,SUBSIDIO!G29,CUSTOS!$S$40:$S$100,SUBSIDIO!B29,CUSTOS!$R$40:$R$100,"Energia"))</f>
        <v>0</v>
      </c>
      <c r="P29" s="4">
        <v>0</v>
      </c>
      <c r="Q29" s="3" t="s">
        <v>59</v>
      </c>
      <c r="R29" s="3">
        <v>5351</v>
      </c>
      <c r="S29" s="3">
        <v>6</v>
      </c>
      <c r="T29" s="3">
        <v>1</v>
      </c>
      <c r="U29" s="3">
        <v>0</v>
      </c>
      <c r="V29" s="4">
        <f>IF(ISERROR(VLOOKUP($S$29,'TAR FIN'!$A$1:$O$91,15,0)),0,VLOOKUP($S$29,'TAR FIN'!$A$1:$O$91,15,0))</f>
        <v>14.44</v>
      </c>
      <c r="W29" s="4">
        <f>IF(ISERROR(VLOOKUP($T$29,'TAR FIN'!$A$1:$O$91,15,0)),0,VLOOKUP($T$29,'TAR FIN'!$A$1:$O$91,15,0))</f>
        <v>10.52</v>
      </c>
      <c r="X29" s="4">
        <f>IF(ISERROR(VLOOKUP($U$29,'TAR FIN'!$A$1:$O$91,15,0)),0,VLOOKUP($U$29,'TAR FIN'!$A$1:$O$91,15,0))</f>
        <v>0</v>
      </c>
      <c r="Y29" s="4">
        <f ca="1">('TUSD BE'!$AM$10+'TUSD BF'!$AM$10+'TUSD CVA'!$AM$10)*1</f>
        <v>16.859088917825055</v>
      </c>
      <c r="Z29" s="4">
        <f ca="1">('TUSD BE'!$AM$11+'TUSD BF'!$AM$11+'TUSD CVA'!$AM$11)*1</f>
        <v>8.9251920173408053</v>
      </c>
      <c r="AA29" s="4">
        <f>('TE BE'!$AB$8+'TE BF'!$AB$8+'TE CVA'!$AB$8)*1</f>
        <v>203.47604618827933</v>
      </c>
      <c r="AB29" s="4">
        <f t="shared" si="2"/>
        <v>0</v>
      </c>
      <c r="AC29" s="4">
        <f t="shared" si="3"/>
        <v>0</v>
      </c>
      <c r="AD29" s="4">
        <f t="shared" ca="1" si="4"/>
        <v>0</v>
      </c>
      <c r="AE29" s="4">
        <f t="shared" ca="1" si="5"/>
        <v>0</v>
      </c>
      <c r="AF29" s="3" t="s">
        <v>664</v>
      </c>
    </row>
    <row r="30" spans="1:32" ht="11.25" customHeight="1" x14ac:dyDescent="0.25">
      <c r="A30" s="3" t="s">
        <v>21</v>
      </c>
      <c r="B30" s="3" t="s">
        <v>35</v>
      </c>
      <c r="C30" s="3" t="s">
        <v>56</v>
      </c>
      <c r="D30" s="3" t="s">
        <v>25</v>
      </c>
      <c r="E30" s="3" t="s">
        <v>25</v>
      </c>
      <c r="F30" s="3" t="s">
        <v>57</v>
      </c>
      <c r="G30" s="3" t="s">
        <v>58</v>
      </c>
      <c r="H30" s="3" t="s">
        <v>38</v>
      </c>
      <c r="I30" s="6">
        <v>44562</v>
      </c>
      <c r="J30" s="4">
        <v>2550</v>
      </c>
      <c r="K30" s="34">
        <f>J30*(1-SUMIFS(CUSTOS!$T$40:$T$100,CUSTOS!$O$40:$O$100,SUBSIDIO!G30,CUSTOS!$S$40:$S$100,SUBSIDIO!B30,CUSTOS!$R$40:$R$100,"Potência"))</f>
        <v>2550</v>
      </c>
      <c r="L30" s="4">
        <v>538.346</v>
      </c>
      <c r="M30" s="34">
        <f>L30*(1-SUMIFS(CUSTOS!$T$40:$T$100,CUSTOS!$O$40:$O$100,SUBSIDIO!G30,CUSTOS!$S$40:$S$100,SUBSIDIO!B30,CUSTOS!$R$40:$R$100,"Potência"))</f>
        <v>538.346</v>
      </c>
      <c r="N30" s="4">
        <v>0</v>
      </c>
      <c r="O30" s="34">
        <f>N30*(1-SUMIFS(CUSTOS!$T$40:$T$100,CUSTOS!$O$40:$O$100,SUBSIDIO!G30,CUSTOS!$S$40:$S$100,SUBSIDIO!B30,CUSTOS!$R$40:$R$100,"Energia"))</f>
        <v>0</v>
      </c>
      <c r="P30" s="4">
        <v>0</v>
      </c>
      <c r="Q30" s="3" t="s">
        <v>59</v>
      </c>
      <c r="R30" s="3">
        <v>5351</v>
      </c>
      <c r="S30" s="3">
        <v>6</v>
      </c>
      <c r="T30" s="3">
        <v>1</v>
      </c>
      <c r="U30" s="3">
        <v>0</v>
      </c>
      <c r="V30" s="4">
        <f>IF(ISERROR(VLOOKUP($S$30,'TAR FIN'!$A$1:$O$91,15,0)),0,VLOOKUP($S$30,'TAR FIN'!$A$1:$O$91,15,0))</f>
        <v>14.44</v>
      </c>
      <c r="W30" s="4">
        <f>IF(ISERROR(VLOOKUP($T$30,'TAR FIN'!$A$1:$O$91,15,0)),0,VLOOKUP($T$30,'TAR FIN'!$A$1:$O$91,15,0))</f>
        <v>10.52</v>
      </c>
      <c r="X30" s="4">
        <f>IF(ISERROR(VLOOKUP($U$30,'TAR FIN'!$A$1:$O$91,15,0)),0,VLOOKUP($U$30,'TAR FIN'!$A$1:$O$91,15,0))</f>
        <v>0</v>
      </c>
      <c r="Y30" s="4">
        <f ca="1">('TUSD BE'!$AM$10+'TUSD BF'!$AM$10+'TUSD CVA'!$AM$10)*1</f>
        <v>16.859088917825055</v>
      </c>
      <c r="Z30" s="4">
        <f ca="1">('TUSD BE'!$AM$11+'TUSD BF'!$AM$11+'TUSD CVA'!$AM$11)*1</f>
        <v>8.9251920173408053</v>
      </c>
      <c r="AA30" s="4">
        <f>('TE BE'!$AB$8+'TE BF'!$AB$8+'TE CVA'!$AB$8)*1</f>
        <v>203.47604618827933</v>
      </c>
      <c r="AB30" s="4">
        <f t="shared" si="2"/>
        <v>0</v>
      </c>
      <c r="AC30" s="4">
        <f t="shared" si="3"/>
        <v>0</v>
      </c>
      <c r="AD30" s="4">
        <f t="shared" ca="1" si="4"/>
        <v>0</v>
      </c>
      <c r="AE30" s="4">
        <f t="shared" ca="1" si="5"/>
        <v>0</v>
      </c>
      <c r="AF30" s="3" t="s">
        <v>664</v>
      </c>
    </row>
    <row r="31" spans="1:32" ht="11.25" customHeight="1" x14ac:dyDescent="0.25">
      <c r="A31" s="3" t="s">
        <v>21</v>
      </c>
      <c r="B31" s="3" t="s">
        <v>35</v>
      </c>
      <c r="C31" s="3" t="s">
        <v>56</v>
      </c>
      <c r="D31" s="3" t="s">
        <v>25</v>
      </c>
      <c r="E31" s="3" t="s">
        <v>25</v>
      </c>
      <c r="F31" s="3" t="s">
        <v>57</v>
      </c>
      <c r="G31" s="3" t="s">
        <v>58</v>
      </c>
      <c r="H31" s="3" t="s">
        <v>38</v>
      </c>
      <c r="I31" s="6">
        <v>44593</v>
      </c>
      <c r="J31" s="4">
        <v>2550</v>
      </c>
      <c r="K31" s="34">
        <f>J31*(1-SUMIFS(CUSTOS!$T$40:$T$100,CUSTOS!$O$40:$O$100,SUBSIDIO!G31,CUSTOS!$S$40:$S$100,SUBSIDIO!B31,CUSTOS!$R$40:$R$100,"Potência"))</f>
        <v>2550</v>
      </c>
      <c r="L31" s="4">
        <v>463.702</v>
      </c>
      <c r="M31" s="34">
        <f>L31*(1-SUMIFS(CUSTOS!$T$40:$T$100,CUSTOS!$O$40:$O$100,SUBSIDIO!G31,CUSTOS!$S$40:$S$100,SUBSIDIO!B31,CUSTOS!$R$40:$R$100,"Potência"))</f>
        <v>463.702</v>
      </c>
      <c r="N31" s="4">
        <v>0</v>
      </c>
      <c r="O31" s="34">
        <f>N31*(1-SUMIFS(CUSTOS!$T$40:$T$100,CUSTOS!$O$40:$O$100,SUBSIDIO!G31,CUSTOS!$S$40:$S$100,SUBSIDIO!B31,CUSTOS!$R$40:$R$100,"Energia"))</f>
        <v>0</v>
      </c>
      <c r="P31" s="4">
        <v>0</v>
      </c>
      <c r="Q31" s="3" t="s">
        <v>59</v>
      </c>
      <c r="R31" s="3">
        <v>5351</v>
      </c>
      <c r="S31" s="3">
        <v>6</v>
      </c>
      <c r="T31" s="3">
        <v>1</v>
      </c>
      <c r="U31" s="3">
        <v>0</v>
      </c>
      <c r="V31" s="4">
        <f>IF(ISERROR(VLOOKUP($S$31,'TAR FIN'!$A$1:$O$91,15,0)),0,VLOOKUP($S$31,'TAR FIN'!$A$1:$O$91,15,0))</f>
        <v>14.44</v>
      </c>
      <c r="W31" s="4">
        <f>IF(ISERROR(VLOOKUP($T$31,'TAR FIN'!$A$1:$O$91,15,0)),0,VLOOKUP($T$31,'TAR FIN'!$A$1:$O$91,15,0))</f>
        <v>10.52</v>
      </c>
      <c r="X31" s="4">
        <f>IF(ISERROR(VLOOKUP($U$31,'TAR FIN'!$A$1:$O$91,15,0)),0,VLOOKUP($U$31,'TAR FIN'!$A$1:$O$91,15,0))</f>
        <v>0</v>
      </c>
      <c r="Y31" s="4">
        <f ca="1">('TUSD BE'!$AM$10+'TUSD BF'!$AM$10+'TUSD CVA'!$AM$10)*1</f>
        <v>16.859088917825055</v>
      </c>
      <c r="Z31" s="4">
        <f ca="1">('TUSD BE'!$AM$11+'TUSD BF'!$AM$11+'TUSD CVA'!$AM$11)*1</f>
        <v>8.9251920173408053</v>
      </c>
      <c r="AA31" s="4">
        <f>('TE BE'!$AB$8+'TE BF'!$AB$8+'TE CVA'!$AB$8)*1</f>
        <v>203.47604618827933</v>
      </c>
      <c r="AB31" s="4">
        <f t="shared" si="2"/>
        <v>0</v>
      </c>
      <c r="AC31" s="4">
        <f t="shared" si="3"/>
        <v>0</v>
      </c>
      <c r="AD31" s="4">
        <f t="shared" ca="1" si="4"/>
        <v>0</v>
      </c>
      <c r="AE31" s="4">
        <f t="shared" ca="1" si="5"/>
        <v>0</v>
      </c>
      <c r="AF31" s="3" t="s">
        <v>664</v>
      </c>
    </row>
    <row r="32" spans="1:32" ht="11.25" customHeight="1" x14ac:dyDescent="0.25">
      <c r="A32" s="3" t="s">
        <v>21</v>
      </c>
      <c r="B32" s="3" t="s">
        <v>35</v>
      </c>
      <c r="C32" s="3" t="s">
        <v>56</v>
      </c>
      <c r="D32" s="3" t="s">
        <v>25</v>
      </c>
      <c r="E32" s="3" t="s">
        <v>25</v>
      </c>
      <c r="F32" s="3" t="s">
        <v>57</v>
      </c>
      <c r="G32" s="3" t="s">
        <v>58</v>
      </c>
      <c r="H32" s="3" t="s">
        <v>38</v>
      </c>
      <c r="I32" s="6">
        <v>44621</v>
      </c>
      <c r="J32" s="4">
        <v>2809</v>
      </c>
      <c r="K32" s="34">
        <f>J32*(1-SUMIFS(CUSTOS!$T$40:$T$100,CUSTOS!$O$40:$O$100,SUBSIDIO!G32,CUSTOS!$S$40:$S$100,SUBSIDIO!B32,CUSTOS!$R$40:$R$100,"Potência"))</f>
        <v>2809</v>
      </c>
      <c r="L32" s="4">
        <v>449.02300000000002</v>
      </c>
      <c r="M32" s="34">
        <f>L32*(1-SUMIFS(CUSTOS!$T$40:$T$100,CUSTOS!$O$40:$O$100,SUBSIDIO!G32,CUSTOS!$S$40:$S$100,SUBSIDIO!B32,CUSTOS!$R$40:$R$100,"Potência"))</f>
        <v>449.02300000000002</v>
      </c>
      <c r="N32" s="4">
        <v>0</v>
      </c>
      <c r="O32" s="34">
        <f>N32*(1-SUMIFS(CUSTOS!$T$40:$T$100,CUSTOS!$O$40:$O$100,SUBSIDIO!G32,CUSTOS!$S$40:$S$100,SUBSIDIO!B32,CUSTOS!$R$40:$R$100,"Energia"))</f>
        <v>0</v>
      </c>
      <c r="P32" s="4">
        <v>0</v>
      </c>
      <c r="Q32" s="3" t="s">
        <v>59</v>
      </c>
      <c r="R32" s="3">
        <v>5351</v>
      </c>
      <c r="S32" s="3">
        <v>6</v>
      </c>
      <c r="T32" s="3">
        <v>1</v>
      </c>
      <c r="U32" s="3">
        <v>0</v>
      </c>
      <c r="V32" s="4">
        <f>IF(ISERROR(VLOOKUP($S$32,'TAR FIN'!$A$1:$O$91,15,0)),0,VLOOKUP($S$32,'TAR FIN'!$A$1:$O$91,15,0))</f>
        <v>14.44</v>
      </c>
      <c r="W32" s="4">
        <f>IF(ISERROR(VLOOKUP($T$32,'TAR FIN'!$A$1:$O$91,15,0)),0,VLOOKUP($T$32,'TAR FIN'!$A$1:$O$91,15,0))</f>
        <v>10.52</v>
      </c>
      <c r="X32" s="4">
        <f>IF(ISERROR(VLOOKUP($U$32,'TAR FIN'!$A$1:$O$91,15,0)),0,VLOOKUP($U$32,'TAR FIN'!$A$1:$O$91,15,0))</f>
        <v>0</v>
      </c>
      <c r="Y32" s="4">
        <f ca="1">('TUSD BE'!$AM$10+'TUSD BF'!$AM$10+'TUSD CVA'!$AM$10)*1</f>
        <v>16.859088917825055</v>
      </c>
      <c r="Z32" s="4">
        <f ca="1">('TUSD BE'!$AM$11+'TUSD BF'!$AM$11+'TUSD CVA'!$AM$11)*1</f>
        <v>8.9251920173408053</v>
      </c>
      <c r="AA32" s="4">
        <f>('TE BE'!$AB$8+'TE BF'!$AB$8+'TE CVA'!$AB$8)*1</f>
        <v>203.47604618827933</v>
      </c>
      <c r="AB32" s="4">
        <f t="shared" si="2"/>
        <v>0</v>
      </c>
      <c r="AC32" s="4">
        <f t="shared" si="3"/>
        <v>0</v>
      </c>
      <c r="AD32" s="4">
        <f t="shared" ca="1" si="4"/>
        <v>0</v>
      </c>
      <c r="AE32" s="4">
        <f t="shared" ca="1" si="5"/>
        <v>0</v>
      </c>
      <c r="AF32" s="3" t="s">
        <v>664</v>
      </c>
    </row>
    <row r="33" spans="1:32" ht="11.25" customHeight="1" x14ac:dyDescent="0.25">
      <c r="A33" s="3" t="s">
        <v>21</v>
      </c>
      <c r="B33" s="3" t="s">
        <v>35</v>
      </c>
      <c r="C33" s="3" t="s">
        <v>56</v>
      </c>
      <c r="D33" s="3" t="s">
        <v>25</v>
      </c>
      <c r="E33" s="3" t="s">
        <v>25</v>
      </c>
      <c r="F33" s="3" t="s">
        <v>57</v>
      </c>
      <c r="G33" s="3" t="s">
        <v>58</v>
      </c>
      <c r="H33" s="3" t="s">
        <v>38</v>
      </c>
      <c r="I33" s="6">
        <v>44652</v>
      </c>
      <c r="J33" s="4">
        <v>2832</v>
      </c>
      <c r="K33" s="34">
        <f>J33*(1-SUMIFS(CUSTOS!$T$40:$T$100,CUSTOS!$O$40:$O$100,SUBSIDIO!G33,CUSTOS!$S$40:$S$100,SUBSIDIO!B33,CUSTOS!$R$40:$R$100,"Potência"))</f>
        <v>2832</v>
      </c>
      <c r="L33" s="4">
        <v>396.52499999999998</v>
      </c>
      <c r="M33" s="34">
        <f>L33*(1-SUMIFS(CUSTOS!$T$40:$T$100,CUSTOS!$O$40:$O$100,SUBSIDIO!G33,CUSTOS!$S$40:$S$100,SUBSIDIO!B33,CUSTOS!$R$40:$R$100,"Potência"))</f>
        <v>396.52499999999998</v>
      </c>
      <c r="N33" s="4">
        <v>0</v>
      </c>
      <c r="O33" s="34">
        <f>N33*(1-SUMIFS(CUSTOS!$T$40:$T$100,CUSTOS!$O$40:$O$100,SUBSIDIO!G33,CUSTOS!$S$40:$S$100,SUBSIDIO!B33,CUSTOS!$R$40:$R$100,"Energia"))</f>
        <v>0</v>
      </c>
      <c r="P33" s="4">
        <v>0</v>
      </c>
      <c r="Q33" s="3" t="s">
        <v>59</v>
      </c>
      <c r="R33" s="3">
        <v>5351</v>
      </c>
      <c r="S33" s="3">
        <v>6</v>
      </c>
      <c r="T33" s="3">
        <v>1</v>
      </c>
      <c r="U33" s="3">
        <v>0</v>
      </c>
      <c r="V33" s="4">
        <f>IF(ISERROR(VLOOKUP($S$33,'TAR FIN'!$A$1:$O$91,15,0)),0,VLOOKUP($S$33,'TAR FIN'!$A$1:$O$91,15,0))</f>
        <v>14.44</v>
      </c>
      <c r="W33" s="4">
        <f>IF(ISERROR(VLOOKUP($T$33,'TAR FIN'!$A$1:$O$91,15,0)),0,VLOOKUP($T$33,'TAR FIN'!$A$1:$O$91,15,0))</f>
        <v>10.52</v>
      </c>
      <c r="X33" s="4">
        <f>IF(ISERROR(VLOOKUP($U$33,'TAR FIN'!$A$1:$O$91,15,0)),0,VLOOKUP($U$33,'TAR FIN'!$A$1:$O$91,15,0))</f>
        <v>0</v>
      </c>
      <c r="Y33" s="4">
        <f ca="1">('TUSD BE'!$AM$10+'TUSD BF'!$AM$10+'TUSD CVA'!$AM$10)*1</f>
        <v>16.859088917825055</v>
      </c>
      <c r="Z33" s="4">
        <f ca="1">('TUSD BE'!$AM$11+'TUSD BF'!$AM$11+'TUSD CVA'!$AM$11)*1</f>
        <v>8.9251920173408053</v>
      </c>
      <c r="AA33" s="4">
        <f>('TE BE'!$AB$8+'TE BF'!$AB$8+'TE CVA'!$AB$8)*1</f>
        <v>203.47604618827933</v>
      </c>
      <c r="AB33" s="4">
        <f t="shared" si="2"/>
        <v>0</v>
      </c>
      <c r="AC33" s="4">
        <f t="shared" si="3"/>
        <v>0</v>
      </c>
      <c r="AD33" s="4">
        <f t="shared" ca="1" si="4"/>
        <v>0</v>
      </c>
      <c r="AE33" s="4">
        <f t="shared" ca="1" si="5"/>
        <v>0</v>
      </c>
      <c r="AF33" s="3" t="s">
        <v>664</v>
      </c>
    </row>
    <row r="34" spans="1:32" ht="11.25" customHeight="1" x14ac:dyDescent="0.25">
      <c r="A34" s="3" t="s">
        <v>21</v>
      </c>
      <c r="B34" s="3" t="s">
        <v>35</v>
      </c>
      <c r="C34" s="3" t="s">
        <v>56</v>
      </c>
      <c r="D34" s="3" t="s">
        <v>25</v>
      </c>
      <c r="E34" s="3" t="s">
        <v>25</v>
      </c>
      <c r="F34" s="3" t="s">
        <v>57</v>
      </c>
      <c r="G34" s="3" t="s">
        <v>58</v>
      </c>
      <c r="H34" s="3" t="s">
        <v>38</v>
      </c>
      <c r="I34" s="6">
        <v>44682</v>
      </c>
      <c r="J34" s="4">
        <v>2778</v>
      </c>
      <c r="K34" s="34">
        <f>J34*(1-SUMIFS(CUSTOS!$T$40:$T$100,CUSTOS!$O$40:$O$100,SUBSIDIO!G34,CUSTOS!$S$40:$S$100,SUBSIDIO!B34,CUSTOS!$R$40:$R$100,"Potência"))</f>
        <v>2778</v>
      </c>
      <c r="L34" s="4">
        <v>459.20699999999999</v>
      </c>
      <c r="M34" s="34">
        <f>L34*(1-SUMIFS(CUSTOS!$T$40:$T$100,CUSTOS!$O$40:$O$100,SUBSIDIO!G34,CUSTOS!$S$40:$S$100,SUBSIDIO!B34,CUSTOS!$R$40:$R$100,"Potência"))</f>
        <v>459.20699999999999</v>
      </c>
      <c r="N34" s="4">
        <v>0</v>
      </c>
      <c r="O34" s="34">
        <f>N34*(1-SUMIFS(CUSTOS!$T$40:$T$100,CUSTOS!$O$40:$O$100,SUBSIDIO!G34,CUSTOS!$S$40:$S$100,SUBSIDIO!B34,CUSTOS!$R$40:$R$100,"Energia"))</f>
        <v>0</v>
      </c>
      <c r="P34" s="4">
        <v>0</v>
      </c>
      <c r="Q34" s="3" t="s">
        <v>59</v>
      </c>
      <c r="R34" s="3">
        <v>5351</v>
      </c>
      <c r="S34" s="3">
        <v>6</v>
      </c>
      <c r="T34" s="3">
        <v>1</v>
      </c>
      <c r="U34" s="3">
        <v>0</v>
      </c>
      <c r="V34" s="4">
        <f>IF(ISERROR(VLOOKUP($S$34,'TAR FIN'!$A$1:$O$91,15,0)),0,VLOOKUP($S$34,'TAR FIN'!$A$1:$O$91,15,0))</f>
        <v>14.44</v>
      </c>
      <c r="W34" s="4">
        <f>IF(ISERROR(VLOOKUP($T$34,'TAR FIN'!$A$1:$O$91,15,0)),0,VLOOKUP($T$34,'TAR FIN'!$A$1:$O$91,15,0))</f>
        <v>10.52</v>
      </c>
      <c r="X34" s="4">
        <f>IF(ISERROR(VLOOKUP($U$34,'TAR FIN'!$A$1:$O$91,15,0)),0,VLOOKUP($U$34,'TAR FIN'!$A$1:$O$91,15,0))</f>
        <v>0</v>
      </c>
      <c r="Y34" s="4">
        <f ca="1">('TUSD BE'!$AM$10+'TUSD BF'!$AM$10+'TUSD CVA'!$AM$10)*1</f>
        <v>16.859088917825055</v>
      </c>
      <c r="Z34" s="4">
        <f ca="1">('TUSD BE'!$AM$11+'TUSD BF'!$AM$11+'TUSD CVA'!$AM$11)*1</f>
        <v>8.9251920173408053</v>
      </c>
      <c r="AA34" s="4">
        <f>('TE BE'!$AB$8+'TE BF'!$AB$8+'TE CVA'!$AB$8)*1</f>
        <v>203.47604618827933</v>
      </c>
      <c r="AB34" s="4">
        <f t="shared" si="2"/>
        <v>0</v>
      </c>
      <c r="AC34" s="4">
        <f t="shared" ref="AC34:AC65" si="6">(L34-M34)*W34+(N34-O34)*X34</f>
        <v>0</v>
      </c>
      <c r="AD34" s="4">
        <f t="shared" ca="1" si="4"/>
        <v>0</v>
      </c>
      <c r="AE34" s="4">
        <f t="shared" ref="AE34:AE65" ca="1" si="7">(L34-M34)*Z34+(N34-O34)*AA34</f>
        <v>0</v>
      </c>
      <c r="AF34" s="3" t="s">
        <v>664</v>
      </c>
    </row>
    <row r="35" spans="1:32" ht="11.25" customHeight="1" x14ac:dyDescent="0.25">
      <c r="A35" s="3" t="s">
        <v>21</v>
      </c>
      <c r="B35" s="3" t="s">
        <v>35</v>
      </c>
      <c r="C35" s="3" t="s">
        <v>56</v>
      </c>
      <c r="D35" s="3" t="s">
        <v>25</v>
      </c>
      <c r="E35" s="3" t="s">
        <v>25</v>
      </c>
      <c r="F35" s="3" t="s">
        <v>57</v>
      </c>
      <c r="G35" s="3" t="s">
        <v>58</v>
      </c>
      <c r="H35" s="3" t="s">
        <v>38</v>
      </c>
      <c r="I35" s="6">
        <v>44713</v>
      </c>
      <c r="J35" s="4">
        <v>2876</v>
      </c>
      <c r="K35" s="34">
        <f>J35*(1-SUMIFS(CUSTOS!$T$40:$T$100,CUSTOS!$O$40:$O$100,SUBSIDIO!G35,CUSTOS!$S$40:$S$100,SUBSIDIO!B35,CUSTOS!$R$40:$R$100,"Potência"))</f>
        <v>2876</v>
      </c>
      <c r="L35" s="4">
        <v>480.66399999999999</v>
      </c>
      <c r="M35" s="34">
        <f>L35*(1-SUMIFS(CUSTOS!$T$40:$T$100,CUSTOS!$O$40:$O$100,SUBSIDIO!G35,CUSTOS!$S$40:$S$100,SUBSIDIO!B35,CUSTOS!$R$40:$R$100,"Potência"))</f>
        <v>480.66399999999999</v>
      </c>
      <c r="N35" s="4">
        <v>0</v>
      </c>
      <c r="O35" s="34">
        <f>N35*(1-SUMIFS(CUSTOS!$T$40:$T$100,CUSTOS!$O$40:$O$100,SUBSIDIO!G35,CUSTOS!$S$40:$S$100,SUBSIDIO!B35,CUSTOS!$R$40:$R$100,"Energia"))</f>
        <v>0</v>
      </c>
      <c r="P35" s="4">
        <v>0</v>
      </c>
      <c r="Q35" s="3" t="s">
        <v>59</v>
      </c>
      <c r="R35" s="3">
        <v>5351</v>
      </c>
      <c r="S35" s="3">
        <v>6</v>
      </c>
      <c r="T35" s="3">
        <v>1</v>
      </c>
      <c r="U35" s="3">
        <v>0</v>
      </c>
      <c r="V35" s="4">
        <f>IF(ISERROR(VLOOKUP($S$35,'TAR FIN'!$A$1:$O$91,15,0)),0,VLOOKUP($S$35,'TAR FIN'!$A$1:$O$91,15,0))</f>
        <v>14.44</v>
      </c>
      <c r="W35" s="4">
        <f>IF(ISERROR(VLOOKUP($T$35,'TAR FIN'!$A$1:$O$91,15,0)),0,VLOOKUP($T$35,'TAR FIN'!$A$1:$O$91,15,0))</f>
        <v>10.52</v>
      </c>
      <c r="X35" s="4">
        <f>IF(ISERROR(VLOOKUP($U$35,'TAR FIN'!$A$1:$O$91,15,0)),0,VLOOKUP($U$35,'TAR FIN'!$A$1:$O$91,15,0))</f>
        <v>0</v>
      </c>
      <c r="Y35" s="4">
        <f ca="1">('TUSD BE'!$AM$10+'TUSD BF'!$AM$10+'TUSD CVA'!$AM$10)*1</f>
        <v>16.859088917825055</v>
      </c>
      <c r="Z35" s="4">
        <f ca="1">('TUSD BE'!$AM$11+'TUSD BF'!$AM$11+'TUSD CVA'!$AM$11)*1</f>
        <v>8.9251920173408053</v>
      </c>
      <c r="AA35" s="4">
        <f>('TE BE'!$AB$8+'TE BF'!$AB$8+'TE CVA'!$AB$8)*1</f>
        <v>203.47604618827933</v>
      </c>
      <c r="AB35" s="4">
        <f t="shared" si="2"/>
        <v>0</v>
      </c>
      <c r="AC35" s="4">
        <f t="shared" si="6"/>
        <v>0</v>
      </c>
      <c r="AD35" s="4">
        <f t="shared" ca="1" si="4"/>
        <v>0</v>
      </c>
      <c r="AE35" s="4">
        <f t="shared" ca="1" si="7"/>
        <v>0</v>
      </c>
      <c r="AF35" s="3" t="s">
        <v>664</v>
      </c>
    </row>
    <row r="36" spans="1:32" ht="11.25" customHeight="1" x14ac:dyDescent="0.25">
      <c r="A36" s="3" t="s">
        <v>21</v>
      </c>
      <c r="B36" s="3" t="s">
        <v>35</v>
      </c>
      <c r="C36" s="3" t="s">
        <v>56</v>
      </c>
      <c r="D36" s="3" t="s">
        <v>25</v>
      </c>
      <c r="E36" s="3" t="s">
        <v>25</v>
      </c>
      <c r="F36" s="3" t="s">
        <v>57</v>
      </c>
      <c r="G36" s="3" t="s">
        <v>58</v>
      </c>
      <c r="H36" s="3" t="s">
        <v>38</v>
      </c>
      <c r="I36" s="6">
        <v>44743</v>
      </c>
      <c r="J36" s="4">
        <v>2550</v>
      </c>
      <c r="K36" s="34">
        <f>J36*(1-SUMIFS(CUSTOS!$T$40:$T$100,CUSTOS!$O$40:$O$100,SUBSIDIO!G36,CUSTOS!$S$40:$S$100,SUBSIDIO!B36,CUSTOS!$R$40:$R$100,"Potência"))</f>
        <v>2550</v>
      </c>
      <c r="L36" s="4">
        <v>400.822</v>
      </c>
      <c r="M36" s="34">
        <f>L36*(1-SUMIFS(CUSTOS!$T$40:$T$100,CUSTOS!$O$40:$O$100,SUBSIDIO!G36,CUSTOS!$S$40:$S$100,SUBSIDIO!B36,CUSTOS!$R$40:$R$100,"Potência"))</f>
        <v>400.822</v>
      </c>
      <c r="N36" s="4">
        <v>0</v>
      </c>
      <c r="O36" s="34">
        <f>N36*(1-SUMIFS(CUSTOS!$T$40:$T$100,CUSTOS!$O$40:$O$100,SUBSIDIO!G36,CUSTOS!$S$40:$S$100,SUBSIDIO!B36,CUSTOS!$R$40:$R$100,"Energia"))</f>
        <v>0</v>
      </c>
      <c r="P36" s="4">
        <v>0</v>
      </c>
      <c r="Q36" s="3" t="s">
        <v>59</v>
      </c>
      <c r="R36" s="3">
        <v>5351</v>
      </c>
      <c r="S36" s="3">
        <v>6</v>
      </c>
      <c r="T36" s="3">
        <v>1</v>
      </c>
      <c r="U36" s="3">
        <v>0</v>
      </c>
      <c r="V36" s="4">
        <f>IF(ISERROR(VLOOKUP($S$36,'TAR FIN'!$A$1:$O$91,15,0)),0,VLOOKUP($S$36,'TAR FIN'!$A$1:$O$91,15,0))</f>
        <v>14.44</v>
      </c>
      <c r="W36" s="4">
        <f>IF(ISERROR(VLOOKUP($T$36,'TAR FIN'!$A$1:$O$91,15,0)),0,VLOOKUP($T$36,'TAR FIN'!$A$1:$O$91,15,0))</f>
        <v>10.52</v>
      </c>
      <c r="X36" s="4">
        <f>IF(ISERROR(VLOOKUP($U$36,'TAR FIN'!$A$1:$O$91,15,0)),0,VLOOKUP($U$36,'TAR FIN'!$A$1:$O$91,15,0))</f>
        <v>0</v>
      </c>
      <c r="Y36" s="4">
        <f ca="1">('TUSD BE'!$AM$10+'TUSD BF'!$AM$10+'TUSD CVA'!$AM$10)*1</f>
        <v>16.859088917825055</v>
      </c>
      <c r="Z36" s="4">
        <f ca="1">('TUSD BE'!$AM$11+'TUSD BF'!$AM$11+'TUSD CVA'!$AM$11)*1</f>
        <v>8.9251920173408053</v>
      </c>
      <c r="AA36" s="4">
        <f>('TE BE'!$AB$8+'TE BF'!$AB$8+'TE CVA'!$AB$8)*1</f>
        <v>203.47604618827933</v>
      </c>
      <c r="AB36" s="4">
        <f t="shared" si="2"/>
        <v>0</v>
      </c>
      <c r="AC36" s="4">
        <f t="shared" si="6"/>
        <v>0</v>
      </c>
      <c r="AD36" s="4">
        <f t="shared" ca="1" si="4"/>
        <v>0</v>
      </c>
      <c r="AE36" s="4">
        <f t="shared" ca="1" si="7"/>
        <v>0</v>
      </c>
      <c r="AF36" s="3" t="s">
        <v>664</v>
      </c>
    </row>
    <row r="37" spans="1:32" ht="11.25" customHeight="1" x14ac:dyDescent="0.25">
      <c r="A37" s="3" t="s">
        <v>21</v>
      </c>
      <c r="B37" s="3" t="s">
        <v>35</v>
      </c>
      <c r="C37" s="3" t="s">
        <v>56</v>
      </c>
      <c r="D37" s="3" t="s">
        <v>25</v>
      </c>
      <c r="E37" s="3" t="s">
        <v>25</v>
      </c>
      <c r="F37" s="3" t="s">
        <v>57</v>
      </c>
      <c r="G37" s="3" t="s">
        <v>58</v>
      </c>
      <c r="H37" s="3" t="s">
        <v>38</v>
      </c>
      <c r="I37" s="6">
        <v>44774</v>
      </c>
      <c r="J37" s="4">
        <v>3195</v>
      </c>
      <c r="K37" s="34">
        <f>J37*(1-SUMIFS(CUSTOS!$T$40:$T$100,CUSTOS!$O$40:$O$100,SUBSIDIO!G37,CUSTOS!$S$40:$S$100,SUBSIDIO!B37,CUSTOS!$R$40:$R$100,"Potência"))</f>
        <v>3195</v>
      </c>
      <c r="L37" s="4">
        <v>487.95299999999997</v>
      </c>
      <c r="M37" s="34">
        <f>L37*(1-SUMIFS(CUSTOS!$T$40:$T$100,CUSTOS!$O$40:$O$100,SUBSIDIO!G37,CUSTOS!$S$40:$S$100,SUBSIDIO!B37,CUSTOS!$R$40:$R$100,"Potência"))</f>
        <v>487.95299999999997</v>
      </c>
      <c r="N37" s="4">
        <v>0</v>
      </c>
      <c r="O37" s="34">
        <f>N37*(1-SUMIFS(CUSTOS!$T$40:$T$100,CUSTOS!$O$40:$O$100,SUBSIDIO!G37,CUSTOS!$S$40:$S$100,SUBSIDIO!B37,CUSTOS!$R$40:$R$100,"Energia"))</f>
        <v>0</v>
      </c>
      <c r="P37" s="4">
        <v>0</v>
      </c>
      <c r="Q37" s="3" t="s">
        <v>59</v>
      </c>
      <c r="R37" s="3">
        <v>5351</v>
      </c>
      <c r="S37" s="3">
        <v>6</v>
      </c>
      <c r="T37" s="3">
        <v>1</v>
      </c>
      <c r="U37" s="3">
        <v>0</v>
      </c>
      <c r="V37" s="4">
        <f>IF(ISERROR(VLOOKUP($S$37,'TAR FIN'!$A$1:$O$91,15,0)),0,VLOOKUP($S$37,'TAR FIN'!$A$1:$O$91,15,0))</f>
        <v>14.44</v>
      </c>
      <c r="W37" s="4">
        <f>IF(ISERROR(VLOOKUP($T$37,'TAR FIN'!$A$1:$O$91,15,0)),0,VLOOKUP($T$37,'TAR FIN'!$A$1:$O$91,15,0))</f>
        <v>10.52</v>
      </c>
      <c r="X37" s="4">
        <f>IF(ISERROR(VLOOKUP($U$37,'TAR FIN'!$A$1:$O$91,15,0)),0,VLOOKUP($U$37,'TAR FIN'!$A$1:$O$91,15,0))</f>
        <v>0</v>
      </c>
      <c r="Y37" s="4">
        <f ca="1">('TUSD BE'!$AM$10+'TUSD BF'!$AM$10+'TUSD CVA'!$AM$10)*1</f>
        <v>16.859088917825055</v>
      </c>
      <c r="Z37" s="4">
        <f ca="1">('TUSD BE'!$AM$11+'TUSD BF'!$AM$11+'TUSD CVA'!$AM$11)*1</f>
        <v>8.9251920173408053</v>
      </c>
      <c r="AA37" s="4">
        <f>('TE BE'!$AB$8+'TE BF'!$AB$8+'TE CVA'!$AB$8)*1</f>
        <v>203.47604618827933</v>
      </c>
      <c r="AB37" s="4">
        <f t="shared" si="2"/>
        <v>0</v>
      </c>
      <c r="AC37" s="4">
        <f t="shared" si="6"/>
        <v>0</v>
      </c>
      <c r="AD37" s="4">
        <f t="shared" ca="1" si="4"/>
        <v>0</v>
      </c>
      <c r="AE37" s="4">
        <f t="shared" ca="1" si="7"/>
        <v>0</v>
      </c>
      <c r="AF37" s="3" t="s">
        <v>664</v>
      </c>
    </row>
    <row r="38" spans="1:32" ht="11.25" customHeight="1" x14ac:dyDescent="0.25">
      <c r="A38" s="3" t="s">
        <v>21</v>
      </c>
      <c r="B38" s="3" t="s">
        <v>35</v>
      </c>
      <c r="C38" s="3" t="s">
        <v>56</v>
      </c>
      <c r="D38" s="3" t="s">
        <v>25</v>
      </c>
      <c r="E38" s="3" t="s">
        <v>25</v>
      </c>
      <c r="F38" s="3" t="s">
        <v>57</v>
      </c>
      <c r="G38" s="3" t="s">
        <v>58</v>
      </c>
      <c r="H38" s="3" t="s">
        <v>25</v>
      </c>
      <c r="I38" s="6">
        <v>44440</v>
      </c>
      <c r="J38" s="4">
        <v>0</v>
      </c>
      <c r="K38" s="34">
        <f>J38*(1-SUMIFS(CUSTOS!$T$40:$T$100,CUSTOS!$O$40:$O$100,SUBSIDIO!G38,CUSTOS!$S$40:$S$100,SUBSIDIO!B38,CUSTOS!$R$40:$R$100,"Potência"))</f>
        <v>0</v>
      </c>
      <c r="L38" s="4">
        <v>0</v>
      </c>
      <c r="M38" s="34">
        <f>L38*(1-SUMIFS(CUSTOS!$T$40:$T$100,CUSTOS!$O$40:$O$100,SUBSIDIO!G38,CUSTOS!$S$40:$S$100,SUBSIDIO!B38,CUSTOS!$R$40:$R$100,"Potência"))</f>
        <v>0</v>
      </c>
      <c r="N38" s="4">
        <v>1076.577</v>
      </c>
      <c r="O38" s="34">
        <f>N38*(1-SUMIFS(CUSTOS!$T$40:$T$100,CUSTOS!$O$40:$O$100,SUBSIDIO!G38,CUSTOS!$S$40:$S$100,SUBSIDIO!B38,CUSTOS!$R$40:$R$100,"Energia"))</f>
        <v>1076.577</v>
      </c>
      <c r="P38" s="4">
        <v>0</v>
      </c>
      <c r="Q38" s="3" t="s">
        <v>59</v>
      </c>
      <c r="R38" s="3">
        <v>5351</v>
      </c>
      <c r="S38" s="3">
        <v>0</v>
      </c>
      <c r="T38" s="3">
        <v>0</v>
      </c>
      <c r="U38" s="3">
        <v>78</v>
      </c>
      <c r="V38" s="4">
        <f>IF(ISERROR(VLOOKUP($S$38,'TAR FIN'!$A$1:$O$91,15,0)),0,VLOOKUP($S$38,'TAR FIN'!$A$1:$O$91,15,0))</f>
        <v>0</v>
      </c>
      <c r="W38" s="4">
        <f>IF(ISERROR(VLOOKUP($T$38,'TAR FIN'!$A$1:$O$91,15,0)),0,VLOOKUP($T$38,'TAR FIN'!$A$1:$O$91,15,0))</f>
        <v>0</v>
      </c>
      <c r="X38" s="4">
        <f>IF(ISERROR(VLOOKUP($U$38,'TAR FIN'!$A$1:$O$91,15,0)),0,VLOOKUP($U$38,'TAR FIN'!$A$1:$O$91,15,0))</f>
        <v>248.68</v>
      </c>
      <c r="Y38" s="4">
        <f ca="1">0.72*('TUSD BE'!$AM$9+'TUSD BF'!$AM$9+'TUSD CVA'!$AM$9)*1+('TUSD BE'!$AM$10+'TUSD BF'!$AM$10+'TUSD CVA'!$AM$10)*1</f>
        <v>53.149182930504139</v>
      </c>
      <c r="Z38" s="4">
        <f ca="1">('TUSD BE'!$AM$11+'TUSD BF'!$AM$11+'TUSD CVA'!$AM$11)*1</f>
        <v>8.9251920173408053</v>
      </c>
      <c r="AA38" s="4">
        <f>('TE BE'!$AB$8+'TE BF'!$AB$8+'TE CVA'!$AB$8)*1</f>
        <v>203.47604618827933</v>
      </c>
      <c r="AB38" s="4">
        <f t="shared" si="2"/>
        <v>0</v>
      </c>
      <c r="AC38" s="4">
        <f t="shared" si="6"/>
        <v>0</v>
      </c>
      <c r="AD38" s="4">
        <f t="shared" ca="1" si="4"/>
        <v>0</v>
      </c>
      <c r="AE38" s="4">
        <f t="shared" ca="1" si="7"/>
        <v>0</v>
      </c>
      <c r="AF38" s="3" t="s">
        <v>664</v>
      </c>
    </row>
    <row r="39" spans="1:32" ht="11.25" customHeight="1" x14ac:dyDescent="0.25">
      <c r="A39" s="3" t="s">
        <v>21</v>
      </c>
      <c r="B39" s="3" t="s">
        <v>35</v>
      </c>
      <c r="C39" s="3" t="s">
        <v>56</v>
      </c>
      <c r="D39" s="3" t="s">
        <v>25</v>
      </c>
      <c r="E39" s="3" t="s">
        <v>25</v>
      </c>
      <c r="F39" s="3" t="s">
        <v>57</v>
      </c>
      <c r="G39" s="3" t="s">
        <v>58</v>
      </c>
      <c r="H39" s="3" t="s">
        <v>25</v>
      </c>
      <c r="I39" s="6">
        <v>44470</v>
      </c>
      <c r="J39" s="4">
        <v>0</v>
      </c>
      <c r="K39" s="34">
        <f>J39*(1-SUMIFS(CUSTOS!$T$40:$T$100,CUSTOS!$O$40:$O$100,SUBSIDIO!G39,CUSTOS!$S$40:$S$100,SUBSIDIO!B39,CUSTOS!$R$40:$R$100,"Potência"))</f>
        <v>0</v>
      </c>
      <c r="L39" s="4">
        <v>0</v>
      </c>
      <c r="M39" s="34">
        <f>L39*(1-SUMIFS(CUSTOS!$T$40:$T$100,CUSTOS!$O$40:$O$100,SUBSIDIO!G39,CUSTOS!$S$40:$S$100,SUBSIDIO!B39,CUSTOS!$R$40:$R$100,"Potência"))</f>
        <v>0</v>
      </c>
      <c r="N39" s="4">
        <v>1112.021</v>
      </c>
      <c r="O39" s="34">
        <f>N39*(1-SUMIFS(CUSTOS!$T$40:$T$100,CUSTOS!$O$40:$O$100,SUBSIDIO!G39,CUSTOS!$S$40:$S$100,SUBSIDIO!B39,CUSTOS!$R$40:$R$100,"Energia"))</f>
        <v>1112.021</v>
      </c>
      <c r="P39" s="4">
        <v>0</v>
      </c>
      <c r="Q39" s="3" t="s">
        <v>59</v>
      </c>
      <c r="R39" s="3">
        <v>5351</v>
      </c>
      <c r="S39" s="3">
        <v>0</v>
      </c>
      <c r="T39" s="3">
        <v>0</v>
      </c>
      <c r="U39" s="3">
        <v>78</v>
      </c>
      <c r="V39" s="4">
        <f>IF(ISERROR(VLOOKUP($S$39,'TAR FIN'!$A$1:$O$91,15,0)),0,VLOOKUP($S$39,'TAR FIN'!$A$1:$O$91,15,0))</f>
        <v>0</v>
      </c>
      <c r="W39" s="4">
        <f>IF(ISERROR(VLOOKUP($T$39,'TAR FIN'!$A$1:$O$91,15,0)),0,VLOOKUP($T$39,'TAR FIN'!$A$1:$O$91,15,0))</f>
        <v>0</v>
      </c>
      <c r="X39" s="4">
        <f>IF(ISERROR(VLOOKUP($U$39,'TAR FIN'!$A$1:$O$91,15,0)),0,VLOOKUP($U$39,'TAR FIN'!$A$1:$O$91,15,0))</f>
        <v>248.68</v>
      </c>
      <c r="Y39" s="4">
        <f ca="1">0.72*('TUSD BE'!$AM$9+'TUSD BF'!$AM$9+'TUSD CVA'!$AM$9)*1+('TUSD BE'!$AM$10+'TUSD BF'!$AM$10+'TUSD CVA'!$AM$10)*1</f>
        <v>53.149182930504139</v>
      </c>
      <c r="Z39" s="4">
        <f ca="1">('TUSD BE'!$AM$11+'TUSD BF'!$AM$11+'TUSD CVA'!$AM$11)*1</f>
        <v>8.9251920173408053</v>
      </c>
      <c r="AA39" s="4">
        <f>('TE BE'!$AB$8+'TE BF'!$AB$8+'TE CVA'!$AB$8)*1</f>
        <v>203.47604618827933</v>
      </c>
      <c r="AB39" s="4">
        <f t="shared" si="2"/>
        <v>0</v>
      </c>
      <c r="AC39" s="4">
        <f t="shared" si="6"/>
        <v>0</v>
      </c>
      <c r="AD39" s="4">
        <f t="shared" ca="1" si="4"/>
        <v>0</v>
      </c>
      <c r="AE39" s="4">
        <f t="shared" ca="1" si="7"/>
        <v>0</v>
      </c>
      <c r="AF39" s="3" t="s">
        <v>664</v>
      </c>
    </row>
    <row r="40" spans="1:32" ht="11.25" customHeight="1" x14ac:dyDescent="0.25">
      <c r="A40" s="3" t="s">
        <v>21</v>
      </c>
      <c r="B40" s="3" t="s">
        <v>35</v>
      </c>
      <c r="C40" s="3" t="s">
        <v>56</v>
      </c>
      <c r="D40" s="3" t="s">
        <v>25</v>
      </c>
      <c r="E40" s="3" t="s">
        <v>25</v>
      </c>
      <c r="F40" s="3" t="s">
        <v>57</v>
      </c>
      <c r="G40" s="3" t="s">
        <v>58</v>
      </c>
      <c r="H40" s="3" t="s">
        <v>25</v>
      </c>
      <c r="I40" s="6">
        <v>44501</v>
      </c>
      <c r="J40" s="4">
        <v>0</v>
      </c>
      <c r="K40" s="34">
        <f>J40*(1-SUMIFS(CUSTOS!$T$40:$T$100,CUSTOS!$O$40:$O$100,SUBSIDIO!G40,CUSTOS!$S$40:$S$100,SUBSIDIO!B40,CUSTOS!$R$40:$R$100,"Potência"))</f>
        <v>0</v>
      </c>
      <c r="L40" s="4">
        <v>0</v>
      </c>
      <c r="M40" s="34">
        <f>L40*(1-SUMIFS(CUSTOS!$T$40:$T$100,CUSTOS!$O$40:$O$100,SUBSIDIO!G40,CUSTOS!$S$40:$S$100,SUBSIDIO!B40,CUSTOS!$R$40:$R$100,"Potência"))</f>
        <v>0</v>
      </c>
      <c r="N40" s="4">
        <v>1103.4000000000001</v>
      </c>
      <c r="O40" s="34">
        <f>N40*(1-SUMIFS(CUSTOS!$T$40:$T$100,CUSTOS!$O$40:$O$100,SUBSIDIO!G40,CUSTOS!$S$40:$S$100,SUBSIDIO!B40,CUSTOS!$R$40:$R$100,"Energia"))</f>
        <v>1103.4000000000001</v>
      </c>
      <c r="P40" s="4">
        <v>0</v>
      </c>
      <c r="Q40" s="3" t="s">
        <v>59</v>
      </c>
      <c r="R40" s="3">
        <v>5351</v>
      </c>
      <c r="S40" s="3">
        <v>0</v>
      </c>
      <c r="T40" s="3">
        <v>0</v>
      </c>
      <c r="U40" s="3">
        <v>78</v>
      </c>
      <c r="V40" s="4">
        <f>IF(ISERROR(VLOOKUP($S$40,'TAR FIN'!$A$1:$O$91,15,0)),0,VLOOKUP($S$40,'TAR FIN'!$A$1:$O$91,15,0))</f>
        <v>0</v>
      </c>
      <c r="W40" s="4">
        <f>IF(ISERROR(VLOOKUP($T$40,'TAR FIN'!$A$1:$O$91,15,0)),0,VLOOKUP($T$40,'TAR FIN'!$A$1:$O$91,15,0))</f>
        <v>0</v>
      </c>
      <c r="X40" s="4">
        <f>IF(ISERROR(VLOOKUP($U$40,'TAR FIN'!$A$1:$O$91,15,0)),0,VLOOKUP($U$40,'TAR FIN'!$A$1:$O$91,15,0))</f>
        <v>248.68</v>
      </c>
      <c r="Y40" s="4">
        <f ca="1">0.72*('TUSD BE'!$AM$9+'TUSD BF'!$AM$9+'TUSD CVA'!$AM$9)*1+('TUSD BE'!$AM$10+'TUSD BF'!$AM$10+'TUSD CVA'!$AM$10)*1</f>
        <v>53.149182930504139</v>
      </c>
      <c r="Z40" s="4">
        <f ca="1">('TUSD BE'!$AM$11+'TUSD BF'!$AM$11+'TUSD CVA'!$AM$11)*1</f>
        <v>8.9251920173408053</v>
      </c>
      <c r="AA40" s="4">
        <f>('TE BE'!$AB$8+'TE BF'!$AB$8+'TE CVA'!$AB$8)*1</f>
        <v>203.47604618827933</v>
      </c>
      <c r="AB40" s="4">
        <f t="shared" si="2"/>
        <v>0</v>
      </c>
      <c r="AC40" s="4">
        <f t="shared" si="6"/>
        <v>0</v>
      </c>
      <c r="AD40" s="4">
        <f t="shared" ca="1" si="4"/>
        <v>0</v>
      </c>
      <c r="AE40" s="4">
        <f t="shared" ca="1" si="7"/>
        <v>0</v>
      </c>
      <c r="AF40" s="3" t="s">
        <v>664</v>
      </c>
    </row>
    <row r="41" spans="1:32" ht="11.25" customHeight="1" x14ac:dyDescent="0.25">
      <c r="A41" s="3" t="s">
        <v>21</v>
      </c>
      <c r="B41" s="3" t="s">
        <v>35</v>
      </c>
      <c r="C41" s="3" t="s">
        <v>56</v>
      </c>
      <c r="D41" s="3" t="s">
        <v>25</v>
      </c>
      <c r="E41" s="3" t="s">
        <v>25</v>
      </c>
      <c r="F41" s="3" t="s">
        <v>57</v>
      </c>
      <c r="G41" s="3" t="s">
        <v>58</v>
      </c>
      <c r="H41" s="3" t="s">
        <v>25</v>
      </c>
      <c r="I41" s="6">
        <v>44531</v>
      </c>
      <c r="J41" s="4">
        <v>0</v>
      </c>
      <c r="K41" s="34">
        <f>J41*(1-SUMIFS(CUSTOS!$T$40:$T$100,CUSTOS!$O$40:$O$100,SUBSIDIO!G41,CUSTOS!$S$40:$S$100,SUBSIDIO!B41,CUSTOS!$R$40:$R$100,"Potência"))</f>
        <v>0</v>
      </c>
      <c r="L41" s="4">
        <v>0</v>
      </c>
      <c r="M41" s="34">
        <f>L41*(1-SUMIFS(CUSTOS!$T$40:$T$100,CUSTOS!$O$40:$O$100,SUBSIDIO!G41,CUSTOS!$S$40:$S$100,SUBSIDIO!B41,CUSTOS!$R$40:$R$100,"Potência"))</f>
        <v>0</v>
      </c>
      <c r="N41" s="4">
        <v>1146.7660000000001</v>
      </c>
      <c r="O41" s="34">
        <f>N41*(1-SUMIFS(CUSTOS!$T$40:$T$100,CUSTOS!$O$40:$O$100,SUBSIDIO!G41,CUSTOS!$S$40:$S$100,SUBSIDIO!B41,CUSTOS!$R$40:$R$100,"Energia"))</f>
        <v>1146.7660000000001</v>
      </c>
      <c r="P41" s="4">
        <v>0</v>
      </c>
      <c r="Q41" s="3" t="s">
        <v>59</v>
      </c>
      <c r="R41" s="3">
        <v>5351</v>
      </c>
      <c r="S41" s="3">
        <v>0</v>
      </c>
      <c r="T41" s="3">
        <v>0</v>
      </c>
      <c r="U41" s="3">
        <v>78</v>
      </c>
      <c r="V41" s="4">
        <f>IF(ISERROR(VLOOKUP($S$41,'TAR FIN'!$A$1:$O$91,15,0)),0,VLOOKUP($S$41,'TAR FIN'!$A$1:$O$91,15,0))</f>
        <v>0</v>
      </c>
      <c r="W41" s="4">
        <f>IF(ISERROR(VLOOKUP($T$41,'TAR FIN'!$A$1:$O$91,15,0)),0,VLOOKUP($T$41,'TAR FIN'!$A$1:$O$91,15,0))</f>
        <v>0</v>
      </c>
      <c r="X41" s="4">
        <f>IF(ISERROR(VLOOKUP($U$41,'TAR FIN'!$A$1:$O$91,15,0)),0,VLOOKUP($U$41,'TAR FIN'!$A$1:$O$91,15,0))</f>
        <v>248.68</v>
      </c>
      <c r="Y41" s="4">
        <f ca="1">0.72*('TUSD BE'!$AM$9+'TUSD BF'!$AM$9+'TUSD CVA'!$AM$9)*1+('TUSD BE'!$AM$10+'TUSD BF'!$AM$10+'TUSD CVA'!$AM$10)*1</f>
        <v>53.149182930504139</v>
      </c>
      <c r="Z41" s="4">
        <f ca="1">('TUSD BE'!$AM$11+'TUSD BF'!$AM$11+'TUSD CVA'!$AM$11)*1</f>
        <v>8.9251920173408053</v>
      </c>
      <c r="AA41" s="4">
        <f>('TE BE'!$AB$8+'TE BF'!$AB$8+'TE CVA'!$AB$8)*1</f>
        <v>203.47604618827933</v>
      </c>
      <c r="AB41" s="4">
        <f t="shared" si="2"/>
        <v>0</v>
      </c>
      <c r="AC41" s="4">
        <f t="shared" si="6"/>
        <v>0</v>
      </c>
      <c r="AD41" s="4">
        <f t="shared" ca="1" si="4"/>
        <v>0</v>
      </c>
      <c r="AE41" s="4">
        <f t="shared" ca="1" si="7"/>
        <v>0</v>
      </c>
      <c r="AF41" s="3" t="s">
        <v>664</v>
      </c>
    </row>
    <row r="42" spans="1:32" ht="11.25" customHeight="1" x14ac:dyDescent="0.25">
      <c r="A42" s="3" t="s">
        <v>21</v>
      </c>
      <c r="B42" s="3" t="s">
        <v>35</v>
      </c>
      <c r="C42" s="3" t="s">
        <v>56</v>
      </c>
      <c r="D42" s="3" t="s">
        <v>25</v>
      </c>
      <c r="E42" s="3" t="s">
        <v>25</v>
      </c>
      <c r="F42" s="3" t="s">
        <v>57</v>
      </c>
      <c r="G42" s="3" t="s">
        <v>58</v>
      </c>
      <c r="H42" s="3" t="s">
        <v>25</v>
      </c>
      <c r="I42" s="6">
        <v>44562</v>
      </c>
      <c r="J42" s="4">
        <v>0</v>
      </c>
      <c r="K42" s="34">
        <f>J42*(1-SUMIFS(CUSTOS!$T$40:$T$100,CUSTOS!$O$40:$O$100,SUBSIDIO!G42,CUSTOS!$S$40:$S$100,SUBSIDIO!B42,CUSTOS!$R$40:$R$100,"Potência"))</f>
        <v>0</v>
      </c>
      <c r="L42" s="4">
        <v>0</v>
      </c>
      <c r="M42" s="34">
        <f>L42*(1-SUMIFS(CUSTOS!$T$40:$T$100,CUSTOS!$O$40:$O$100,SUBSIDIO!G42,CUSTOS!$S$40:$S$100,SUBSIDIO!B42,CUSTOS!$R$40:$R$100,"Potência"))</f>
        <v>0</v>
      </c>
      <c r="N42" s="4">
        <v>1261.893</v>
      </c>
      <c r="O42" s="34">
        <f>N42*(1-SUMIFS(CUSTOS!$T$40:$T$100,CUSTOS!$O$40:$O$100,SUBSIDIO!G42,CUSTOS!$S$40:$S$100,SUBSIDIO!B42,CUSTOS!$R$40:$R$100,"Energia"))</f>
        <v>1261.893</v>
      </c>
      <c r="P42" s="4">
        <v>0</v>
      </c>
      <c r="Q42" s="3" t="s">
        <v>59</v>
      </c>
      <c r="R42" s="3">
        <v>5351</v>
      </c>
      <c r="S42" s="3">
        <v>0</v>
      </c>
      <c r="T42" s="3">
        <v>0</v>
      </c>
      <c r="U42" s="3">
        <v>78</v>
      </c>
      <c r="V42" s="4">
        <f>IF(ISERROR(VLOOKUP($S$42,'TAR FIN'!$A$1:$O$91,15,0)),0,VLOOKUP($S$42,'TAR FIN'!$A$1:$O$91,15,0))</f>
        <v>0</v>
      </c>
      <c r="W42" s="4">
        <f>IF(ISERROR(VLOOKUP($T$42,'TAR FIN'!$A$1:$O$91,15,0)),0,VLOOKUP($T$42,'TAR FIN'!$A$1:$O$91,15,0))</f>
        <v>0</v>
      </c>
      <c r="X42" s="4">
        <f>IF(ISERROR(VLOOKUP($U$42,'TAR FIN'!$A$1:$O$91,15,0)),0,VLOOKUP($U$42,'TAR FIN'!$A$1:$O$91,15,0))</f>
        <v>248.68</v>
      </c>
      <c r="Y42" s="4">
        <f ca="1">0.72*('TUSD BE'!$AM$9+'TUSD BF'!$AM$9+'TUSD CVA'!$AM$9)*1+('TUSD BE'!$AM$10+'TUSD BF'!$AM$10+'TUSD CVA'!$AM$10)*1</f>
        <v>53.149182930504139</v>
      </c>
      <c r="Z42" s="4">
        <f ca="1">('TUSD BE'!$AM$11+'TUSD BF'!$AM$11+'TUSD CVA'!$AM$11)*1</f>
        <v>8.9251920173408053</v>
      </c>
      <c r="AA42" s="4">
        <f>('TE BE'!$AB$8+'TE BF'!$AB$8+'TE CVA'!$AB$8)*1</f>
        <v>203.47604618827933</v>
      </c>
      <c r="AB42" s="4">
        <f t="shared" si="2"/>
        <v>0</v>
      </c>
      <c r="AC42" s="4">
        <f t="shared" si="6"/>
        <v>0</v>
      </c>
      <c r="AD42" s="4">
        <f t="shared" ca="1" si="4"/>
        <v>0</v>
      </c>
      <c r="AE42" s="4">
        <f t="shared" ca="1" si="7"/>
        <v>0</v>
      </c>
      <c r="AF42" s="3" t="s">
        <v>664</v>
      </c>
    </row>
    <row r="43" spans="1:32" ht="11.25" customHeight="1" x14ac:dyDescent="0.25">
      <c r="A43" s="3" t="s">
        <v>21</v>
      </c>
      <c r="B43" s="3" t="s">
        <v>35</v>
      </c>
      <c r="C43" s="3" t="s">
        <v>56</v>
      </c>
      <c r="D43" s="3" t="s">
        <v>25</v>
      </c>
      <c r="E43" s="3" t="s">
        <v>25</v>
      </c>
      <c r="F43" s="3" t="s">
        <v>57</v>
      </c>
      <c r="G43" s="3" t="s">
        <v>58</v>
      </c>
      <c r="H43" s="3" t="s">
        <v>25</v>
      </c>
      <c r="I43" s="6">
        <v>44593</v>
      </c>
      <c r="J43" s="4">
        <v>0</v>
      </c>
      <c r="K43" s="34">
        <f>J43*(1-SUMIFS(CUSTOS!$T$40:$T$100,CUSTOS!$O$40:$O$100,SUBSIDIO!G43,CUSTOS!$S$40:$S$100,SUBSIDIO!B43,CUSTOS!$R$40:$R$100,"Potência"))</f>
        <v>0</v>
      </c>
      <c r="L43" s="4">
        <v>0</v>
      </c>
      <c r="M43" s="34">
        <f>L43*(1-SUMIFS(CUSTOS!$T$40:$T$100,CUSTOS!$O$40:$O$100,SUBSIDIO!G43,CUSTOS!$S$40:$S$100,SUBSIDIO!B43,CUSTOS!$R$40:$R$100,"Potência"))</f>
        <v>0</v>
      </c>
      <c r="N43" s="4">
        <v>1131.1489999999999</v>
      </c>
      <c r="O43" s="34">
        <f>N43*(1-SUMIFS(CUSTOS!$T$40:$T$100,CUSTOS!$O$40:$O$100,SUBSIDIO!G43,CUSTOS!$S$40:$S$100,SUBSIDIO!B43,CUSTOS!$R$40:$R$100,"Energia"))</f>
        <v>1131.1489999999999</v>
      </c>
      <c r="P43" s="4">
        <v>0</v>
      </c>
      <c r="Q43" s="3" t="s">
        <v>59</v>
      </c>
      <c r="R43" s="3">
        <v>5351</v>
      </c>
      <c r="S43" s="3">
        <v>0</v>
      </c>
      <c r="T43" s="3">
        <v>0</v>
      </c>
      <c r="U43" s="3">
        <v>78</v>
      </c>
      <c r="V43" s="4">
        <f>IF(ISERROR(VLOOKUP($S$43,'TAR FIN'!$A$1:$O$91,15,0)),0,VLOOKUP($S$43,'TAR FIN'!$A$1:$O$91,15,0))</f>
        <v>0</v>
      </c>
      <c r="W43" s="4">
        <f>IF(ISERROR(VLOOKUP($T$43,'TAR FIN'!$A$1:$O$91,15,0)),0,VLOOKUP($T$43,'TAR FIN'!$A$1:$O$91,15,0))</f>
        <v>0</v>
      </c>
      <c r="X43" s="4">
        <f>IF(ISERROR(VLOOKUP($U$43,'TAR FIN'!$A$1:$O$91,15,0)),0,VLOOKUP($U$43,'TAR FIN'!$A$1:$O$91,15,0))</f>
        <v>248.68</v>
      </c>
      <c r="Y43" s="4">
        <f ca="1">0.72*('TUSD BE'!$AM$9+'TUSD BF'!$AM$9+'TUSD CVA'!$AM$9)*1+('TUSD BE'!$AM$10+'TUSD BF'!$AM$10+'TUSD CVA'!$AM$10)*1</f>
        <v>53.149182930504139</v>
      </c>
      <c r="Z43" s="4">
        <f ca="1">('TUSD BE'!$AM$11+'TUSD BF'!$AM$11+'TUSD CVA'!$AM$11)*1</f>
        <v>8.9251920173408053</v>
      </c>
      <c r="AA43" s="4">
        <f>('TE BE'!$AB$8+'TE BF'!$AB$8+'TE CVA'!$AB$8)*1</f>
        <v>203.47604618827933</v>
      </c>
      <c r="AB43" s="4">
        <f t="shared" si="2"/>
        <v>0</v>
      </c>
      <c r="AC43" s="4">
        <f t="shared" si="6"/>
        <v>0</v>
      </c>
      <c r="AD43" s="4">
        <f t="shared" ca="1" si="4"/>
        <v>0</v>
      </c>
      <c r="AE43" s="4">
        <f t="shared" ca="1" si="7"/>
        <v>0</v>
      </c>
      <c r="AF43" s="3" t="s">
        <v>664</v>
      </c>
    </row>
    <row r="44" spans="1:32" ht="11.25" customHeight="1" x14ac:dyDescent="0.25">
      <c r="A44" s="3" t="s">
        <v>21</v>
      </c>
      <c r="B44" s="3" t="s">
        <v>35</v>
      </c>
      <c r="C44" s="3" t="s">
        <v>56</v>
      </c>
      <c r="D44" s="3" t="s">
        <v>25</v>
      </c>
      <c r="E44" s="3" t="s">
        <v>25</v>
      </c>
      <c r="F44" s="3" t="s">
        <v>57</v>
      </c>
      <c r="G44" s="3" t="s">
        <v>58</v>
      </c>
      <c r="H44" s="3" t="s">
        <v>25</v>
      </c>
      <c r="I44" s="6">
        <v>44621</v>
      </c>
      <c r="J44" s="4">
        <v>0</v>
      </c>
      <c r="K44" s="34">
        <f>J44*(1-SUMIFS(CUSTOS!$T$40:$T$100,CUSTOS!$O$40:$O$100,SUBSIDIO!G44,CUSTOS!$S$40:$S$100,SUBSIDIO!B44,CUSTOS!$R$40:$R$100,"Potência"))</f>
        <v>0</v>
      </c>
      <c r="L44" s="4">
        <v>0</v>
      </c>
      <c r="M44" s="34">
        <f>L44*(1-SUMIFS(CUSTOS!$T$40:$T$100,CUSTOS!$O$40:$O$100,SUBSIDIO!G44,CUSTOS!$S$40:$S$100,SUBSIDIO!B44,CUSTOS!$R$40:$R$100,"Potência"))</f>
        <v>0</v>
      </c>
      <c r="N44" s="4">
        <v>1232.3889999999999</v>
      </c>
      <c r="O44" s="34">
        <f>N44*(1-SUMIFS(CUSTOS!$T$40:$T$100,CUSTOS!$O$40:$O$100,SUBSIDIO!G44,CUSTOS!$S$40:$S$100,SUBSIDIO!B44,CUSTOS!$R$40:$R$100,"Energia"))</f>
        <v>1232.3889999999999</v>
      </c>
      <c r="P44" s="4">
        <v>0</v>
      </c>
      <c r="Q44" s="3" t="s">
        <v>59</v>
      </c>
      <c r="R44" s="3">
        <v>5351</v>
      </c>
      <c r="S44" s="3">
        <v>0</v>
      </c>
      <c r="T44" s="3">
        <v>0</v>
      </c>
      <c r="U44" s="3">
        <v>78</v>
      </c>
      <c r="V44" s="4">
        <f>IF(ISERROR(VLOOKUP($S$44,'TAR FIN'!$A$1:$O$91,15,0)),0,VLOOKUP($S$44,'TAR FIN'!$A$1:$O$91,15,0))</f>
        <v>0</v>
      </c>
      <c r="W44" s="4">
        <f>IF(ISERROR(VLOOKUP($T$44,'TAR FIN'!$A$1:$O$91,15,0)),0,VLOOKUP($T$44,'TAR FIN'!$A$1:$O$91,15,0))</f>
        <v>0</v>
      </c>
      <c r="X44" s="4">
        <f>IF(ISERROR(VLOOKUP($U$44,'TAR FIN'!$A$1:$O$91,15,0)),0,VLOOKUP($U$44,'TAR FIN'!$A$1:$O$91,15,0))</f>
        <v>248.68</v>
      </c>
      <c r="Y44" s="4">
        <f ca="1">0.72*('TUSD BE'!$AM$9+'TUSD BF'!$AM$9+'TUSD CVA'!$AM$9)*1+('TUSD BE'!$AM$10+'TUSD BF'!$AM$10+'TUSD CVA'!$AM$10)*1</f>
        <v>53.149182930504139</v>
      </c>
      <c r="Z44" s="4">
        <f ca="1">('TUSD BE'!$AM$11+'TUSD BF'!$AM$11+'TUSD CVA'!$AM$11)*1</f>
        <v>8.9251920173408053</v>
      </c>
      <c r="AA44" s="4">
        <f>('TE BE'!$AB$8+'TE BF'!$AB$8+'TE CVA'!$AB$8)*1</f>
        <v>203.47604618827933</v>
      </c>
      <c r="AB44" s="4">
        <f t="shared" si="2"/>
        <v>0</v>
      </c>
      <c r="AC44" s="4">
        <f t="shared" si="6"/>
        <v>0</v>
      </c>
      <c r="AD44" s="4">
        <f t="shared" ca="1" si="4"/>
        <v>0</v>
      </c>
      <c r="AE44" s="4">
        <f t="shared" ca="1" si="7"/>
        <v>0</v>
      </c>
      <c r="AF44" s="3" t="s">
        <v>664</v>
      </c>
    </row>
    <row r="45" spans="1:32" ht="11.25" customHeight="1" x14ac:dyDescent="0.25">
      <c r="A45" s="3" t="s">
        <v>21</v>
      </c>
      <c r="B45" s="3" t="s">
        <v>35</v>
      </c>
      <c r="C45" s="3" t="s">
        <v>56</v>
      </c>
      <c r="D45" s="3" t="s">
        <v>25</v>
      </c>
      <c r="E45" s="3" t="s">
        <v>25</v>
      </c>
      <c r="F45" s="3" t="s">
        <v>57</v>
      </c>
      <c r="G45" s="3" t="s">
        <v>58</v>
      </c>
      <c r="H45" s="3" t="s">
        <v>25</v>
      </c>
      <c r="I45" s="6">
        <v>44652</v>
      </c>
      <c r="J45" s="4">
        <v>0</v>
      </c>
      <c r="K45" s="34">
        <f>J45*(1-SUMIFS(CUSTOS!$T$40:$T$100,CUSTOS!$O$40:$O$100,SUBSIDIO!G45,CUSTOS!$S$40:$S$100,SUBSIDIO!B45,CUSTOS!$R$40:$R$100,"Potência"))</f>
        <v>0</v>
      </c>
      <c r="L45" s="4">
        <v>0</v>
      </c>
      <c r="M45" s="34">
        <f>L45*(1-SUMIFS(CUSTOS!$T$40:$T$100,CUSTOS!$O$40:$O$100,SUBSIDIO!G45,CUSTOS!$S$40:$S$100,SUBSIDIO!B45,CUSTOS!$R$40:$R$100,"Potência"))</f>
        <v>0</v>
      </c>
      <c r="N45" s="4">
        <v>1130.751</v>
      </c>
      <c r="O45" s="34">
        <f>N45*(1-SUMIFS(CUSTOS!$T$40:$T$100,CUSTOS!$O$40:$O$100,SUBSIDIO!G45,CUSTOS!$S$40:$S$100,SUBSIDIO!B45,CUSTOS!$R$40:$R$100,"Energia"))</f>
        <v>1130.751</v>
      </c>
      <c r="P45" s="4">
        <v>0</v>
      </c>
      <c r="Q45" s="3" t="s">
        <v>59</v>
      </c>
      <c r="R45" s="3">
        <v>5351</v>
      </c>
      <c r="S45" s="3">
        <v>0</v>
      </c>
      <c r="T45" s="3">
        <v>0</v>
      </c>
      <c r="U45" s="3">
        <v>78</v>
      </c>
      <c r="V45" s="4">
        <f>IF(ISERROR(VLOOKUP($S$45,'TAR FIN'!$A$1:$O$91,15,0)),0,VLOOKUP($S$45,'TAR FIN'!$A$1:$O$91,15,0))</f>
        <v>0</v>
      </c>
      <c r="W45" s="4">
        <f>IF(ISERROR(VLOOKUP($T$45,'TAR FIN'!$A$1:$O$91,15,0)),0,VLOOKUP($T$45,'TAR FIN'!$A$1:$O$91,15,0))</f>
        <v>0</v>
      </c>
      <c r="X45" s="4">
        <f>IF(ISERROR(VLOOKUP($U$45,'TAR FIN'!$A$1:$O$91,15,0)),0,VLOOKUP($U$45,'TAR FIN'!$A$1:$O$91,15,0))</f>
        <v>248.68</v>
      </c>
      <c r="Y45" s="4">
        <f ca="1">0.72*('TUSD BE'!$AM$9+'TUSD BF'!$AM$9+'TUSD CVA'!$AM$9)*1+('TUSD BE'!$AM$10+'TUSD BF'!$AM$10+'TUSD CVA'!$AM$10)*1</f>
        <v>53.149182930504139</v>
      </c>
      <c r="Z45" s="4">
        <f ca="1">('TUSD BE'!$AM$11+'TUSD BF'!$AM$11+'TUSD CVA'!$AM$11)*1</f>
        <v>8.9251920173408053</v>
      </c>
      <c r="AA45" s="4">
        <f>('TE BE'!$AB$8+'TE BF'!$AB$8+'TE CVA'!$AB$8)*1</f>
        <v>203.47604618827933</v>
      </c>
      <c r="AB45" s="4">
        <f t="shared" si="2"/>
        <v>0</v>
      </c>
      <c r="AC45" s="4">
        <f t="shared" si="6"/>
        <v>0</v>
      </c>
      <c r="AD45" s="4">
        <f t="shared" ca="1" si="4"/>
        <v>0</v>
      </c>
      <c r="AE45" s="4">
        <f t="shared" ca="1" si="7"/>
        <v>0</v>
      </c>
      <c r="AF45" s="3" t="s">
        <v>664</v>
      </c>
    </row>
    <row r="46" spans="1:32" ht="11.25" customHeight="1" x14ac:dyDescent="0.25">
      <c r="A46" s="3" t="s">
        <v>21</v>
      </c>
      <c r="B46" s="3" t="s">
        <v>35</v>
      </c>
      <c r="C46" s="3" t="s">
        <v>56</v>
      </c>
      <c r="D46" s="3" t="s">
        <v>25</v>
      </c>
      <c r="E46" s="3" t="s">
        <v>25</v>
      </c>
      <c r="F46" s="3" t="s">
        <v>57</v>
      </c>
      <c r="G46" s="3" t="s">
        <v>58</v>
      </c>
      <c r="H46" s="3" t="s">
        <v>25</v>
      </c>
      <c r="I46" s="6">
        <v>44682</v>
      </c>
      <c r="J46" s="4">
        <v>0</v>
      </c>
      <c r="K46" s="34">
        <f>J46*(1-SUMIFS(CUSTOS!$T$40:$T$100,CUSTOS!$O$40:$O$100,SUBSIDIO!G46,CUSTOS!$S$40:$S$100,SUBSIDIO!B46,CUSTOS!$R$40:$R$100,"Potência"))</f>
        <v>0</v>
      </c>
      <c r="L46" s="4">
        <v>0</v>
      </c>
      <c r="M46" s="34">
        <f>L46*(1-SUMIFS(CUSTOS!$T$40:$T$100,CUSTOS!$O$40:$O$100,SUBSIDIO!G46,CUSTOS!$S$40:$S$100,SUBSIDIO!B46,CUSTOS!$R$40:$R$100,"Potência"))</f>
        <v>0</v>
      </c>
      <c r="N46" s="4">
        <v>1104.546</v>
      </c>
      <c r="O46" s="34">
        <f>N46*(1-SUMIFS(CUSTOS!$T$40:$T$100,CUSTOS!$O$40:$O$100,SUBSIDIO!G46,CUSTOS!$S$40:$S$100,SUBSIDIO!B46,CUSTOS!$R$40:$R$100,"Energia"))</f>
        <v>1104.546</v>
      </c>
      <c r="P46" s="4">
        <v>0</v>
      </c>
      <c r="Q46" s="3" t="s">
        <v>59</v>
      </c>
      <c r="R46" s="3">
        <v>5351</v>
      </c>
      <c r="S46" s="3">
        <v>0</v>
      </c>
      <c r="T46" s="3">
        <v>0</v>
      </c>
      <c r="U46" s="3">
        <v>78</v>
      </c>
      <c r="V46" s="4">
        <f>IF(ISERROR(VLOOKUP($S$46,'TAR FIN'!$A$1:$O$91,15,0)),0,VLOOKUP($S$46,'TAR FIN'!$A$1:$O$91,15,0))</f>
        <v>0</v>
      </c>
      <c r="W46" s="4">
        <f>IF(ISERROR(VLOOKUP($T$46,'TAR FIN'!$A$1:$O$91,15,0)),0,VLOOKUP($T$46,'TAR FIN'!$A$1:$O$91,15,0))</f>
        <v>0</v>
      </c>
      <c r="X46" s="4">
        <f>IF(ISERROR(VLOOKUP($U$46,'TAR FIN'!$A$1:$O$91,15,0)),0,VLOOKUP($U$46,'TAR FIN'!$A$1:$O$91,15,0))</f>
        <v>248.68</v>
      </c>
      <c r="Y46" s="4">
        <f ca="1">0.72*('TUSD BE'!$AM$9+'TUSD BF'!$AM$9+'TUSD CVA'!$AM$9)*1+('TUSD BE'!$AM$10+'TUSD BF'!$AM$10+'TUSD CVA'!$AM$10)*1</f>
        <v>53.149182930504139</v>
      </c>
      <c r="Z46" s="4">
        <f ca="1">('TUSD BE'!$AM$11+'TUSD BF'!$AM$11+'TUSD CVA'!$AM$11)*1</f>
        <v>8.9251920173408053</v>
      </c>
      <c r="AA46" s="4">
        <f>('TE BE'!$AB$8+'TE BF'!$AB$8+'TE CVA'!$AB$8)*1</f>
        <v>203.47604618827933</v>
      </c>
      <c r="AB46" s="4">
        <f t="shared" si="2"/>
        <v>0</v>
      </c>
      <c r="AC46" s="4">
        <f t="shared" si="6"/>
        <v>0</v>
      </c>
      <c r="AD46" s="4">
        <f t="shared" ca="1" si="4"/>
        <v>0</v>
      </c>
      <c r="AE46" s="4">
        <f t="shared" ca="1" si="7"/>
        <v>0</v>
      </c>
      <c r="AF46" s="3" t="s">
        <v>664</v>
      </c>
    </row>
    <row r="47" spans="1:32" ht="11.25" customHeight="1" x14ac:dyDescent="0.25">
      <c r="A47" s="3" t="s">
        <v>21</v>
      </c>
      <c r="B47" s="3" t="s">
        <v>35</v>
      </c>
      <c r="C47" s="3" t="s">
        <v>56</v>
      </c>
      <c r="D47" s="3" t="s">
        <v>25</v>
      </c>
      <c r="E47" s="3" t="s">
        <v>25</v>
      </c>
      <c r="F47" s="3" t="s">
        <v>57</v>
      </c>
      <c r="G47" s="3" t="s">
        <v>58</v>
      </c>
      <c r="H47" s="3" t="s">
        <v>25</v>
      </c>
      <c r="I47" s="6">
        <v>44713</v>
      </c>
      <c r="J47" s="4">
        <v>0</v>
      </c>
      <c r="K47" s="34">
        <f>J47*(1-SUMIFS(CUSTOS!$T$40:$T$100,CUSTOS!$O$40:$O$100,SUBSIDIO!G47,CUSTOS!$S$40:$S$100,SUBSIDIO!B47,CUSTOS!$R$40:$R$100,"Potência"))</f>
        <v>0</v>
      </c>
      <c r="L47" s="4">
        <v>0</v>
      </c>
      <c r="M47" s="34">
        <f>L47*(1-SUMIFS(CUSTOS!$T$40:$T$100,CUSTOS!$O$40:$O$100,SUBSIDIO!G47,CUSTOS!$S$40:$S$100,SUBSIDIO!B47,CUSTOS!$R$40:$R$100,"Potência"))</f>
        <v>0</v>
      </c>
      <c r="N47" s="4">
        <v>1194.6420000000001</v>
      </c>
      <c r="O47" s="34">
        <f>N47*(1-SUMIFS(CUSTOS!$T$40:$T$100,CUSTOS!$O$40:$O$100,SUBSIDIO!G47,CUSTOS!$S$40:$S$100,SUBSIDIO!B47,CUSTOS!$R$40:$R$100,"Energia"))</f>
        <v>1194.6420000000001</v>
      </c>
      <c r="P47" s="4">
        <v>0</v>
      </c>
      <c r="Q47" s="3" t="s">
        <v>59</v>
      </c>
      <c r="R47" s="3">
        <v>5351</v>
      </c>
      <c r="S47" s="3">
        <v>0</v>
      </c>
      <c r="T47" s="3">
        <v>0</v>
      </c>
      <c r="U47" s="3">
        <v>78</v>
      </c>
      <c r="V47" s="4">
        <f>IF(ISERROR(VLOOKUP($S$47,'TAR FIN'!$A$1:$O$91,15,0)),0,VLOOKUP($S$47,'TAR FIN'!$A$1:$O$91,15,0))</f>
        <v>0</v>
      </c>
      <c r="W47" s="4">
        <f>IF(ISERROR(VLOOKUP($T$47,'TAR FIN'!$A$1:$O$91,15,0)),0,VLOOKUP($T$47,'TAR FIN'!$A$1:$O$91,15,0))</f>
        <v>0</v>
      </c>
      <c r="X47" s="4">
        <f>IF(ISERROR(VLOOKUP($U$47,'TAR FIN'!$A$1:$O$91,15,0)),0,VLOOKUP($U$47,'TAR FIN'!$A$1:$O$91,15,0))</f>
        <v>248.68</v>
      </c>
      <c r="Y47" s="4">
        <f ca="1">0.72*('TUSD BE'!$AM$9+'TUSD BF'!$AM$9+'TUSD CVA'!$AM$9)*1+('TUSD BE'!$AM$10+'TUSD BF'!$AM$10+'TUSD CVA'!$AM$10)*1</f>
        <v>53.149182930504139</v>
      </c>
      <c r="Z47" s="4">
        <f ca="1">('TUSD BE'!$AM$11+'TUSD BF'!$AM$11+'TUSD CVA'!$AM$11)*1</f>
        <v>8.9251920173408053</v>
      </c>
      <c r="AA47" s="4">
        <f>('TE BE'!$AB$8+'TE BF'!$AB$8+'TE CVA'!$AB$8)*1</f>
        <v>203.47604618827933</v>
      </c>
      <c r="AB47" s="4">
        <f t="shared" si="2"/>
        <v>0</v>
      </c>
      <c r="AC47" s="4">
        <f t="shared" si="6"/>
        <v>0</v>
      </c>
      <c r="AD47" s="4">
        <f t="shared" ca="1" si="4"/>
        <v>0</v>
      </c>
      <c r="AE47" s="4">
        <f t="shared" ca="1" si="7"/>
        <v>0</v>
      </c>
      <c r="AF47" s="3" t="s">
        <v>664</v>
      </c>
    </row>
    <row r="48" spans="1:32" ht="11.25" customHeight="1" x14ac:dyDescent="0.25">
      <c r="A48" s="3" t="s">
        <v>21</v>
      </c>
      <c r="B48" s="3" t="s">
        <v>35</v>
      </c>
      <c r="C48" s="3" t="s">
        <v>56</v>
      </c>
      <c r="D48" s="3" t="s">
        <v>25</v>
      </c>
      <c r="E48" s="3" t="s">
        <v>25</v>
      </c>
      <c r="F48" s="3" t="s">
        <v>57</v>
      </c>
      <c r="G48" s="3" t="s">
        <v>58</v>
      </c>
      <c r="H48" s="3" t="s">
        <v>25</v>
      </c>
      <c r="I48" s="6">
        <v>44743</v>
      </c>
      <c r="J48" s="4">
        <v>0</v>
      </c>
      <c r="K48" s="34">
        <f>J48*(1-SUMIFS(CUSTOS!$T$40:$T$100,CUSTOS!$O$40:$O$100,SUBSIDIO!G48,CUSTOS!$S$40:$S$100,SUBSIDIO!B48,CUSTOS!$R$40:$R$100,"Potência"))</f>
        <v>0</v>
      </c>
      <c r="L48" s="4">
        <v>0</v>
      </c>
      <c r="M48" s="34">
        <f>L48*(1-SUMIFS(CUSTOS!$T$40:$T$100,CUSTOS!$O$40:$O$100,SUBSIDIO!G48,CUSTOS!$S$40:$S$100,SUBSIDIO!B48,CUSTOS!$R$40:$R$100,"Potência"))</f>
        <v>0</v>
      </c>
      <c r="N48" s="4">
        <v>1172.8879999999999</v>
      </c>
      <c r="O48" s="34">
        <f>N48*(1-SUMIFS(CUSTOS!$T$40:$T$100,CUSTOS!$O$40:$O$100,SUBSIDIO!G48,CUSTOS!$S$40:$S$100,SUBSIDIO!B48,CUSTOS!$R$40:$R$100,"Energia"))</f>
        <v>1172.8879999999999</v>
      </c>
      <c r="P48" s="4">
        <v>0</v>
      </c>
      <c r="Q48" s="3" t="s">
        <v>59</v>
      </c>
      <c r="R48" s="3">
        <v>5351</v>
      </c>
      <c r="S48" s="3">
        <v>0</v>
      </c>
      <c r="T48" s="3">
        <v>0</v>
      </c>
      <c r="U48" s="3">
        <v>78</v>
      </c>
      <c r="V48" s="4">
        <f>IF(ISERROR(VLOOKUP($S$48,'TAR FIN'!$A$1:$O$91,15,0)),0,VLOOKUP($S$48,'TAR FIN'!$A$1:$O$91,15,0))</f>
        <v>0</v>
      </c>
      <c r="W48" s="4">
        <f>IF(ISERROR(VLOOKUP($T$48,'TAR FIN'!$A$1:$O$91,15,0)),0,VLOOKUP($T$48,'TAR FIN'!$A$1:$O$91,15,0))</f>
        <v>0</v>
      </c>
      <c r="X48" s="4">
        <f>IF(ISERROR(VLOOKUP($U$48,'TAR FIN'!$A$1:$O$91,15,0)),0,VLOOKUP($U$48,'TAR FIN'!$A$1:$O$91,15,0))</f>
        <v>248.68</v>
      </c>
      <c r="Y48" s="4">
        <f ca="1">0.72*('TUSD BE'!$AM$9+'TUSD BF'!$AM$9+'TUSD CVA'!$AM$9)*1+('TUSD BE'!$AM$10+'TUSD BF'!$AM$10+'TUSD CVA'!$AM$10)*1</f>
        <v>53.149182930504139</v>
      </c>
      <c r="Z48" s="4">
        <f ca="1">('TUSD BE'!$AM$11+'TUSD BF'!$AM$11+'TUSD CVA'!$AM$11)*1</f>
        <v>8.9251920173408053</v>
      </c>
      <c r="AA48" s="4">
        <f>('TE BE'!$AB$8+'TE BF'!$AB$8+'TE CVA'!$AB$8)*1</f>
        <v>203.47604618827933</v>
      </c>
      <c r="AB48" s="4">
        <f t="shared" si="2"/>
        <v>0</v>
      </c>
      <c r="AC48" s="4">
        <f t="shared" si="6"/>
        <v>0</v>
      </c>
      <c r="AD48" s="4">
        <f t="shared" ca="1" si="4"/>
        <v>0</v>
      </c>
      <c r="AE48" s="4">
        <f t="shared" ca="1" si="7"/>
        <v>0</v>
      </c>
      <c r="AF48" s="3" t="s">
        <v>664</v>
      </c>
    </row>
    <row r="49" spans="1:32" ht="11.25" customHeight="1" x14ac:dyDescent="0.25">
      <c r="A49" s="3" t="s">
        <v>21</v>
      </c>
      <c r="B49" s="3" t="s">
        <v>35</v>
      </c>
      <c r="C49" s="3" t="s">
        <v>56</v>
      </c>
      <c r="D49" s="3" t="s">
        <v>25</v>
      </c>
      <c r="E49" s="3" t="s">
        <v>25</v>
      </c>
      <c r="F49" s="3" t="s">
        <v>57</v>
      </c>
      <c r="G49" s="3" t="s">
        <v>58</v>
      </c>
      <c r="H49" s="3" t="s">
        <v>25</v>
      </c>
      <c r="I49" s="6">
        <v>44774</v>
      </c>
      <c r="J49" s="4">
        <v>0</v>
      </c>
      <c r="K49" s="34">
        <f>J49*(1-SUMIFS(CUSTOS!$T$40:$T$100,CUSTOS!$O$40:$O$100,SUBSIDIO!G49,CUSTOS!$S$40:$S$100,SUBSIDIO!B49,CUSTOS!$R$40:$R$100,"Potência"))</f>
        <v>0</v>
      </c>
      <c r="L49" s="4">
        <v>0</v>
      </c>
      <c r="M49" s="34">
        <f>L49*(1-SUMIFS(CUSTOS!$T$40:$T$100,CUSTOS!$O$40:$O$100,SUBSIDIO!G49,CUSTOS!$S$40:$S$100,SUBSIDIO!B49,CUSTOS!$R$40:$R$100,"Potência"))</f>
        <v>0</v>
      </c>
      <c r="N49" s="4">
        <v>1179.9749999999999</v>
      </c>
      <c r="O49" s="34">
        <f>N49*(1-SUMIFS(CUSTOS!$T$40:$T$100,CUSTOS!$O$40:$O$100,SUBSIDIO!G49,CUSTOS!$S$40:$S$100,SUBSIDIO!B49,CUSTOS!$R$40:$R$100,"Energia"))</f>
        <v>1179.9749999999999</v>
      </c>
      <c r="P49" s="4">
        <v>0</v>
      </c>
      <c r="Q49" s="3" t="s">
        <v>59</v>
      </c>
      <c r="R49" s="3">
        <v>5351</v>
      </c>
      <c r="S49" s="3">
        <v>0</v>
      </c>
      <c r="T49" s="3">
        <v>0</v>
      </c>
      <c r="U49" s="3">
        <v>78</v>
      </c>
      <c r="V49" s="4">
        <f>IF(ISERROR(VLOOKUP($S$49,'TAR FIN'!$A$1:$O$91,15,0)),0,VLOOKUP($S$49,'TAR FIN'!$A$1:$O$91,15,0))</f>
        <v>0</v>
      </c>
      <c r="W49" s="4">
        <f>IF(ISERROR(VLOOKUP($T$49,'TAR FIN'!$A$1:$O$91,15,0)),0,VLOOKUP($T$49,'TAR FIN'!$A$1:$O$91,15,0))</f>
        <v>0</v>
      </c>
      <c r="X49" s="4">
        <f>IF(ISERROR(VLOOKUP($U$49,'TAR FIN'!$A$1:$O$91,15,0)),0,VLOOKUP($U$49,'TAR FIN'!$A$1:$O$91,15,0))</f>
        <v>248.68</v>
      </c>
      <c r="Y49" s="4">
        <f ca="1">0.72*('TUSD BE'!$AM$9+'TUSD BF'!$AM$9+'TUSD CVA'!$AM$9)*1+('TUSD BE'!$AM$10+'TUSD BF'!$AM$10+'TUSD CVA'!$AM$10)*1</f>
        <v>53.149182930504139</v>
      </c>
      <c r="Z49" s="4">
        <f ca="1">('TUSD BE'!$AM$11+'TUSD BF'!$AM$11+'TUSD CVA'!$AM$11)*1</f>
        <v>8.9251920173408053</v>
      </c>
      <c r="AA49" s="4">
        <f>('TE BE'!$AB$8+'TE BF'!$AB$8+'TE CVA'!$AB$8)*1</f>
        <v>203.47604618827933</v>
      </c>
      <c r="AB49" s="4">
        <f t="shared" si="2"/>
        <v>0</v>
      </c>
      <c r="AC49" s="4">
        <f t="shared" si="6"/>
        <v>0</v>
      </c>
      <c r="AD49" s="4">
        <f t="shared" ca="1" si="4"/>
        <v>0</v>
      </c>
      <c r="AE49" s="4">
        <f t="shared" ca="1" si="7"/>
        <v>0</v>
      </c>
      <c r="AF49" s="3" t="s">
        <v>664</v>
      </c>
    </row>
    <row r="50" spans="1:32" ht="11.25" customHeight="1" x14ac:dyDescent="0.25">
      <c r="A50" s="3" t="s">
        <v>21</v>
      </c>
      <c r="B50" s="3" t="s">
        <v>35</v>
      </c>
      <c r="C50" s="3" t="s">
        <v>56</v>
      </c>
      <c r="D50" s="3" t="s">
        <v>25</v>
      </c>
      <c r="E50" s="3" t="s">
        <v>25</v>
      </c>
      <c r="F50" s="3" t="s">
        <v>57</v>
      </c>
      <c r="G50" s="3" t="s">
        <v>58</v>
      </c>
      <c r="H50" s="3" t="s">
        <v>37</v>
      </c>
      <c r="I50" s="6">
        <v>44440</v>
      </c>
      <c r="J50" s="4">
        <v>2450</v>
      </c>
      <c r="K50" s="34">
        <f>J50*(1-SUMIFS(CUSTOS!$T$40:$T$100,CUSTOS!$O$40:$O$100,SUBSIDIO!G50,CUSTOS!$S$40:$S$100,SUBSIDIO!B50,CUSTOS!$R$40:$R$100,"Potência"))</f>
        <v>2450</v>
      </c>
      <c r="L50" s="4">
        <v>91.91</v>
      </c>
      <c r="M50" s="34">
        <f>L50*(1-SUMIFS(CUSTOS!$T$40:$T$100,CUSTOS!$O$40:$O$100,SUBSIDIO!G50,CUSTOS!$S$40:$S$100,SUBSIDIO!B50,CUSTOS!$R$40:$R$100,"Potência"))</f>
        <v>91.91</v>
      </c>
      <c r="N50" s="4">
        <v>0</v>
      </c>
      <c r="O50" s="34">
        <f>N50*(1-SUMIFS(CUSTOS!$T$40:$T$100,CUSTOS!$O$40:$O$100,SUBSIDIO!G50,CUSTOS!$S$40:$S$100,SUBSIDIO!B50,CUSTOS!$R$40:$R$100,"Energia"))</f>
        <v>0</v>
      </c>
      <c r="P50" s="4">
        <v>0</v>
      </c>
      <c r="Q50" s="3" t="s">
        <v>59</v>
      </c>
      <c r="R50" s="3">
        <v>5351</v>
      </c>
      <c r="S50" s="3">
        <v>15</v>
      </c>
      <c r="T50" s="3">
        <v>1</v>
      </c>
      <c r="U50" s="3">
        <v>0</v>
      </c>
      <c r="V50" s="4">
        <f>IF(ISERROR(VLOOKUP($S$50,'TAR FIN'!$A$1:$O$91,15,0)),0,VLOOKUP($S$50,'TAR FIN'!$A$1:$O$91,15,0))</f>
        <v>43.03</v>
      </c>
      <c r="W50" s="4">
        <f>IF(ISERROR(VLOOKUP($T$50,'TAR FIN'!$A$1:$O$91,15,0)),0,VLOOKUP($T$50,'TAR FIN'!$A$1:$O$91,15,0))</f>
        <v>10.52</v>
      </c>
      <c r="X50" s="4">
        <f>IF(ISERROR(VLOOKUP($U$50,'TAR FIN'!$A$1:$O$91,15,0)),0,VLOOKUP($U$50,'TAR FIN'!$A$1:$O$91,15,0))</f>
        <v>0</v>
      </c>
      <c r="Y50" s="4">
        <f ca="1">('TUSD BE'!$AM$9+'TUSD BF'!$AM$9+'TUSD CVA'!$AM$9)*1</f>
        <v>50.402908350943179</v>
      </c>
      <c r="Z50" s="4">
        <f ca="1">('TUSD BE'!$AM$11+'TUSD BF'!$AM$11+'TUSD CVA'!$AM$11)*1</f>
        <v>8.9251920173408053</v>
      </c>
      <c r="AA50" s="4">
        <f>('TE BE'!$AB$8+'TE BF'!$AB$8+'TE CVA'!$AB$8)*1</f>
        <v>203.47604618827933</v>
      </c>
      <c r="AB50" s="4">
        <f t="shared" si="2"/>
        <v>0</v>
      </c>
      <c r="AC50" s="4">
        <f t="shared" si="6"/>
        <v>0</v>
      </c>
      <c r="AD50" s="4">
        <f t="shared" ca="1" si="4"/>
        <v>0</v>
      </c>
      <c r="AE50" s="4">
        <f t="shared" ca="1" si="7"/>
        <v>0</v>
      </c>
      <c r="AF50" s="3" t="s">
        <v>664</v>
      </c>
    </row>
    <row r="51" spans="1:32" ht="11.25" customHeight="1" x14ac:dyDescent="0.25">
      <c r="A51" s="3" t="s">
        <v>21</v>
      </c>
      <c r="B51" s="3" t="s">
        <v>35</v>
      </c>
      <c r="C51" s="3" t="s">
        <v>56</v>
      </c>
      <c r="D51" s="3" t="s">
        <v>25</v>
      </c>
      <c r="E51" s="3" t="s">
        <v>25</v>
      </c>
      <c r="F51" s="3" t="s">
        <v>57</v>
      </c>
      <c r="G51" s="3" t="s">
        <v>58</v>
      </c>
      <c r="H51" s="3" t="s">
        <v>37</v>
      </c>
      <c r="I51" s="6">
        <v>44470</v>
      </c>
      <c r="J51" s="4">
        <v>2450</v>
      </c>
      <c r="K51" s="34">
        <f>J51*(1-SUMIFS(CUSTOS!$T$40:$T$100,CUSTOS!$O$40:$O$100,SUBSIDIO!G51,CUSTOS!$S$40:$S$100,SUBSIDIO!B51,CUSTOS!$R$40:$R$100,"Potência"))</f>
        <v>2450</v>
      </c>
      <c r="L51" s="4">
        <v>70.344999999999999</v>
      </c>
      <c r="M51" s="34">
        <f>L51*(1-SUMIFS(CUSTOS!$T$40:$T$100,CUSTOS!$O$40:$O$100,SUBSIDIO!G51,CUSTOS!$S$40:$S$100,SUBSIDIO!B51,CUSTOS!$R$40:$R$100,"Potência"))</f>
        <v>70.344999999999999</v>
      </c>
      <c r="N51" s="4">
        <v>0</v>
      </c>
      <c r="O51" s="34">
        <f>N51*(1-SUMIFS(CUSTOS!$T$40:$T$100,CUSTOS!$O$40:$O$100,SUBSIDIO!G51,CUSTOS!$S$40:$S$100,SUBSIDIO!B51,CUSTOS!$R$40:$R$100,"Energia"))</f>
        <v>0</v>
      </c>
      <c r="P51" s="4">
        <v>0</v>
      </c>
      <c r="Q51" s="3" t="s">
        <v>59</v>
      </c>
      <c r="R51" s="3">
        <v>5351</v>
      </c>
      <c r="S51" s="3">
        <v>15</v>
      </c>
      <c r="T51" s="3">
        <v>1</v>
      </c>
      <c r="U51" s="3">
        <v>0</v>
      </c>
      <c r="V51" s="4">
        <f>IF(ISERROR(VLOOKUP($S$51,'TAR FIN'!$A$1:$O$91,15,0)),0,VLOOKUP($S$51,'TAR FIN'!$A$1:$O$91,15,0))</f>
        <v>43.03</v>
      </c>
      <c r="W51" s="4">
        <f>IF(ISERROR(VLOOKUP($T$51,'TAR FIN'!$A$1:$O$91,15,0)),0,VLOOKUP($T$51,'TAR FIN'!$A$1:$O$91,15,0))</f>
        <v>10.52</v>
      </c>
      <c r="X51" s="4">
        <f>IF(ISERROR(VLOOKUP($U$51,'TAR FIN'!$A$1:$O$91,15,0)),0,VLOOKUP($U$51,'TAR FIN'!$A$1:$O$91,15,0))</f>
        <v>0</v>
      </c>
      <c r="Y51" s="4">
        <f ca="1">('TUSD BE'!$AM$9+'TUSD BF'!$AM$9+'TUSD CVA'!$AM$9)*1</f>
        <v>50.402908350943179</v>
      </c>
      <c r="Z51" s="4">
        <f ca="1">('TUSD BE'!$AM$11+'TUSD BF'!$AM$11+'TUSD CVA'!$AM$11)*1</f>
        <v>8.9251920173408053</v>
      </c>
      <c r="AA51" s="4">
        <f>('TE BE'!$AB$8+'TE BF'!$AB$8+'TE CVA'!$AB$8)*1</f>
        <v>203.47604618827933</v>
      </c>
      <c r="AB51" s="4">
        <f t="shared" si="2"/>
        <v>0</v>
      </c>
      <c r="AC51" s="4">
        <f t="shared" si="6"/>
        <v>0</v>
      </c>
      <c r="AD51" s="4">
        <f t="shared" ca="1" si="4"/>
        <v>0</v>
      </c>
      <c r="AE51" s="4">
        <f t="shared" ca="1" si="7"/>
        <v>0</v>
      </c>
      <c r="AF51" s="3" t="s">
        <v>664</v>
      </c>
    </row>
    <row r="52" spans="1:32" ht="11.25" customHeight="1" x14ac:dyDescent="0.25">
      <c r="A52" s="3" t="s">
        <v>21</v>
      </c>
      <c r="B52" s="3" t="s">
        <v>35</v>
      </c>
      <c r="C52" s="3" t="s">
        <v>56</v>
      </c>
      <c r="D52" s="3" t="s">
        <v>25</v>
      </c>
      <c r="E52" s="3" t="s">
        <v>25</v>
      </c>
      <c r="F52" s="3" t="s">
        <v>57</v>
      </c>
      <c r="G52" s="3" t="s">
        <v>58</v>
      </c>
      <c r="H52" s="3" t="s">
        <v>37</v>
      </c>
      <c r="I52" s="6">
        <v>44501</v>
      </c>
      <c r="J52" s="4">
        <v>2450</v>
      </c>
      <c r="K52" s="34">
        <f>J52*(1-SUMIFS(CUSTOS!$T$40:$T$100,CUSTOS!$O$40:$O$100,SUBSIDIO!G52,CUSTOS!$S$40:$S$100,SUBSIDIO!B52,CUSTOS!$R$40:$R$100,"Potência"))</f>
        <v>2450</v>
      </c>
      <c r="L52" s="4">
        <v>75.930999999999997</v>
      </c>
      <c r="M52" s="34">
        <f>L52*(1-SUMIFS(CUSTOS!$T$40:$T$100,CUSTOS!$O$40:$O$100,SUBSIDIO!G52,CUSTOS!$S$40:$S$100,SUBSIDIO!B52,CUSTOS!$R$40:$R$100,"Potência"))</f>
        <v>75.930999999999997</v>
      </c>
      <c r="N52" s="4">
        <v>0</v>
      </c>
      <c r="O52" s="34">
        <f>N52*(1-SUMIFS(CUSTOS!$T$40:$T$100,CUSTOS!$O$40:$O$100,SUBSIDIO!G52,CUSTOS!$S$40:$S$100,SUBSIDIO!B52,CUSTOS!$R$40:$R$100,"Energia"))</f>
        <v>0</v>
      </c>
      <c r="P52" s="4">
        <v>0</v>
      </c>
      <c r="Q52" s="3" t="s">
        <v>59</v>
      </c>
      <c r="R52" s="3">
        <v>5351</v>
      </c>
      <c r="S52" s="3">
        <v>15</v>
      </c>
      <c r="T52" s="3">
        <v>1</v>
      </c>
      <c r="U52" s="3">
        <v>0</v>
      </c>
      <c r="V52" s="4">
        <f>IF(ISERROR(VLOOKUP($S$52,'TAR FIN'!$A$1:$O$91,15,0)),0,VLOOKUP($S$52,'TAR FIN'!$A$1:$O$91,15,0))</f>
        <v>43.03</v>
      </c>
      <c r="W52" s="4">
        <f>IF(ISERROR(VLOOKUP($T$52,'TAR FIN'!$A$1:$O$91,15,0)),0,VLOOKUP($T$52,'TAR FIN'!$A$1:$O$91,15,0))</f>
        <v>10.52</v>
      </c>
      <c r="X52" s="4">
        <f>IF(ISERROR(VLOOKUP($U$52,'TAR FIN'!$A$1:$O$91,15,0)),0,VLOOKUP($U$52,'TAR FIN'!$A$1:$O$91,15,0))</f>
        <v>0</v>
      </c>
      <c r="Y52" s="4">
        <f ca="1">('TUSD BE'!$AM$9+'TUSD BF'!$AM$9+'TUSD CVA'!$AM$9)*1</f>
        <v>50.402908350943179</v>
      </c>
      <c r="Z52" s="4">
        <f ca="1">('TUSD BE'!$AM$11+'TUSD BF'!$AM$11+'TUSD CVA'!$AM$11)*1</f>
        <v>8.9251920173408053</v>
      </c>
      <c r="AA52" s="4">
        <f>('TE BE'!$AB$8+'TE BF'!$AB$8+'TE CVA'!$AB$8)*1</f>
        <v>203.47604618827933</v>
      </c>
      <c r="AB52" s="4">
        <f t="shared" si="2"/>
        <v>0</v>
      </c>
      <c r="AC52" s="4">
        <f t="shared" si="6"/>
        <v>0</v>
      </c>
      <c r="AD52" s="4">
        <f t="shared" ca="1" si="4"/>
        <v>0</v>
      </c>
      <c r="AE52" s="4">
        <f t="shared" ca="1" si="7"/>
        <v>0</v>
      </c>
      <c r="AF52" s="3" t="s">
        <v>664</v>
      </c>
    </row>
    <row r="53" spans="1:32" ht="11.25" customHeight="1" x14ac:dyDescent="0.25">
      <c r="A53" s="3" t="s">
        <v>21</v>
      </c>
      <c r="B53" s="3" t="s">
        <v>35</v>
      </c>
      <c r="C53" s="3" t="s">
        <v>56</v>
      </c>
      <c r="D53" s="3" t="s">
        <v>25</v>
      </c>
      <c r="E53" s="3" t="s">
        <v>25</v>
      </c>
      <c r="F53" s="3" t="s">
        <v>57</v>
      </c>
      <c r="G53" s="3" t="s">
        <v>58</v>
      </c>
      <c r="H53" s="3" t="s">
        <v>37</v>
      </c>
      <c r="I53" s="6">
        <v>44531</v>
      </c>
      <c r="J53" s="4">
        <v>2450</v>
      </c>
      <c r="K53" s="34">
        <f>J53*(1-SUMIFS(CUSTOS!$T$40:$T$100,CUSTOS!$O$40:$O$100,SUBSIDIO!G53,CUSTOS!$S$40:$S$100,SUBSIDIO!B53,CUSTOS!$R$40:$R$100,"Potência"))</f>
        <v>2450</v>
      </c>
      <c r="L53" s="4">
        <v>90.515000000000001</v>
      </c>
      <c r="M53" s="34">
        <f>L53*(1-SUMIFS(CUSTOS!$T$40:$T$100,CUSTOS!$O$40:$O$100,SUBSIDIO!G53,CUSTOS!$S$40:$S$100,SUBSIDIO!B53,CUSTOS!$R$40:$R$100,"Potência"))</f>
        <v>90.515000000000001</v>
      </c>
      <c r="N53" s="4">
        <v>0</v>
      </c>
      <c r="O53" s="34">
        <f>N53*(1-SUMIFS(CUSTOS!$T$40:$T$100,CUSTOS!$O$40:$O$100,SUBSIDIO!G53,CUSTOS!$S$40:$S$100,SUBSIDIO!B53,CUSTOS!$R$40:$R$100,"Energia"))</f>
        <v>0</v>
      </c>
      <c r="P53" s="4">
        <v>0</v>
      </c>
      <c r="Q53" s="3" t="s">
        <v>59</v>
      </c>
      <c r="R53" s="3">
        <v>5351</v>
      </c>
      <c r="S53" s="3">
        <v>15</v>
      </c>
      <c r="T53" s="3">
        <v>1</v>
      </c>
      <c r="U53" s="3">
        <v>0</v>
      </c>
      <c r="V53" s="4">
        <f>IF(ISERROR(VLOOKUP($S$53,'TAR FIN'!$A$1:$O$91,15,0)),0,VLOOKUP($S$53,'TAR FIN'!$A$1:$O$91,15,0))</f>
        <v>43.03</v>
      </c>
      <c r="W53" s="4">
        <f>IF(ISERROR(VLOOKUP($T$53,'TAR FIN'!$A$1:$O$91,15,0)),0,VLOOKUP($T$53,'TAR FIN'!$A$1:$O$91,15,0))</f>
        <v>10.52</v>
      </c>
      <c r="X53" s="4">
        <f>IF(ISERROR(VLOOKUP($U$53,'TAR FIN'!$A$1:$O$91,15,0)),0,VLOOKUP($U$53,'TAR FIN'!$A$1:$O$91,15,0))</f>
        <v>0</v>
      </c>
      <c r="Y53" s="4">
        <f ca="1">('TUSD BE'!$AM$9+'TUSD BF'!$AM$9+'TUSD CVA'!$AM$9)*1</f>
        <v>50.402908350943179</v>
      </c>
      <c r="Z53" s="4">
        <f ca="1">('TUSD BE'!$AM$11+'TUSD BF'!$AM$11+'TUSD CVA'!$AM$11)*1</f>
        <v>8.9251920173408053</v>
      </c>
      <c r="AA53" s="4">
        <f>('TE BE'!$AB$8+'TE BF'!$AB$8+'TE CVA'!$AB$8)*1</f>
        <v>203.47604618827933</v>
      </c>
      <c r="AB53" s="4">
        <f t="shared" si="2"/>
        <v>0</v>
      </c>
      <c r="AC53" s="4">
        <f t="shared" si="6"/>
        <v>0</v>
      </c>
      <c r="AD53" s="4">
        <f t="shared" ca="1" si="4"/>
        <v>0</v>
      </c>
      <c r="AE53" s="4">
        <f t="shared" ca="1" si="7"/>
        <v>0</v>
      </c>
      <c r="AF53" s="3" t="s">
        <v>664</v>
      </c>
    </row>
    <row r="54" spans="1:32" ht="11.25" customHeight="1" x14ac:dyDescent="0.25">
      <c r="A54" s="3" t="s">
        <v>21</v>
      </c>
      <c r="B54" s="3" t="s">
        <v>35</v>
      </c>
      <c r="C54" s="3" t="s">
        <v>56</v>
      </c>
      <c r="D54" s="3" t="s">
        <v>25</v>
      </c>
      <c r="E54" s="3" t="s">
        <v>25</v>
      </c>
      <c r="F54" s="3" t="s">
        <v>57</v>
      </c>
      <c r="G54" s="3" t="s">
        <v>58</v>
      </c>
      <c r="H54" s="3" t="s">
        <v>37</v>
      </c>
      <c r="I54" s="6">
        <v>44562</v>
      </c>
      <c r="J54" s="4">
        <v>2450</v>
      </c>
      <c r="K54" s="34">
        <f>J54*(1-SUMIFS(CUSTOS!$T$40:$T$100,CUSTOS!$O$40:$O$100,SUBSIDIO!G54,CUSTOS!$S$40:$S$100,SUBSIDIO!B54,CUSTOS!$R$40:$R$100,"Potência"))</f>
        <v>2450</v>
      </c>
      <c r="L54" s="4">
        <v>93.067999999999998</v>
      </c>
      <c r="M54" s="34">
        <f>L54*(1-SUMIFS(CUSTOS!$T$40:$T$100,CUSTOS!$O$40:$O$100,SUBSIDIO!G54,CUSTOS!$S$40:$S$100,SUBSIDIO!B54,CUSTOS!$R$40:$R$100,"Potência"))</f>
        <v>93.067999999999998</v>
      </c>
      <c r="N54" s="4">
        <v>0</v>
      </c>
      <c r="O54" s="34">
        <f>N54*(1-SUMIFS(CUSTOS!$T$40:$T$100,CUSTOS!$O$40:$O$100,SUBSIDIO!G54,CUSTOS!$S$40:$S$100,SUBSIDIO!B54,CUSTOS!$R$40:$R$100,"Energia"))</f>
        <v>0</v>
      </c>
      <c r="P54" s="4">
        <v>0</v>
      </c>
      <c r="Q54" s="3" t="s">
        <v>59</v>
      </c>
      <c r="R54" s="3">
        <v>5351</v>
      </c>
      <c r="S54" s="3">
        <v>15</v>
      </c>
      <c r="T54" s="3">
        <v>1</v>
      </c>
      <c r="U54" s="3">
        <v>0</v>
      </c>
      <c r="V54" s="4">
        <f>IF(ISERROR(VLOOKUP($S$54,'TAR FIN'!$A$1:$O$91,15,0)),0,VLOOKUP($S$54,'TAR FIN'!$A$1:$O$91,15,0))</f>
        <v>43.03</v>
      </c>
      <c r="W54" s="4">
        <f>IF(ISERROR(VLOOKUP($T$54,'TAR FIN'!$A$1:$O$91,15,0)),0,VLOOKUP($T$54,'TAR FIN'!$A$1:$O$91,15,0))</f>
        <v>10.52</v>
      </c>
      <c r="X54" s="4">
        <f>IF(ISERROR(VLOOKUP($U$54,'TAR FIN'!$A$1:$O$91,15,0)),0,VLOOKUP($U$54,'TAR FIN'!$A$1:$O$91,15,0))</f>
        <v>0</v>
      </c>
      <c r="Y54" s="4">
        <f ca="1">('TUSD BE'!$AM$9+'TUSD BF'!$AM$9+'TUSD CVA'!$AM$9)*1</f>
        <v>50.402908350943179</v>
      </c>
      <c r="Z54" s="4">
        <f ca="1">('TUSD BE'!$AM$11+'TUSD BF'!$AM$11+'TUSD CVA'!$AM$11)*1</f>
        <v>8.9251920173408053</v>
      </c>
      <c r="AA54" s="4">
        <f>('TE BE'!$AB$8+'TE BF'!$AB$8+'TE CVA'!$AB$8)*1</f>
        <v>203.47604618827933</v>
      </c>
      <c r="AB54" s="4">
        <f t="shared" si="2"/>
        <v>0</v>
      </c>
      <c r="AC54" s="4">
        <f t="shared" si="6"/>
        <v>0</v>
      </c>
      <c r="AD54" s="4">
        <f t="shared" ca="1" si="4"/>
        <v>0</v>
      </c>
      <c r="AE54" s="4">
        <f t="shared" ca="1" si="7"/>
        <v>0</v>
      </c>
      <c r="AF54" s="3" t="s">
        <v>664</v>
      </c>
    </row>
    <row r="55" spans="1:32" ht="11.25" customHeight="1" x14ac:dyDescent="0.25">
      <c r="A55" s="3" t="s">
        <v>21</v>
      </c>
      <c r="B55" s="3" t="s">
        <v>35</v>
      </c>
      <c r="C55" s="3" t="s">
        <v>56</v>
      </c>
      <c r="D55" s="3" t="s">
        <v>25</v>
      </c>
      <c r="E55" s="3" t="s">
        <v>25</v>
      </c>
      <c r="F55" s="3" t="s">
        <v>57</v>
      </c>
      <c r="G55" s="3" t="s">
        <v>58</v>
      </c>
      <c r="H55" s="3" t="s">
        <v>37</v>
      </c>
      <c r="I55" s="6">
        <v>44593</v>
      </c>
      <c r="J55" s="4">
        <v>2450</v>
      </c>
      <c r="K55" s="34">
        <f>J55*(1-SUMIFS(CUSTOS!$T$40:$T$100,CUSTOS!$O$40:$O$100,SUBSIDIO!G55,CUSTOS!$S$40:$S$100,SUBSIDIO!B55,CUSTOS!$R$40:$R$100,"Potência"))</f>
        <v>2450</v>
      </c>
      <c r="L55" s="4">
        <v>87.688000000000002</v>
      </c>
      <c r="M55" s="34">
        <f>L55*(1-SUMIFS(CUSTOS!$T$40:$T$100,CUSTOS!$O$40:$O$100,SUBSIDIO!G55,CUSTOS!$S$40:$S$100,SUBSIDIO!B55,CUSTOS!$R$40:$R$100,"Potência"))</f>
        <v>87.688000000000002</v>
      </c>
      <c r="N55" s="4">
        <v>0</v>
      </c>
      <c r="O55" s="34">
        <f>N55*(1-SUMIFS(CUSTOS!$T$40:$T$100,CUSTOS!$O$40:$O$100,SUBSIDIO!G55,CUSTOS!$S$40:$S$100,SUBSIDIO!B55,CUSTOS!$R$40:$R$100,"Energia"))</f>
        <v>0</v>
      </c>
      <c r="P55" s="4">
        <v>0</v>
      </c>
      <c r="Q55" s="3" t="s">
        <v>59</v>
      </c>
      <c r="R55" s="3">
        <v>5351</v>
      </c>
      <c r="S55" s="3">
        <v>15</v>
      </c>
      <c r="T55" s="3">
        <v>1</v>
      </c>
      <c r="U55" s="3">
        <v>0</v>
      </c>
      <c r="V55" s="4">
        <f>IF(ISERROR(VLOOKUP($S$55,'TAR FIN'!$A$1:$O$91,15,0)),0,VLOOKUP($S$55,'TAR FIN'!$A$1:$O$91,15,0))</f>
        <v>43.03</v>
      </c>
      <c r="W55" s="4">
        <f>IF(ISERROR(VLOOKUP($T$55,'TAR FIN'!$A$1:$O$91,15,0)),0,VLOOKUP($T$55,'TAR FIN'!$A$1:$O$91,15,0))</f>
        <v>10.52</v>
      </c>
      <c r="X55" s="4">
        <f>IF(ISERROR(VLOOKUP($U$55,'TAR FIN'!$A$1:$O$91,15,0)),0,VLOOKUP($U$55,'TAR FIN'!$A$1:$O$91,15,0))</f>
        <v>0</v>
      </c>
      <c r="Y55" s="4">
        <f ca="1">('TUSD BE'!$AM$9+'TUSD BF'!$AM$9+'TUSD CVA'!$AM$9)*1</f>
        <v>50.402908350943179</v>
      </c>
      <c r="Z55" s="4">
        <f ca="1">('TUSD BE'!$AM$11+'TUSD BF'!$AM$11+'TUSD CVA'!$AM$11)*1</f>
        <v>8.9251920173408053</v>
      </c>
      <c r="AA55" s="4">
        <f>('TE BE'!$AB$8+'TE BF'!$AB$8+'TE CVA'!$AB$8)*1</f>
        <v>203.47604618827933</v>
      </c>
      <c r="AB55" s="4">
        <f t="shared" si="2"/>
        <v>0</v>
      </c>
      <c r="AC55" s="4">
        <f t="shared" si="6"/>
        <v>0</v>
      </c>
      <c r="AD55" s="4">
        <f t="shared" ca="1" si="4"/>
        <v>0</v>
      </c>
      <c r="AE55" s="4">
        <f t="shared" ca="1" si="7"/>
        <v>0</v>
      </c>
      <c r="AF55" s="3" t="s">
        <v>664</v>
      </c>
    </row>
    <row r="56" spans="1:32" ht="11.25" customHeight="1" x14ac:dyDescent="0.25">
      <c r="A56" s="3" t="s">
        <v>21</v>
      </c>
      <c r="B56" s="3" t="s">
        <v>35</v>
      </c>
      <c r="C56" s="3" t="s">
        <v>56</v>
      </c>
      <c r="D56" s="3" t="s">
        <v>25</v>
      </c>
      <c r="E56" s="3" t="s">
        <v>25</v>
      </c>
      <c r="F56" s="3" t="s">
        <v>57</v>
      </c>
      <c r="G56" s="3" t="s">
        <v>58</v>
      </c>
      <c r="H56" s="3" t="s">
        <v>37</v>
      </c>
      <c r="I56" s="6">
        <v>44621</v>
      </c>
      <c r="J56" s="4">
        <v>2450</v>
      </c>
      <c r="K56" s="34">
        <f>J56*(1-SUMIFS(CUSTOS!$T$40:$T$100,CUSTOS!$O$40:$O$100,SUBSIDIO!G56,CUSTOS!$S$40:$S$100,SUBSIDIO!B56,CUSTOS!$R$40:$R$100,"Potência"))</f>
        <v>2450</v>
      </c>
      <c r="L56" s="4">
        <v>89.024000000000001</v>
      </c>
      <c r="M56" s="34">
        <f>L56*(1-SUMIFS(CUSTOS!$T$40:$T$100,CUSTOS!$O$40:$O$100,SUBSIDIO!G56,CUSTOS!$S$40:$S$100,SUBSIDIO!B56,CUSTOS!$R$40:$R$100,"Potência"))</f>
        <v>89.024000000000001</v>
      </c>
      <c r="N56" s="4">
        <v>0</v>
      </c>
      <c r="O56" s="34">
        <f>N56*(1-SUMIFS(CUSTOS!$T$40:$T$100,CUSTOS!$O$40:$O$100,SUBSIDIO!G56,CUSTOS!$S$40:$S$100,SUBSIDIO!B56,CUSTOS!$R$40:$R$100,"Energia"))</f>
        <v>0</v>
      </c>
      <c r="P56" s="4">
        <v>0</v>
      </c>
      <c r="Q56" s="3" t="s">
        <v>59</v>
      </c>
      <c r="R56" s="3">
        <v>5351</v>
      </c>
      <c r="S56" s="3">
        <v>15</v>
      </c>
      <c r="T56" s="3">
        <v>1</v>
      </c>
      <c r="U56" s="3">
        <v>0</v>
      </c>
      <c r="V56" s="4">
        <f>IF(ISERROR(VLOOKUP($S$56,'TAR FIN'!$A$1:$O$91,15,0)),0,VLOOKUP($S$56,'TAR FIN'!$A$1:$O$91,15,0))</f>
        <v>43.03</v>
      </c>
      <c r="W56" s="4">
        <f>IF(ISERROR(VLOOKUP($T$56,'TAR FIN'!$A$1:$O$91,15,0)),0,VLOOKUP($T$56,'TAR FIN'!$A$1:$O$91,15,0))</f>
        <v>10.52</v>
      </c>
      <c r="X56" s="4">
        <f>IF(ISERROR(VLOOKUP($U$56,'TAR FIN'!$A$1:$O$91,15,0)),0,VLOOKUP($U$56,'TAR FIN'!$A$1:$O$91,15,0))</f>
        <v>0</v>
      </c>
      <c r="Y56" s="4">
        <f ca="1">('TUSD BE'!$AM$9+'TUSD BF'!$AM$9+'TUSD CVA'!$AM$9)*1</f>
        <v>50.402908350943179</v>
      </c>
      <c r="Z56" s="4">
        <f ca="1">('TUSD BE'!$AM$11+'TUSD BF'!$AM$11+'TUSD CVA'!$AM$11)*1</f>
        <v>8.9251920173408053</v>
      </c>
      <c r="AA56" s="4">
        <f>('TE BE'!$AB$8+'TE BF'!$AB$8+'TE CVA'!$AB$8)*1</f>
        <v>203.47604618827933</v>
      </c>
      <c r="AB56" s="4">
        <f t="shared" si="2"/>
        <v>0</v>
      </c>
      <c r="AC56" s="4">
        <f t="shared" si="6"/>
        <v>0</v>
      </c>
      <c r="AD56" s="4">
        <f t="shared" ca="1" si="4"/>
        <v>0</v>
      </c>
      <c r="AE56" s="4">
        <f t="shared" ca="1" si="7"/>
        <v>0</v>
      </c>
      <c r="AF56" s="3" t="s">
        <v>664</v>
      </c>
    </row>
    <row r="57" spans="1:32" ht="11.25" customHeight="1" x14ac:dyDescent="0.25">
      <c r="A57" s="3" t="s">
        <v>21</v>
      </c>
      <c r="B57" s="3" t="s">
        <v>35</v>
      </c>
      <c r="C57" s="3" t="s">
        <v>56</v>
      </c>
      <c r="D57" s="3" t="s">
        <v>25</v>
      </c>
      <c r="E57" s="3" t="s">
        <v>25</v>
      </c>
      <c r="F57" s="3" t="s">
        <v>57</v>
      </c>
      <c r="G57" s="3" t="s">
        <v>58</v>
      </c>
      <c r="H57" s="3" t="s">
        <v>37</v>
      </c>
      <c r="I57" s="6">
        <v>44652</v>
      </c>
      <c r="J57" s="4">
        <v>2450</v>
      </c>
      <c r="K57" s="34">
        <f>J57*(1-SUMIFS(CUSTOS!$T$40:$T$100,CUSTOS!$O$40:$O$100,SUBSIDIO!G57,CUSTOS!$S$40:$S$100,SUBSIDIO!B57,CUSTOS!$R$40:$R$100,"Potência"))</f>
        <v>2450</v>
      </c>
      <c r="L57" s="4">
        <v>79.69</v>
      </c>
      <c r="M57" s="34">
        <f>L57*(1-SUMIFS(CUSTOS!$T$40:$T$100,CUSTOS!$O$40:$O$100,SUBSIDIO!G57,CUSTOS!$S$40:$S$100,SUBSIDIO!B57,CUSTOS!$R$40:$R$100,"Potência"))</f>
        <v>79.69</v>
      </c>
      <c r="N57" s="4">
        <v>0</v>
      </c>
      <c r="O57" s="34">
        <f>N57*(1-SUMIFS(CUSTOS!$T$40:$T$100,CUSTOS!$O$40:$O$100,SUBSIDIO!G57,CUSTOS!$S$40:$S$100,SUBSIDIO!B57,CUSTOS!$R$40:$R$100,"Energia"))</f>
        <v>0</v>
      </c>
      <c r="P57" s="4">
        <v>0</v>
      </c>
      <c r="Q57" s="3" t="s">
        <v>59</v>
      </c>
      <c r="R57" s="3">
        <v>5351</v>
      </c>
      <c r="S57" s="3">
        <v>15</v>
      </c>
      <c r="T57" s="3">
        <v>1</v>
      </c>
      <c r="U57" s="3">
        <v>0</v>
      </c>
      <c r="V57" s="4">
        <f>IF(ISERROR(VLOOKUP($S$57,'TAR FIN'!$A$1:$O$91,15,0)),0,VLOOKUP($S$57,'TAR FIN'!$A$1:$O$91,15,0))</f>
        <v>43.03</v>
      </c>
      <c r="W57" s="4">
        <f>IF(ISERROR(VLOOKUP($T$57,'TAR FIN'!$A$1:$O$91,15,0)),0,VLOOKUP($T$57,'TAR FIN'!$A$1:$O$91,15,0))</f>
        <v>10.52</v>
      </c>
      <c r="X57" s="4">
        <f>IF(ISERROR(VLOOKUP($U$57,'TAR FIN'!$A$1:$O$91,15,0)),0,VLOOKUP($U$57,'TAR FIN'!$A$1:$O$91,15,0))</f>
        <v>0</v>
      </c>
      <c r="Y57" s="4">
        <f ca="1">('TUSD BE'!$AM$9+'TUSD BF'!$AM$9+'TUSD CVA'!$AM$9)*1</f>
        <v>50.402908350943179</v>
      </c>
      <c r="Z57" s="4">
        <f ca="1">('TUSD BE'!$AM$11+'TUSD BF'!$AM$11+'TUSD CVA'!$AM$11)*1</f>
        <v>8.9251920173408053</v>
      </c>
      <c r="AA57" s="4">
        <f>('TE BE'!$AB$8+'TE BF'!$AB$8+'TE CVA'!$AB$8)*1</f>
        <v>203.47604618827933</v>
      </c>
      <c r="AB57" s="4">
        <f t="shared" si="2"/>
        <v>0</v>
      </c>
      <c r="AC57" s="4">
        <f t="shared" si="6"/>
        <v>0</v>
      </c>
      <c r="AD57" s="4">
        <f t="shared" ca="1" si="4"/>
        <v>0</v>
      </c>
      <c r="AE57" s="4">
        <f t="shared" ca="1" si="7"/>
        <v>0</v>
      </c>
      <c r="AF57" s="3" t="s">
        <v>664</v>
      </c>
    </row>
    <row r="58" spans="1:32" ht="11.25" customHeight="1" x14ac:dyDescent="0.25">
      <c r="A58" s="3" t="s">
        <v>21</v>
      </c>
      <c r="B58" s="3" t="s">
        <v>35</v>
      </c>
      <c r="C58" s="3" t="s">
        <v>56</v>
      </c>
      <c r="D58" s="3" t="s">
        <v>25</v>
      </c>
      <c r="E58" s="3" t="s">
        <v>25</v>
      </c>
      <c r="F58" s="3" t="s">
        <v>57</v>
      </c>
      <c r="G58" s="3" t="s">
        <v>58</v>
      </c>
      <c r="H58" s="3" t="s">
        <v>37</v>
      </c>
      <c r="I58" s="6">
        <v>44682</v>
      </c>
      <c r="J58" s="4">
        <v>2450</v>
      </c>
      <c r="K58" s="34">
        <f>J58*(1-SUMIFS(CUSTOS!$T$40:$T$100,CUSTOS!$O$40:$O$100,SUBSIDIO!G58,CUSTOS!$S$40:$S$100,SUBSIDIO!B58,CUSTOS!$R$40:$R$100,"Potência"))</f>
        <v>2450</v>
      </c>
      <c r="L58" s="4">
        <v>91.590999999999994</v>
      </c>
      <c r="M58" s="34">
        <f>L58*(1-SUMIFS(CUSTOS!$T$40:$T$100,CUSTOS!$O$40:$O$100,SUBSIDIO!G58,CUSTOS!$S$40:$S$100,SUBSIDIO!B58,CUSTOS!$R$40:$R$100,"Potência"))</f>
        <v>91.590999999999994</v>
      </c>
      <c r="N58" s="4">
        <v>0</v>
      </c>
      <c r="O58" s="34">
        <f>N58*(1-SUMIFS(CUSTOS!$T$40:$T$100,CUSTOS!$O$40:$O$100,SUBSIDIO!G58,CUSTOS!$S$40:$S$100,SUBSIDIO!B58,CUSTOS!$R$40:$R$100,"Energia"))</f>
        <v>0</v>
      </c>
      <c r="P58" s="4">
        <v>0</v>
      </c>
      <c r="Q58" s="3" t="s">
        <v>59</v>
      </c>
      <c r="R58" s="3">
        <v>5351</v>
      </c>
      <c r="S58" s="3">
        <v>15</v>
      </c>
      <c r="T58" s="3">
        <v>1</v>
      </c>
      <c r="U58" s="3">
        <v>0</v>
      </c>
      <c r="V58" s="4">
        <f>IF(ISERROR(VLOOKUP($S$58,'TAR FIN'!$A$1:$O$91,15,0)),0,VLOOKUP($S$58,'TAR FIN'!$A$1:$O$91,15,0))</f>
        <v>43.03</v>
      </c>
      <c r="W58" s="4">
        <f>IF(ISERROR(VLOOKUP($T$58,'TAR FIN'!$A$1:$O$91,15,0)),0,VLOOKUP($T$58,'TAR FIN'!$A$1:$O$91,15,0))</f>
        <v>10.52</v>
      </c>
      <c r="X58" s="4">
        <f>IF(ISERROR(VLOOKUP($U$58,'TAR FIN'!$A$1:$O$91,15,0)),0,VLOOKUP($U$58,'TAR FIN'!$A$1:$O$91,15,0))</f>
        <v>0</v>
      </c>
      <c r="Y58" s="4">
        <f ca="1">('TUSD BE'!$AM$9+'TUSD BF'!$AM$9+'TUSD CVA'!$AM$9)*1</f>
        <v>50.402908350943179</v>
      </c>
      <c r="Z58" s="4">
        <f ca="1">('TUSD BE'!$AM$11+'TUSD BF'!$AM$11+'TUSD CVA'!$AM$11)*1</f>
        <v>8.9251920173408053</v>
      </c>
      <c r="AA58" s="4">
        <f>('TE BE'!$AB$8+'TE BF'!$AB$8+'TE CVA'!$AB$8)*1</f>
        <v>203.47604618827933</v>
      </c>
      <c r="AB58" s="4">
        <f t="shared" si="2"/>
        <v>0</v>
      </c>
      <c r="AC58" s="4">
        <f t="shared" si="6"/>
        <v>0</v>
      </c>
      <c r="AD58" s="4">
        <f t="shared" ca="1" si="4"/>
        <v>0</v>
      </c>
      <c r="AE58" s="4">
        <f t="shared" ca="1" si="7"/>
        <v>0</v>
      </c>
      <c r="AF58" s="3" t="s">
        <v>664</v>
      </c>
    </row>
    <row r="59" spans="1:32" ht="11.25" customHeight="1" x14ac:dyDescent="0.25">
      <c r="A59" s="3" t="s">
        <v>21</v>
      </c>
      <c r="B59" s="3" t="s">
        <v>35</v>
      </c>
      <c r="C59" s="3" t="s">
        <v>56</v>
      </c>
      <c r="D59" s="3" t="s">
        <v>25</v>
      </c>
      <c r="E59" s="3" t="s">
        <v>25</v>
      </c>
      <c r="F59" s="3" t="s">
        <v>57</v>
      </c>
      <c r="G59" s="3" t="s">
        <v>58</v>
      </c>
      <c r="H59" s="3" t="s">
        <v>37</v>
      </c>
      <c r="I59" s="6">
        <v>44713</v>
      </c>
      <c r="J59" s="4">
        <v>2450</v>
      </c>
      <c r="K59" s="34">
        <f>J59*(1-SUMIFS(CUSTOS!$T$40:$T$100,CUSTOS!$O$40:$O$100,SUBSIDIO!G59,CUSTOS!$S$40:$S$100,SUBSIDIO!B59,CUSTOS!$R$40:$R$100,"Potência"))</f>
        <v>2450</v>
      </c>
      <c r="L59" s="4">
        <v>95.867000000000004</v>
      </c>
      <c r="M59" s="34">
        <f>L59*(1-SUMIFS(CUSTOS!$T$40:$T$100,CUSTOS!$O$40:$O$100,SUBSIDIO!G59,CUSTOS!$S$40:$S$100,SUBSIDIO!B59,CUSTOS!$R$40:$R$100,"Potência"))</f>
        <v>95.867000000000004</v>
      </c>
      <c r="N59" s="4">
        <v>0</v>
      </c>
      <c r="O59" s="34">
        <f>N59*(1-SUMIFS(CUSTOS!$T$40:$T$100,CUSTOS!$O$40:$O$100,SUBSIDIO!G59,CUSTOS!$S$40:$S$100,SUBSIDIO!B59,CUSTOS!$R$40:$R$100,"Energia"))</f>
        <v>0</v>
      </c>
      <c r="P59" s="4">
        <v>0</v>
      </c>
      <c r="Q59" s="3" t="s">
        <v>59</v>
      </c>
      <c r="R59" s="3">
        <v>5351</v>
      </c>
      <c r="S59" s="3">
        <v>15</v>
      </c>
      <c r="T59" s="3">
        <v>1</v>
      </c>
      <c r="U59" s="3">
        <v>0</v>
      </c>
      <c r="V59" s="4">
        <f>IF(ISERROR(VLOOKUP($S$59,'TAR FIN'!$A$1:$O$91,15,0)),0,VLOOKUP($S$59,'TAR FIN'!$A$1:$O$91,15,0))</f>
        <v>43.03</v>
      </c>
      <c r="W59" s="4">
        <f>IF(ISERROR(VLOOKUP($T$59,'TAR FIN'!$A$1:$O$91,15,0)),0,VLOOKUP($T$59,'TAR FIN'!$A$1:$O$91,15,0))</f>
        <v>10.52</v>
      </c>
      <c r="X59" s="4">
        <f>IF(ISERROR(VLOOKUP($U$59,'TAR FIN'!$A$1:$O$91,15,0)),0,VLOOKUP($U$59,'TAR FIN'!$A$1:$O$91,15,0))</f>
        <v>0</v>
      </c>
      <c r="Y59" s="4">
        <f ca="1">('TUSD BE'!$AM$9+'TUSD BF'!$AM$9+'TUSD CVA'!$AM$9)*1</f>
        <v>50.402908350943179</v>
      </c>
      <c r="Z59" s="4">
        <f ca="1">('TUSD BE'!$AM$11+'TUSD BF'!$AM$11+'TUSD CVA'!$AM$11)*1</f>
        <v>8.9251920173408053</v>
      </c>
      <c r="AA59" s="4">
        <f>('TE BE'!$AB$8+'TE BF'!$AB$8+'TE CVA'!$AB$8)*1</f>
        <v>203.47604618827933</v>
      </c>
      <c r="AB59" s="4">
        <f t="shared" si="2"/>
        <v>0</v>
      </c>
      <c r="AC59" s="4">
        <f t="shared" si="6"/>
        <v>0</v>
      </c>
      <c r="AD59" s="4">
        <f t="shared" ca="1" si="4"/>
        <v>0</v>
      </c>
      <c r="AE59" s="4">
        <f t="shared" ca="1" si="7"/>
        <v>0</v>
      </c>
      <c r="AF59" s="3" t="s">
        <v>664</v>
      </c>
    </row>
    <row r="60" spans="1:32" ht="11.25" customHeight="1" x14ac:dyDescent="0.25">
      <c r="A60" s="3" t="s">
        <v>21</v>
      </c>
      <c r="B60" s="3" t="s">
        <v>35</v>
      </c>
      <c r="C60" s="3" t="s">
        <v>56</v>
      </c>
      <c r="D60" s="3" t="s">
        <v>25</v>
      </c>
      <c r="E60" s="3" t="s">
        <v>25</v>
      </c>
      <c r="F60" s="3" t="s">
        <v>57</v>
      </c>
      <c r="G60" s="3" t="s">
        <v>58</v>
      </c>
      <c r="H60" s="3" t="s">
        <v>37</v>
      </c>
      <c r="I60" s="6">
        <v>44743</v>
      </c>
      <c r="J60" s="4">
        <v>2450</v>
      </c>
      <c r="K60" s="34">
        <f>J60*(1-SUMIFS(CUSTOS!$T$40:$T$100,CUSTOS!$O$40:$O$100,SUBSIDIO!G60,CUSTOS!$S$40:$S$100,SUBSIDIO!B60,CUSTOS!$R$40:$R$100,"Potência"))</f>
        <v>2450</v>
      </c>
      <c r="L60" s="4">
        <v>92.832999999999998</v>
      </c>
      <c r="M60" s="34">
        <f>L60*(1-SUMIFS(CUSTOS!$T$40:$T$100,CUSTOS!$O$40:$O$100,SUBSIDIO!G60,CUSTOS!$S$40:$S$100,SUBSIDIO!B60,CUSTOS!$R$40:$R$100,"Potência"))</f>
        <v>92.832999999999998</v>
      </c>
      <c r="N60" s="4">
        <v>0</v>
      </c>
      <c r="O60" s="34">
        <f>N60*(1-SUMIFS(CUSTOS!$T$40:$T$100,CUSTOS!$O$40:$O$100,SUBSIDIO!G60,CUSTOS!$S$40:$S$100,SUBSIDIO!B60,CUSTOS!$R$40:$R$100,"Energia"))</f>
        <v>0</v>
      </c>
      <c r="P60" s="4">
        <v>0</v>
      </c>
      <c r="Q60" s="3" t="s">
        <v>59</v>
      </c>
      <c r="R60" s="3">
        <v>5351</v>
      </c>
      <c r="S60" s="3">
        <v>15</v>
      </c>
      <c r="T60" s="3">
        <v>1</v>
      </c>
      <c r="U60" s="3">
        <v>0</v>
      </c>
      <c r="V60" s="4">
        <f>IF(ISERROR(VLOOKUP($S$60,'TAR FIN'!$A$1:$O$91,15,0)),0,VLOOKUP($S$60,'TAR FIN'!$A$1:$O$91,15,0))</f>
        <v>43.03</v>
      </c>
      <c r="W60" s="4">
        <f>IF(ISERROR(VLOOKUP($T$60,'TAR FIN'!$A$1:$O$91,15,0)),0,VLOOKUP($T$60,'TAR FIN'!$A$1:$O$91,15,0))</f>
        <v>10.52</v>
      </c>
      <c r="X60" s="4">
        <f>IF(ISERROR(VLOOKUP($U$60,'TAR FIN'!$A$1:$O$91,15,0)),0,VLOOKUP($U$60,'TAR FIN'!$A$1:$O$91,15,0))</f>
        <v>0</v>
      </c>
      <c r="Y60" s="4">
        <f ca="1">('TUSD BE'!$AM$9+'TUSD BF'!$AM$9+'TUSD CVA'!$AM$9)*1</f>
        <v>50.402908350943179</v>
      </c>
      <c r="Z60" s="4">
        <f ca="1">('TUSD BE'!$AM$11+'TUSD BF'!$AM$11+'TUSD CVA'!$AM$11)*1</f>
        <v>8.9251920173408053</v>
      </c>
      <c r="AA60" s="4">
        <f>('TE BE'!$AB$8+'TE BF'!$AB$8+'TE CVA'!$AB$8)*1</f>
        <v>203.47604618827933</v>
      </c>
      <c r="AB60" s="4">
        <f t="shared" si="2"/>
        <v>0</v>
      </c>
      <c r="AC60" s="4">
        <f t="shared" si="6"/>
        <v>0</v>
      </c>
      <c r="AD60" s="4">
        <f t="shared" ca="1" si="4"/>
        <v>0</v>
      </c>
      <c r="AE60" s="4">
        <f t="shared" ca="1" si="7"/>
        <v>0</v>
      </c>
      <c r="AF60" s="3" t="s">
        <v>664</v>
      </c>
    </row>
    <row r="61" spans="1:32" ht="11.25" customHeight="1" x14ac:dyDescent="0.25">
      <c r="A61" s="3" t="s">
        <v>21</v>
      </c>
      <c r="B61" s="3" t="s">
        <v>35</v>
      </c>
      <c r="C61" s="3" t="s">
        <v>56</v>
      </c>
      <c r="D61" s="3" t="s">
        <v>25</v>
      </c>
      <c r="E61" s="3" t="s">
        <v>25</v>
      </c>
      <c r="F61" s="3" t="s">
        <v>57</v>
      </c>
      <c r="G61" s="3" t="s">
        <v>58</v>
      </c>
      <c r="H61" s="3" t="s">
        <v>37</v>
      </c>
      <c r="I61" s="6">
        <v>44774</v>
      </c>
      <c r="J61" s="4">
        <v>2862</v>
      </c>
      <c r="K61" s="34">
        <f>J61*(1-SUMIFS(CUSTOS!$T$40:$T$100,CUSTOS!$O$40:$O$100,SUBSIDIO!G61,CUSTOS!$S$40:$S$100,SUBSIDIO!B61,CUSTOS!$R$40:$R$100,"Potência"))</f>
        <v>2862</v>
      </c>
      <c r="L61" s="4">
        <v>112.767</v>
      </c>
      <c r="M61" s="34">
        <f>L61*(1-SUMIFS(CUSTOS!$T$40:$T$100,CUSTOS!$O$40:$O$100,SUBSIDIO!G61,CUSTOS!$S$40:$S$100,SUBSIDIO!B61,CUSTOS!$R$40:$R$100,"Potência"))</f>
        <v>112.767</v>
      </c>
      <c r="N61" s="4">
        <v>0</v>
      </c>
      <c r="O61" s="34">
        <f>N61*(1-SUMIFS(CUSTOS!$T$40:$T$100,CUSTOS!$O$40:$O$100,SUBSIDIO!G61,CUSTOS!$S$40:$S$100,SUBSIDIO!B61,CUSTOS!$R$40:$R$100,"Energia"))</f>
        <v>0</v>
      </c>
      <c r="P61" s="4">
        <v>0</v>
      </c>
      <c r="Q61" s="3" t="s">
        <v>59</v>
      </c>
      <c r="R61" s="3">
        <v>5351</v>
      </c>
      <c r="S61" s="3">
        <v>15</v>
      </c>
      <c r="T61" s="3">
        <v>1</v>
      </c>
      <c r="U61" s="3">
        <v>0</v>
      </c>
      <c r="V61" s="4">
        <f>IF(ISERROR(VLOOKUP($S$61,'TAR FIN'!$A$1:$O$91,15,0)),0,VLOOKUP($S$61,'TAR FIN'!$A$1:$O$91,15,0))</f>
        <v>43.03</v>
      </c>
      <c r="W61" s="4">
        <f>IF(ISERROR(VLOOKUP($T$61,'TAR FIN'!$A$1:$O$91,15,0)),0,VLOOKUP($T$61,'TAR FIN'!$A$1:$O$91,15,0))</f>
        <v>10.52</v>
      </c>
      <c r="X61" s="4">
        <f>IF(ISERROR(VLOOKUP($U$61,'TAR FIN'!$A$1:$O$91,15,0)),0,VLOOKUP($U$61,'TAR FIN'!$A$1:$O$91,15,0))</f>
        <v>0</v>
      </c>
      <c r="Y61" s="4">
        <f ca="1">('TUSD BE'!$AM$9+'TUSD BF'!$AM$9+'TUSD CVA'!$AM$9)*1</f>
        <v>50.402908350943179</v>
      </c>
      <c r="Z61" s="4">
        <f ca="1">('TUSD BE'!$AM$11+'TUSD BF'!$AM$11+'TUSD CVA'!$AM$11)*1</f>
        <v>8.9251920173408053</v>
      </c>
      <c r="AA61" s="4">
        <f>('TE BE'!$AB$8+'TE BF'!$AB$8+'TE CVA'!$AB$8)*1</f>
        <v>203.47604618827933</v>
      </c>
      <c r="AB61" s="4">
        <f t="shared" si="2"/>
        <v>0</v>
      </c>
      <c r="AC61" s="4">
        <f t="shared" si="6"/>
        <v>0</v>
      </c>
      <c r="AD61" s="4">
        <f t="shared" ca="1" si="4"/>
        <v>0</v>
      </c>
      <c r="AE61" s="4">
        <f t="shared" ca="1" si="7"/>
        <v>0</v>
      </c>
      <c r="AF61" s="3" t="s">
        <v>664</v>
      </c>
    </row>
    <row r="62" spans="1:32" ht="11.25" customHeight="1" x14ac:dyDescent="0.25">
      <c r="A62" s="3" t="s">
        <v>21</v>
      </c>
      <c r="B62" s="3" t="s">
        <v>35</v>
      </c>
      <c r="C62" s="3" t="s">
        <v>60</v>
      </c>
      <c r="D62" s="3" t="s">
        <v>25</v>
      </c>
      <c r="E62" s="3" t="s">
        <v>25</v>
      </c>
      <c r="F62" s="3" t="s">
        <v>25</v>
      </c>
      <c r="G62" s="3" t="s">
        <v>61</v>
      </c>
      <c r="H62" s="3" t="s">
        <v>25</v>
      </c>
      <c r="I62" s="6">
        <v>44440</v>
      </c>
      <c r="J62" s="4">
        <v>2500</v>
      </c>
      <c r="K62" s="4">
        <v>1250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62</v>
      </c>
      <c r="R62" s="3">
        <v>29137</v>
      </c>
      <c r="S62" s="3">
        <v>16</v>
      </c>
      <c r="T62" s="3">
        <v>0</v>
      </c>
      <c r="U62" s="3">
        <v>0</v>
      </c>
      <c r="V62" s="4">
        <f>IF(ISERROR(VLOOKUP($S$62,'TAR FIN'!$A$1:$O$91,15,0)),0,VLOOKUP($S$62,'TAR FIN'!$A$1:$O$91,15,0))</f>
        <v>3.52</v>
      </c>
      <c r="W62" s="4">
        <f>IF(ISERROR(VLOOKUP($T$62,'TAR FIN'!$A$1:$O$91,15,0)),0,VLOOKUP($T$62,'TAR FIN'!$A$1:$O$91,15,0))</f>
        <v>0</v>
      </c>
      <c r="X62" s="4">
        <f>IF(ISERROR(VLOOKUP($U$62,'TAR FIN'!$A$1:$O$91,15,0)),0,VLOOKUP($U$62,'TAR FIN'!$A$1:$O$91,15,0))</f>
        <v>0</v>
      </c>
      <c r="Y62" s="4">
        <f ca="1">('TUSD BE'!$AM$12+'TUSD BF'!$AM$12+'TUSD CVA'!$AM$12)*1</f>
        <v>3.5546179029821179</v>
      </c>
      <c r="Z62" s="4"/>
      <c r="AA62" s="4"/>
      <c r="AB62" s="4">
        <f t="shared" si="2"/>
        <v>4400</v>
      </c>
      <c r="AC62" s="4">
        <f t="shared" si="6"/>
        <v>0</v>
      </c>
      <c r="AD62" s="4">
        <f t="shared" ca="1" si="4"/>
        <v>4443.2723787276473</v>
      </c>
      <c r="AE62" s="4">
        <f t="shared" si="7"/>
        <v>0</v>
      </c>
      <c r="AF62" s="3" t="s">
        <v>665</v>
      </c>
    </row>
    <row r="63" spans="1:32" ht="11.25" customHeight="1" x14ac:dyDescent="0.25">
      <c r="A63" s="3" t="s">
        <v>21</v>
      </c>
      <c r="B63" s="3" t="s">
        <v>35</v>
      </c>
      <c r="C63" s="3" t="s">
        <v>60</v>
      </c>
      <c r="D63" s="3" t="s">
        <v>25</v>
      </c>
      <c r="E63" s="3" t="s">
        <v>25</v>
      </c>
      <c r="F63" s="3" t="s">
        <v>25</v>
      </c>
      <c r="G63" s="3" t="s">
        <v>63</v>
      </c>
      <c r="H63" s="3" t="s">
        <v>25</v>
      </c>
      <c r="I63" s="6">
        <v>44440</v>
      </c>
      <c r="J63" s="4">
        <v>335</v>
      </c>
      <c r="K63" s="4">
        <v>167.5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62</v>
      </c>
      <c r="S63" s="3">
        <v>16</v>
      </c>
      <c r="T63" s="3">
        <v>0</v>
      </c>
      <c r="U63" s="3">
        <v>0</v>
      </c>
      <c r="V63" s="4">
        <f>IF(ISERROR(VLOOKUP($S$63,'TAR FIN'!$A$1:$O$91,15,0)),0,VLOOKUP($S$63,'TAR FIN'!$A$1:$O$91,15,0))</f>
        <v>3.52</v>
      </c>
      <c r="W63" s="4">
        <f>IF(ISERROR(VLOOKUP($T$63,'TAR FIN'!$A$1:$O$91,15,0)),0,VLOOKUP($T$63,'TAR FIN'!$A$1:$O$91,15,0))</f>
        <v>0</v>
      </c>
      <c r="X63" s="4">
        <f>IF(ISERROR(VLOOKUP($U$63,'TAR FIN'!$A$1:$O$91,15,0)),0,VLOOKUP($U$63,'TAR FIN'!$A$1:$O$91,15,0))</f>
        <v>0</v>
      </c>
      <c r="Y63" s="4">
        <f ca="1">('TUSD BE'!$AM$12+'TUSD BF'!$AM$12+'TUSD CVA'!$AM$12)*1</f>
        <v>3.5546179029821179</v>
      </c>
      <c r="Z63" s="4"/>
      <c r="AA63" s="4"/>
      <c r="AB63" s="4">
        <f t="shared" si="2"/>
        <v>589.6</v>
      </c>
      <c r="AC63" s="4">
        <f t="shared" si="6"/>
        <v>0</v>
      </c>
      <c r="AD63" s="4">
        <f t="shared" ca="1" si="4"/>
        <v>595.39849874950471</v>
      </c>
      <c r="AE63" s="4">
        <f t="shared" si="7"/>
        <v>0</v>
      </c>
      <c r="AF63" s="3" t="s">
        <v>665</v>
      </c>
    </row>
    <row r="64" spans="1:32" ht="11.25" customHeight="1" x14ac:dyDescent="0.25">
      <c r="A64" s="3" t="s">
        <v>21</v>
      </c>
      <c r="B64" s="3" t="s">
        <v>35</v>
      </c>
      <c r="C64" s="3" t="s">
        <v>60</v>
      </c>
      <c r="D64" s="3" t="s">
        <v>25</v>
      </c>
      <c r="E64" s="3" t="s">
        <v>25</v>
      </c>
      <c r="F64" s="3" t="s">
        <v>25</v>
      </c>
      <c r="G64" s="3" t="s">
        <v>64</v>
      </c>
      <c r="H64" s="3" t="s">
        <v>25</v>
      </c>
      <c r="I64" s="6">
        <v>44440</v>
      </c>
      <c r="J64" s="4">
        <v>1000</v>
      </c>
      <c r="K64" s="4">
        <v>500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62</v>
      </c>
      <c r="R64" s="3">
        <v>29425</v>
      </c>
      <c r="S64" s="3">
        <v>16</v>
      </c>
      <c r="T64" s="3">
        <v>0</v>
      </c>
      <c r="U64" s="3">
        <v>0</v>
      </c>
      <c r="V64" s="4">
        <f>IF(ISERROR(VLOOKUP($S$64,'TAR FIN'!$A$1:$O$91,15,0)),0,VLOOKUP($S$64,'TAR FIN'!$A$1:$O$91,15,0))</f>
        <v>3.52</v>
      </c>
      <c r="W64" s="4">
        <f>IF(ISERROR(VLOOKUP($T$64,'TAR FIN'!$A$1:$O$91,15,0)),0,VLOOKUP($T$64,'TAR FIN'!$A$1:$O$91,15,0))</f>
        <v>0</v>
      </c>
      <c r="X64" s="4">
        <f>IF(ISERROR(VLOOKUP($U$64,'TAR FIN'!$A$1:$O$91,15,0)),0,VLOOKUP($U$64,'TAR FIN'!$A$1:$O$91,15,0))</f>
        <v>0</v>
      </c>
      <c r="Y64" s="4">
        <f ca="1">('TUSD BE'!$AM$12+'TUSD BF'!$AM$12+'TUSD CVA'!$AM$12)*1</f>
        <v>3.5546179029821179</v>
      </c>
      <c r="Z64" s="4"/>
      <c r="AA64" s="4"/>
      <c r="AB64" s="4">
        <f t="shared" si="2"/>
        <v>1760</v>
      </c>
      <c r="AC64" s="4">
        <f t="shared" si="6"/>
        <v>0</v>
      </c>
      <c r="AD64" s="4">
        <f t="shared" ca="1" si="4"/>
        <v>1777.3089514910589</v>
      </c>
      <c r="AE64" s="4">
        <f t="shared" si="7"/>
        <v>0</v>
      </c>
      <c r="AF64" s="3" t="s">
        <v>665</v>
      </c>
    </row>
    <row r="65" spans="1:32" ht="11.25" customHeight="1" x14ac:dyDescent="0.25">
      <c r="A65" s="3" t="s">
        <v>21</v>
      </c>
      <c r="B65" s="3" t="s">
        <v>35</v>
      </c>
      <c r="C65" s="3" t="s">
        <v>60</v>
      </c>
      <c r="D65" s="3" t="s">
        <v>25</v>
      </c>
      <c r="E65" s="3" t="s">
        <v>25</v>
      </c>
      <c r="F65" s="3" t="s">
        <v>25</v>
      </c>
      <c r="G65" s="3" t="s">
        <v>65</v>
      </c>
      <c r="H65" s="3" t="s">
        <v>25</v>
      </c>
      <c r="I65" s="6">
        <v>44440</v>
      </c>
      <c r="J65" s="4">
        <v>666</v>
      </c>
      <c r="K65" s="4">
        <v>333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62</v>
      </c>
      <c r="R65" s="3">
        <v>30591</v>
      </c>
      <c r="S65" s="3">
        <v>16</v>
      </c>
      <c r="T65" s="3">
        <v>0</v>
      </c>
      <c r="U65" s="3">
        <v>0</v>
      </c>
      <c r="V65" s="4">
        <f>IF(ISERROR(VLOOKUP($S$65,'TAR FIN'!$A$1:$O$91,15,0)),0,VLOOKUP($S$65,'TAR FIN'!$A$1:$O$91,15,0))</f>
        <v>3.52</v>
      </c>
      <c r="W65" s="4">
        <f>IF(ISERROR(VLOOKUP($T$65,'TAR FIN'!$A$1:$O$91,15,0)),0,VLOOKUP($T$65,'TAR FIN'!$A$1:$O$91,15,0))</f>
        <v>0</v>
      </c>
      <c r="X65" s="4">
        <f>IF(ISERROR(VLOOKUP($U$65,'TAR FIN'!$A$1:$O$91,15,0)),0,VLOOKUP($U$65,'TAR FIN'!$A$1:$O$91,15,0))</f>
        <v>0</v>
      </c>
      <c r="Y65" s="4">
        <f ca="1">('TUSD BE'!$AM$12+'TUSD BF'!$AM$12+'TUSD CVA'!$AM$12)*1</f>
        <v>3.5546179029821179</v>
      </c>
      <c r="Z65" s="4"/>
      <c r="AA65" s="4"/>
      <c r="AB65" s="4">
        <f t="shared" si="2"/>
        <v>1172.1600000000001</v>
      </c>
      <c r="AC65" s="4">
        <f t="shared" si="6"/>
        <v>0</v>
      </c>
      <c r="AD65" s="4">
        <f t="shared" ca="1" si="4"/>
        <v>1183.6877616930453</v>
      </c>
      <c r="AE65" s="4">
        <f t="shared" si="7"/>
        <v>0</v>
      </c>
      <c r="AF65" s="3" t="s">
        <v>665</v>
      </c>
    </row>
    <row r="66" spans="1:32" ht="11.25" customHeight="1" x14ac:dyDescent="0.25">
      <c r="A66" s="3" t="s">
        <v>21</v>
      </c>
      <c r="B66" s="3" t="s">
        <v>35</v>
      </c>
      <c r="C66" s="3" t="s">
        <v>60</v>
      </c>
      <c r="D66" s="3" t="s">
        <v>25</v>
      </c>
      <c r="E66" s="3" t="s">
        <v>25</v>
      </c>
      <c r="F66" s="3" t="s">
        <v>25</v>
      </c>
      <c r="G66" s="3" t="s">
        <v>61</v>
      </c>
      <c r="H66" s="3" t="s">
        <v>25</v>
      </c>
      <c r="I66" s="6">
        <v>44470</v>
      </c>
      <c r="J66" s="4">
        <v>2500</v>
      </c>
      <c r="K66" s="4">
        <v>1250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62</v>
      </c>
      <c r="R66" s="3">
        <v>29137</v>
      </c>
      <c r="S66" s="3">
        <v>16</v>
      </c>
      <c r="T66" s="3">
        <v>0</v>
      </c>
      <c r="U66" s="3">
        <v>0</v>
      </c>
      <c r="V66" s="4">
        <f>IF(ISERROR(VLOOKUP($S$66,'TAR FIN'!$A$1:$O$91,15,0)),0,VLOOKUP($S$66,'TAR FIN'!$A$1:$O$91,15,0))</f>
        <v>3.52</v>
      </c>
      <c r="W66" s="4">
        <f>IF(ISERROR(VLOOKUP($T$66,'TAR FIN'!$A$1:$O$91,15,0)),0,VLOOKUP($T$66,'TAR FIN'!$A$1:$O$91,15,0))</f>
        <v>0</v>
      </c>
      <c r="X66" s="4">
        <f>IF(ISERROR(VLOOKUP($U$66,'TAR FIN'!$A$1:$O$91,15,0)),0,VLOOKUP($U$66,'TAR FIN'!$A$1:$O$91,15,0))</f>
        <v>0</v>
      </c>
      <c r="Y66" s="4">
        <f ca="1">('TUSD BE'!$AM$12+'TUSD BF'!$AM$12+'TUSD CVA'!$AM$12)*1</f>
        <v>3.5546179029821179</v>
      </c>
      <c r="Z66" s="4"/>
      <c r="AA66" s="4"/>
      <c r="AB66" s="4">
        <f t="shared" ref="AB66:AB109" si="8">(J66-K66)*V66</f>
        <v>4400</v>
      </c>
      <c r="AC66" s="4">
        <f t="shared" ref="AC66:AC97" si="9">(L66-M66)*W66+(N66-O66)*X66</f>
        <v>0</v>
      </c>
      <c r="AD66" s="4">
        <f t="shared" ref="AD66:AD109" ca="1" si="10">(J66-K66)*Y66</f>
        <v>4443.2723787276473</v>
      </c>
      <c r="AE66" s="4">
        <f t="shared" ref="AE66:AE97" si="11">(L66-M66)*Z66+(N66-O66)*AA66</f>
        <v>0</v>
      </c>
      <c r="AF66" s="3" t="s">
        <v>665</v>
      </c>
    </row>
    <row r="67" spans="1:32" ht="11.25" customHeight="1" x14ac:dyDescent="0.25">
      <c r="A67" s="3" t="s">
        <v>21</v>
      </c>
      <c r="B67" s="3" t="s">
        <v>35</v>
      </c>
      <c r="C67" s="3" t="s">
        <v>60</v>
      </c>
      <c r="D67" s="3" t="s">
        <v>25</v>
      </c>
      <c r="E67" s="3" t="s">
        <v>25</v>
      </c>
      <c r="F67" s="3" t="s">
        <v>25</v>
      </c>
      <c r="G67" s="3" t="s">
        <v>63</v>
      </c>
      <c r="H67" s="3" t="s">
        <v>25</v>
      </c>
      <c r="I67" s="6">
        <v>44470</v>
      </c>
      <c r="J67" s="4">
        <v>335</v>
      </c>
      <c r="K67" s="4">
        <v>167.5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62</v>
      </c>
      <c r="S67" s="3">
        <v>16</v>
      </c>
      <c r="T67" s="3">
        <v>0</v>
      </c>
      <c r="U67" s="3">
        <v>0</v>
      </c>
      <c r="V67" s="4">
        <f>IF(ISERROR(VLOOKUP($S$67,'TAR FIN'!$A$1:$O$91,15,0)),0,VLOOKUP($S$67,'TAR FIN'!$A$1:$O$91,15,0))</f>
        <v>3.52</v>
      </c>
      <c r="W67" s="4">
        <f>IF(ISERROR(VLOOKUP($T$67,'TAR FIN'!$A$1:$O$91,15,0)),0,VLOOKUP($T$67,'TAR FIN'!$A$1:$O$91,15,0))</f>
        <v>0</v>
      </c>
      <c r="X67" s="4">
        <f>IF(ISERROR(VLOOKUP($U$67,'TAR FIN'!$A$1:$O$91,15,0)),0,VLOOKUP($U$67,'TAR FIN'!$A$1:$O$91,15,0))</f>
        <v>0</v>
      </c>
      <c r="Y67" s="4">
        <f ca="1">('TUSD BE'!$AM$12+'TUSD BF'!$AM$12+'TUSD CVA'!$AM$12)*1</f>
        <v>3.5546179029821179</v>
      </c>
      <c r="Z67" s="4"/>
      <c r="AA67" s="4"/>
      <c r="AB67" s="4">
        <f t="shared" si="8"/>
        <v>589.6</v>
      </c>
      <c r="AC67" s="4">
        <f t="shared" si="9"/>
        <v>0</v>
      </c>
      <c r="AD67" s="4">
        <f t="shared" ca="1" si="10"/>
        <v>595.39849874950471</v>
      </c>
      <c r="AE67" s="4">
        <f t="shared" si="11"/>
        <v>0</v>
      </c>
      <c r="AF67" s="3" t="s">
        <v>665</v>
      </c>
    </row>
    <row r="68" spans="1:32" ht="11.25" customHeight="1" x14ac:dyDescent="0.25">
      <c r="A68" s="3" t="s">
        <v>21</v>
      </c>
      <c r="B68" s="3" t="s">
        <v>35</v>
      </c>
      <c r="C68" s="3" t="s">
        <v>60</v>
      </c>
      <c r="D68" s="3" t="s">
        <v>25</v>
      </c>
      <c r="E68" s="3" t="s">
        <v>25</v>
      </c>
      <c r="F68" s="3" t="s">
        <v>25</v>
      </c>
      <c r="G68" s="3" t="s">
        <v>64</v>
      </c>
      <c r="H68" s="3" t="s">
        <v>25</v>
      </c>
      <c r="I68" s="6">
        <v>44470</v>
      </c>
      <c r="J68" s="4">
        <v>1000</v>
      </c>
      <c r="K68" s="4">
        <v>500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62</v>
      </c>
      <c r="R68" s="3">
        <v>29425</v>
      </c>
      <c r="S68" s="3">
        <v>16</v>
      </c>
      <c r="T68" s="3">
        <v>0</v>
      </c>
      <c r="U68" s="3">
        <v>0</v>
      </c>
      <c r="V68" s="4">
        <f>IF(ISERROR(VLOOKUP($S$68,'TAR FIN'!$A$1:$O$91,15,0)),0,VLOOKUP($S$68,'TAR FIN'!$A$1:$O$91,15,0))</f>
        <v>3.52</v>
      </c>
      <c r="W68" s="4">
        <f>IF(ISERROR(VLOOKUP($T$68,'TAR FIN'!$A$1:$O$91,15,0)),0,VLOOKUP($T$68,'TAR FIN'!$A$1:$O$91,15,0))</f>
        <v>0</v>
      </c>
      <c r="X68" s="4">
        <f>IF(ISERROR(VLOOKUP($U$68,'TAR FIN'!$A$1:$O$91,15,0)),0,VLOOKUP($U$68,'TAR FIN'!$A$1:$O$91,15,0))</f>
        <v>0</v>
      </c>
      <c r="Y68" s="4">
        <f ca="1">('TUSD BE'!$AM$12+'TUSD BF'!$AM$12+'TUSD CVA'!$AM$12)*1</f>
        <v>3.5546179029821179</v>
      </c>
      <c r="Z68" s="4"/>
      <c r="AA68" s="4"/>
      <c r="AB68" s="4">
        <f t="shared" si="8"/>
        <v>1760</v>
      </c>
      <c r="AC68" s="4">
        <f t="shared" si="9"/>
        <v>0</v>
      </c>
      <c r="AD68" s="4">
        <f t="shared" ca="1" si="10"/>
        <v>1777.3089514910589</v>
      </c>
      <c r="AE68" s="4">
        <f t="shared" si="11"/>
        <v>0</v>
      </c>
      <c r="AF68" s="3" t="s">
        <v>665</v>
      </c>
    </row>
    <row r="69" spans="1:32" ht="11.25" customHeight="1" x14ac:dyDescent="0.25">
      <c r="A69" s="3" t="s">
        <v>21</v>
      </c>
      <c r="B69" s="3" t="s">
        <v>35</v>
      </c>
      <c r="C69" s="3" t="s">
        <v>60</v>
      </c>
      <c r="D69" s="3" t="s">
        <v>25</v>
      </c>
      <c r="E69" s="3" t="s">
        <v>25</v>
      </c>
      <c r="F69" s="3" t="s">
        <v>25</v>
      </c>
      <c r="G69" s="3" t="s">
        <v>65</v>
      </c>
      <c r="H69" s="3" t="s">
        <v>25</v>
      </c>
      <c r="I69" s="6">
        <v>44470</v>
      </c>
      <c r="J69" s="4">
        <v>768</v>
      </c>
      <c r="K69" s="4">
        <v>384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62</v>
      </c>
      <c r="R69" s="3">
        <v>30591</v>
      </c>
      <c r="S69" s="3">
        <v>16</v>
      </c>
      <c r="T69" s="3">
        <v>0</v>
      </c>
      <c r="U69" s="3">
        <v>0</v>
      </c>
      <c r="V69" s="4">
        <f>IF(ISERROR(VLOOKUP($S$69,'TAR FIN'!$A$1:$O$91,15,0)),0,VLOOKUP($S$69,'TAR FIN'!$A$1:$O$91,15,0))</f>
        <v>3.52</v>
      </c>
      <c r="W69" s="4">
        <f>IF(ISERROR(VLOOKUP($T$69,'TAR FIN'!$A$1:$O$91,15,0)),0,VLOOKUP($T$69,'TAR FIN'!$A$1:$O$91,15,0))</f>
        <v>0</v>
      </c>
      <c r="X69" s="4">
        <f>IF(ISERROR(VLOOKUP($U$69,'TAR FIN'!$A$1:$O$91,15,0)),0,VLOOKUP($U$69,'TAR FIN'!$A$1:$O$91,15,0))</f>
        <v>0</v>
      </c>
      <c r="Y69" s="4">
        <f ca="1">('TUSD BE'!$AM$12+'TUSD BF'!$AM$12+'TUSD CVA'!$AM$12)*1</f>
        <v>3.5546179029821179</v>
      </c>
      <c r="Z69" s="4"/>
      <c r="AA69" s="4"/>
      <c r="AB69" s="4">
        <f t="shared" si="8"/>
        <v>1351.68</v>
      </c>
      <c r="AC69" s="4">
        <f t="shared" si="9"/>
        <v>0</v>
      </c>
      <c r="AD69" s="4">
        <f t="shared" ca="1" si="10"/>
        <v>1364.9732747451333</v>
      </c>
      <c r="AE69" s="4">
        <f t="shared" si="11"/>
        <v>0</v>
      </c>
      <c r="AF69" s="3" t="s">
        <v>665</v>
      </c>
    </row>
    <row r="70" spans="1:32" ht="11.25" customHeight="1" x14ac:dyDescent="0.25">
      <c r="A70" s="3" t="s">
        <v>21</v>
      </c>
      <c r="B70" s="3" t="s">
        <v>35</v>
      </c>
      <c r="C70" s="3" t="s">
        <v>60</v>
      </c>
      <c r="D70" s="3" t="s">
        <v>25</v>
      </c>
      <c r="E70" s="3" t="s">
        <v>25</v>
      </c>
      <c r="F70" s="3" t="s">
        <v>25</v>
      </c>
      <c r="G70" s="3" t="s">
        <v>61</v>
      </c>
      <c r="H70" s="3" t="s">
        <v>25</v>
      </c>
      <c r="I70" s="6">
        <v>44501</v>
      </c>
      <c r="J70" s="4">
        <v>2500</v>
      </c>
      <c r="K70" s="4">
        <v>1250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62</v>
      </c>
      <c r="R70" s="3">
        <v>29137</v>
      </c>
      <c r="S70" s="3">
        <v>16</v>
      </c>
      <c r="T70" s="3">
        <v>0</v>
      </c>
      <c r="U70" s="3">
        <v>0</v>
      </c>
      <c r="V70" s="4">
        <f>IF(ISERROR(VLOOKUP($S$70,'TAR FIN'!$A$1:$O$91,15,0)),0,VLOOKUP($S$70,'TAR FIN'!$A$1:$O$91,15,0))</f>
        <v>3.52</v>
      </c>
      <c r="W70" s="4">
        <f>IF(ISERROR(VLOOKUP($T$70,'TAR FIN'!$A$1:$O$91,15,0)),0,VLOOKUP($T$70,'TAR FIN'!$A$1:$O$91,15,0))</f>
        <v>0</v>
      </c>
      <c r="X70" s="4">
        <f>IF(ISERROR(VLOOKUP($U$70,'TAR FIN'!$A$1:$O$91,15,0)),0,VLOOKUP($U$70,'TAR FIN'!$A$1:$O$91,15,0))</f>
        <v>0</v>
      </c>
      <c r="Y70" s="4">
        <f ca="1">('TUSD BE'!$AM$12+'TUSD BF'!$AM$12+'TUSD CVA'!$AM$12)*1</f>
        <v>3.5546179029821179</v>
      </c>
      <c r="Z70" s="4"/>
      <c r="AA70" s="4"/>
      <c r="AB70" s="4">
        <f t="shared" si="8"/>
        <v>4400</v>
      </c>
      <c r="AC70" s="4">
        <f t="shared" si="9"/>
        <v>0</v>
      </c>
      <c r="AD70" s="4">
        <f t="shared" ca="1" si="10"/>
        <v>4443.2723787276473</v>
      </c>
      <c r="AE70" s="4">
        <f t="shared" si="11"/>
        <v>0</v>
      </c>
      <c r="AF70" s="3" t="s">
        <v>665</v>
      </c>
    </row>
    <row r="71" spans="1:32" ht="11.25" customHeight="1" x14ac:dyDescent="0.25">
      <c r="A71" s="3" t="s">
        <v>21</v>
      </c>
      <c r="B71" s="3" t="s">
        <v>35</v>
      </c>
      <c r="C71" s="3" t="s">
        <v>60</v>
      </c>
      <c r="D71" s="3" t="s">
        <v>25</v>
      </c>
      <c r="E71" s="3" t="s">
        <v>25</v>
      </c>
      <c r="F71" s="3" t="s">
        <v>25</v>
      </c>
      <c r="G71" s="3" t="s">
        <v>63</v>
      </c>
      <c r="H71" s="3" t="s">
        <v>25</v>
      </c>
      <c r="I71" s="6">
        <v>44501</v>
      </c>
      <c r="J71" s="4">
        <v>335</v>
      </c>
      <c r="K71" s="4">
        <v>167.5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62</v>
      </c>
      <c r="S71" s="3">
        <v>16</v>
      </c>
      <c r="T71" s="3">
        <v>0</v>
      </c>
      <c r="U71" s="3">
        <v>0</v>
      </c>
      <c r="V71" s="4">
        <f>IF(ISERROR(VLOOKUP($S$71,'TAR FIN'!$A$1:$O$91,15,0)),0,VLOOKUP($S$71,'TAR FIN'!$A$1:$O$91,15,0))</f>
        <v>3.52</v>
      </c>
      <c r="W71" s="4">
        <f>IF(ISERROR(VLOOKUP($T$71,'TAR FIN'!$A$1:$O$91,15,0)),0,VLOOKUP($T$71,'TAR FIN'!$A$1:$O$91,15,0))</f>
        <v>0</v>
      </c>
      <c r="X71" s="4">
        <f>IF(ISERROR(VLOOKUP($U$71,'TAR FIN'!$A$1:$O$91,15,0)),0,VLOOKUP($U$71,'TAR FIN'!$A$1:$O$91,15,0))</f>
        <v>0</v>
      </c>
      <c r="Y71" s="4">
        <f ca="1">('TUSD BE'!$AM$12+'TUSD BF'!$AM$12+'TUSD CVA'!$AM$12)*1</f>
        <v>3.5546179029821179</v>
      </c>
      <c r="Z71" s="4"/>
      <c r="AA71" s="4"/>
      <c r="AB71" s="4">
        <f t="shared" si="8"/>
        <v>589.6</v>
      </c>
      <c r="AC71" s="4">
        <f t="shared" si="9"/>
        <v>0</v>
      </c>
      <c r="AD71" s="4">
        <f t="shared" ca="1" si="10"/>
        <v>595.39849874950471</v>
      </c>
      <c r="AE71" s="4">
        <f t="shared" si="11"/>
        <v>0</v>
      </c>
      <c r="AF71" s="3" t="s">
        <v>665</v>
      </c>
    </row>
    <row r="72" spans="1:32" ht="11.25" customHeight="1" x14ac:dyDescent="0.25">
      <c r="A72" s="3" t="s">
        <v>21</v>
      </c>
      <c r="B72" s="3" t="s">
        <v>35</v>
      </c>
      <c r="C72" s="3" t="s">
        <v>60</v>
      </c>
      <c r="D72" s="3" t="s">
        <v>25</v>
      </c>
      <c r="E72" s="3" t="s">
        <v>25</v>
      </c>
      <c r="F72" s="3" t="s">
        <v>25</v>
      </c>
      <c r="G72" s="3" t="s">
        <v>64</v>
      </c>
      <c r="H72" s="3" t="s">
        <v>25</v>
      </c>
      <c r="I72" s="6">
        <v>44501</v>
      </c>
      <c r="J72" s="4">
        <v>1000</v>
      </c>
      <c r="K72" s="4">
        <v>500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62</v>
      </c>
      <c r="R72" s="3">
        <v>29425</v>
      </c>
      <c r="S72" s="3">
        <v>16</v>
      </c>
      <c r="T72" s="3">
        <v>0</v>
      </c>
      <c r="U72" s="3">
        <v>0</v>
      </c>
      <c r="V72" s="4">
        <f>IF(ISERROR(VLOOKUP($S$72,'TAR FIN'!$A$1:$O$91,15,0)),0,VLOOKUP($S$72,'TAR FIN'!$A$1:$O$91,15,0))</f>
        <v>3.52</v>
      </c>
      <c r="W72" s="4">
        <f>IF(ISERROR(VLOOKUP($T$72,'TAR FIN'!$A$1:$O$91,15,0)),0,VLOOKUP($T$72,'TAR FIN'!$A$1:$O$91,15,0))</f>
        <v>0</v>
      </c>
      <c r="X72" s="4">
        <f>IF(ISERROR(VLOOKUP($U$72,'TAR FIN'!$A$1:$O$91,15,0)),0,VLOOKUP($U$72,'TAR FIN'!$A$1:$O$91,15,0))</f>
        <v>0</v>
      </c>
      <c r="Y72" s="4">
        <f ca="1">('TUSD BE'!$AM$12+'TUSD BF'!$AM$12+'TUSD CVA'!$AM$12)*1</f>
        <v>3.5546179029821179</v>
      </c>
      <c r="Z72" s="4"/>
      <c r="AA72" s="4"/>
      <c r="AB72" s="4">
        <f t="shared" si="8"/>
        <v>1760</v>
      </c>
      <c r="AC72" s="4">
        <f t="shared" si="9"/>
        <v>0</v>
      </c>
      <c r="AD72" s="4">
        <f t="shared" ca="1" si="10"/>
        <v>1777.3089514910589</v>
      </c>
      <c r="AE72" s="4">
        <f t="shared" si="11"/>
        <v>0</v>
      </c>
      <c r="AF72" s="3" t="s">
        <v>665</v>
      </c>
    </row>
    <row r="73" spans="1:32" ht="11.25" customHeight="1" x14ac:dyDescent="0.25">
      <c r="A73" s="3" t="s">
        <v>21</v>
      </c>
      <c r="B73" s="3" t="s">
        <v>35</v>
      </c>
      <c r="C73" s="3" t="s">
        <v>60</v>
      </c>
      <c r="D73" s="3" t="s">
        <v>25</v>
      </c>
      <c r="E73" s="3" t="s">
        <v>25</v>
      </c>
      <c r="F73" s="3" t="s">
        <v>25</v>
      </c>
      <c r="G73" s="3" t="s">
        <v>65</v>
      </c>
      <c r="H73" s="3" t="s">
        <v>25</v>
      </c>
      <c r="I73" s="6">
        <v>44501</v>
      </c>
      <c r="J73" s="4">
        <v>532</v>
      </c>
      <c r="K73" s="4">
        <v>266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62</v>
      </c>
      <c r="R73" s="3">
        <v>30591</v>
      </c>
      <c r="S73" s="3">
        <v>16</v>
      </c>
      <c r="T73" s="3">
        <v>0</v>
      </c>
      <c r="U73" s="3">
        <v>0</v>
      </c>
      <c r="V73" s="4">
        <f>IF(ISERROR(VLOOKUP($S$73,'TAR FIN'!$A$1:$O$91,15,0)),0,VLOOKUP($S$73,'TAR FIN'!$A$1:$O$91,15,0))</f>
        <v>3.52</v>
      </c>
      <c r="W73" s="4">
        <f>IF(ISERROR(VLOOKUP($T$73,'TAR FIN'!$A$1:$O$91,15,0)),0,VLOOKUP($T$73,'TAR FIN'!$A$1:$O$91,15,0))</f>
        <v>0</v>
      </c>
      <c r="X73" s="4">
        <f>IF(ISERROR(VLOOKUP($U$73,'TAR FIN'!$A$1:$O$91,15,0)),0,VLOOKUP($U$73,'TAR FIN'!$A$1:$O$91,15,0))</f>
        <v>0</v>
      </c>
      <c r="Y73" s="4">
        <f ca="1">('TUSD BE'!$AM$12+'TUSD BF'!$AM$12+'TUSD CVA'!$AM$12)*1</f>
        <v>3.5546179029821179</v>
      </c>
      <c r="Z73" s="4"/>
      <c r="AA73" s="4"/>
      <c r="AB73" s="4">
        <f t="shared" si="8"/>
        <v>936.32</v>
      </c>
      <c r="AC73" s="4">
        <f t="shared" si="9"/>
        <v>0</v>
      </c>
      <c r="AD73" s="4">
        <f t="shared" ca="1" si="10"/>
        <v>945.52836219324331</v>
      </c>
      <c r="AE73" s="4">
        <f t="shared" si="11"/>
        <v>0</v>
      </c>
      <c r="AF73" s="3" t="s">
        <v>665</v>
      </c>
    </row>
    <row r="74" spans="1:32" ht="11.25" customHeight="1" x14ac:dyDescent="0.25">
      <c r="A74" s="3" t="s">
        <v>21</v>
      </c>
      <c r="B74" s="3" t="s">
        <v>35</v>
      </c>
      <c r="C74" s="3" t="s">
        <v>60</v>
      </c>
      <c r="D74" s="3" t="s">
        <v>25</v>
      </c>
      <c r="E74" s="3" t="s">
        <v>25</v>
      </c>
      <c r="F74" s="3" t="s">
        <v>25</v>
      </c>
      <c r="G74" s="3" t="s">
        <v>61</v>
      </c>
      <c r="H74" s="3" t="s">
        <v>25</v>
      </c>
      <c r="I74" s="6">
        <v>44531</v>
      </c>
      <c r="J74" s="4">
        <v>2500</v>
      </c>
      <c r="K74" s="4">
        <v>1250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3" t="s">
        <v>62</v>
      </c>
      <c r="R74" s="3">
        <v>29137</v>
      </c>
      <c r="S74" s="3">
        <v>16</v>
      </c>
      <c r="T74" s="3">
        <v>0</v>
      </c>
      <c r="U74" s="3">
        <v>0</v>
      </c>
      <c r="V74" s="4">
        <f>IF(ISERROR(VLOOKUP($S$74,'TAR FIN'!$A$1:$O$91,15,0)),0,VLOOKUP($S$74,'TAR FIN'!$A$1:$O$91,15,0))</f>
        <v>3.52</v>
      </c>
      <c r="W74" s="4">
        <f>IF(ISERROR(VLOOKUP($T$74,'TAR FIN'!$A$1:$O$91,15,0)),0,VLOOKUP($T$74,'TAR FIN'!$A$1:$O$91,15,0))</f>
        <v>0</v>
      </c>
      <c r="X74" s="4">
        <f>IF(ISERROR(VLOOKUP($U$74,'TAR FIN'!$A$1:$O$91,15,0)),0,VLOOKUP($U$74,'TAR FIN'!$A$1:$O$91,15,0))</f>
        <v>0</v>
      </c>
      <c r="Y74" s="4">
        <f ca="1">('TUSD BE'!$AM$12+'TUSD BF'!$AM$12+'TUSD CVA'!$AM$12)*1</f>
        <v>3.5546179029821179</v>
      </c>
      <c r="Z74" s="4"/>
      <c r="AA74" s="4"/>
      <c r="AB74" s="4">
        <f t="shared" si="8"/>
        <v>4400</v>
      </c>
      <c r="AC74" s="4">
        <f t="shared" si="9"/>
        <v>0</v>
      </c>
      <c r="AD74" s="4">
        <f t="shared" ca="1" si="10"/>
        <v>4443.2723787276473</v>
      </c>
      <c r="AE74" s="4">
        <f t="shared" si="11"/>
        <v>0</v>
      </c>
      <c r="AF74" s="3" t="s">
        <v>665</v>
      </c>
    </row>
    <row r="75" spans="1:32" ht="11.25" customHeight="1" x14ac:dyDescent="0.25">
      <c r="A75" s="3" t="s">
        <v>21</v>
      </c>
      <c r="B75" s="3" t="s">
        <v>35</v>
      </c>
      <c r="C75" s="3" t="s">
        <v>60</v>
      </c>
      <c r="D75" s="3" t="s">
        <v>25</v>
      </c>
      <c r="E75" s="3" t="s">
        <v>25</v>
      </c>
      <c r="F75" s="3" t="s">
        <v>25</v>
      </c>
      <c r="G75" s="3" t="s">
        <v>63</v>
      </c>
      <c r="H75" s="3" t="s">
        <v>25</v>
      </c>
      <c r="I75" s="6">
        <v>44531</v>
      </c>
      <c r="J75" s="4">
        <v>335</v>
      </c>
      <c r="K75" s="4">
        <v>167.5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3" t="s">
        <v>62</v>
      </c>
      <c r="S75" s="3">
        <v>16</v>
      </c>
      <c r="T75" s="3">
        <v>0</v>
      </c>
      <c r="U75" s="3">
        <v>0</v>
      </c>
      <c r="V75" s="4">
        <f>IF(ISERROR(VLOOKUP($S$75,'TAR FIN'!$A$1:$O$91,15,0)),0,VLOOKUP($S$75,'TAR FIN'!$A$1:$O$91,15,0))</f>
        <v>3.52</v>
      </c>
      <c r="W75" s="4">
        <f>IF(ISERROR(VLOOKUP($T$75,'TAR FIN'!$A$1:$O$91,15,0)),0,VLOOKUP($T$75,'TAR FIN'!$A$1:$O$91,15,0))</f>
        <v>0</v>
      </c>
      <c r="X75" s="4">
        <f>IF(ISERROR(VLOOKUP($U$75,'TAR FIN'!$A$1:$O$91,15,0)),0,VLOOKUP($U$75,'TAR FIN'!$A$1:$O$91,15,0))</f>
        <v>0</v>
      </c>
      <c r="Y75" s="4">
        <f ca="1">('TUSD BE'!$AM$12+'TUSD BF'!$AM$12+'TUSD CVA'!$AM$12)*1</f>
        <v>3.5546179029821179</v>
      </c>
      <c r="Z75" s="4"/>
      <c r="AA75" s="4"/>
      <c r="AB75" s="4">
        <f t="shared" si="8"/>
        <v>589.6</v>
      </c>
      <c r="AC75" s="4">
        <f t="shared" si="9"/>
        <v>0</v>
      </c>
      <c r="AD75" s="4">
        <f t="shared" ca="1" si="10"/>
        <v>595.39849874950471</v>
      </c>
      <c r="AE75" s="4">
        <f t="shared" si="11"/>
        <v>0</v>
      </c>
      <c r="AF75" s="3" t="s">
        <v>665</v>
      </c>
    </row>
    <row r="76" spans="1:32" ht="11.25" customHeight="1" x14ac:dyDescent="0.25">
      <c r="A76" s="3" t="s">
        <v>21</v>
      </c>
      <c r="B76" s="3" t="s">
        <v>35</v>
      </c>
      <c r="C76" s="3" t="s">
        <v>60</v>
      </c>
      <c r="D76" s="3" t="s">
        <v>25</v>
      </c>
      <c r="E76" s="3" t="s">
        <v>25</v>
      </c>
      <c r="F76" s="3" t="s">
        <v>25</v>
      </c>
      <c r="G76" s="3" t="s">
        <v>64</v>
      </c>
      <c r="H76" s="3" t="s">
        <v>25</v>
      </c>
      <c r="I76" s="6">
        <v>44531</v>
      </c>
      <c r="J76" s="4">
        <v>1000</v>
      </c>
      <c r="K76" s="4">
        <v>500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3" t="s">
        <v>62</v>
      </c>
      <c r="R76" s="3">
        <v>29425</v>
      </c>
      <c r="S76" s="3">
        <v>16</v>
      </c>
      <c r="T76" s="3">
        <v>0</v>
      </c>
      <c r="U76" s="3">
        <v>0</v>
      </c>
      <c r="V76" s="4">
        <f>IF(ISERROR(VLOOKUP($S$76,'TAR FIN'!$A$1:$O$91,15,0)),0,VLOOKUP($S$76,'TAR FIN'!$A$1:$O$91,15,0))</f>
        <v>3.52</v>
      </c>
      <c r="W76" s="4">
        <f>IF(ISERROR(VLOOKUP($T$76,'TAR FIN'!$A$1:$O$91,15,0)),0,VLOOKUP($T$76,'TAR FIN'!$A$1:$O$91,15,0))</f>
        <v>0</v>
      </c>
      <c r="X76" s="4">
        <f>IF(ISERROR(VLOOKUP($U$76,'TAR FIN'!$A$1:$O$91,15,0)),0,VLOOKUP($U$76,'TAR FIN'!$A$1:$O$91,15,0))</f>
        <v>0</v>
      </c>
      <c r="Y76" s="4">
        <f ca="1">('TUSD BE'!$AM$12+'TUSD BF'!$AM$12+'TUSD CVA'!$AM$12)*1</f>
        <v>3.5546179029821179</v>
      </c>
      <c r="Z76" s="4"/>
      <c r="AA76" s="4"/>
      <c r="AB76" s="4">
        <f t="shared" si="8"/>
        <v>1760</v>
      </c>
      <c r="AC76" s="4">
        <f t="shared" si="9"/>
        <v>0</v>
      </c>
      <c r="AD76" s="4">
        <f t="shared" ca="1" si="10"/>
        <v>1777.3089514910589</v>
      </c>
      <c r="AE76" s="4">
        <f t="shared" si="11"/>
        <v>0</v>
      </c>
      <c r="AF76" s="3" t="s">
        <v>665</v>
      </c>
    </row>
    <row r="77" spans="1:32" ht="11.25" customHeight="1" x14ac:dyDescent="0.25">
      <c r="A77" s="3" t="s">
        <v>21</v>
      </c>
      <c r="B77" s="3" t="s">
        <v>35</v>
      </c>
      <c r="C77" s="3" t="s">
        <v>60</v>
      </c>
      <c r="D77" s="3" t="s">
        <v>25</v>
      </c>
      <c r="E77" s="3" t="s">
        <v>25</v>
      </c>
      <c r="F77" s="3" t="s">
        <v>25</v>
      </c>
      <c r="G77" s="3" t="s">
        <v>65</v>
      </c>
      <c r="H77" s="3" t="s">
        <v>25</v>
      </c>
      <c r="I77" s="6">
        <v>44531</v>
      </c>
      <c r="J77" s="4">
        <v>639</v>
      </c>
      <c r="K77" s="4">
        <v>319.5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 t="s">
        <v>62</v>
      </c>
      <c r="R77" s="3">
        <v>30591</v>
      </c>
      <c r="S77" s="3">
        <v>16</v>
      </c>
      <c r="T77" s="3">
        <v>0</v>
      </c>
      <c r="U77" s="3">
        <v>0</v>
      </c>
      <c r="V77" s="4">
        <f>IF(ISERROR(VLOOKUP($S$77,'TAR FIN'!$A$1:$O$91,15,0)),0,VLOOKUP($S$77,'TAR FIN'!$A$1:$O$91,15,0))</f>
        <v>3.52</v>
      </c>
      <c r="W77" s="4">
        <f>IF(ISERROR(VLOOKUP($T$77,'TAR FIN'!$A$1:$O$91,15,0)),0,VLOOKUP($T$77,'TAR FIN'!$A$1:$O$91,15,0))</f>
        <v>0</v>
      </c>
      <c r="X77" s="4">
        <f>IF(ISERROR(VLOOKUP($U$77,'TAR FIN'!$A$1:$O$91,15,0)),0,VLOOKUP($U$77,'TAR FIN'!$A$1:$O$91,15,0))</f>
        <v>0</v>
      </c>
      <c r="Y77" s="4">
        <f ca="1">('TUSD BE'!$AM$12+'TUSD BF'!$AM$12+'TUSD CVA'!$AM$12)*1</f>
        <v>3.5546179029821179</v>
      </c>
      <c r="Z77" s="4"/>
      <c r="AA77" s="4"/>
      <c r="AB77" s="4">
        <f t="shared" si="8"/>
        <v>1124.6400000000001</v>
      </c>
      <c r="AC77" s="4">
        <f t="shared" si="9"/>
        <v>0</v>
      </c>
      <c r="AD77" s="4">
        <f t="shared" ca="1" si="10"/>
        <v>1135.7004200027866</v>
      </c>
      <c r="AE77" s="4">
        <f t="shared" si="11"/>
        <v>0</v>
      </c>
      <c r="AF77" s="3" t="s">
        <v>665</v>
      </c>
    </row>
    <row r="78" spans="1:32" ht="11.25" customHeight="1" x14ac:dyDescent="0.25">
      <c r="A78" s="3" t="s">
        <v>21</v>
      </c>
      <c r="B78" s="3" t="s">
        <v>35</v>
      </c>
      <c r="C78" s="3" t="s">
        <v>60</v>
      </c>
      <c r="D78" s="3" t="s">
        <v>25</v>
      </c>
      <c r="E78" s="3" t="s">
        <v>25</v>
      </c>
      <c r="F78" s="3" t="s">
        <v>25</v>
      </c>
      <c r="G78" s="3" t="s">
        <v>61</v>
      </c>
      <c r="H78" s="3" t="s">
        <v>25</v>
      </c>
      <c r="I78" s="6">
        <v>44562</v>
      </c>
      <c r="J78" s="4">
        <v>2500</v>
      </c>
      <c r="K78" s="4">
        <v>1250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 t="s">
        <v>62</v>
      </c>
      <c r="R78" s="3">
        <v>29137</v>
      </c>
      <c r="S78" s="3">
        <v>16</v>
      </c>
      <c r="T78" s="3">
        <v>0</v>
      </c>
      <c r="U78" s="3">
        <v>0</v>
      </c>
      <c r="V78" s="4">
        <f>IF(ISERROR(VLOOKUP($S$78,'TAR FIN'!$A$1:$O$91,15,0)),0,VLOOKUP($S$78,'TAR FIN'!$A$1:$O$91,15,0))</f>
        <v>3.52</v>
      </c>
      <c r="W78" s="4">
        <f>IF(ISERROR(VLOOKUP($T$78,'TAR FIN'!$A$1:$O$91,15,0)),0,VLOOKUP($T$78,'TAR FIN'!$A$1:$O$91,15,0))</f>
        <v>0</v>
      </c>
      <c r="X78" s="4">
        <f>IF(ISERROR(VLOOKUP($U$78,'TAR FIN'!$A$1:$O$91,15,0)),0,VLOOKUP($U$78,'TAR FIN'!$A$1:$O$91,15,0))</f>
        <v>0</v>
      </c>
      <c r="Y78" s="4">
        <f ca="1">('TUSD BE'!$AM$12+'TUSD BF'!$AM$12+'TUSD CVA'!$AM$12)*1</f>
        <v>3.5546179029821179</v>
      </c>
      <c r="Z78" s="4"/>
      <c r="AA78" s="4"/>
      <c r="AB78" s="4">
        <f t="shared" si="8"/>
        <v>4400</v>
      </c>
      <c r="AC78" s="4">
        <f t="shared" si="9"/>
        <v>0</v>
      </c>
      <c r="AD78" s="4">
        <f t="shared" ca="1" si="10"/>
        <v>4443.2723787276473</v>
      </c>
      <c r="AE78" s="4">
        <f t="shared" si="11"/>
        <v>0</v>
      </c>
      <c r="AF78" s="3" t="s">
        <v>665</v>
      </c>
    </row>
    <row r="79" spans="1:32" ht="11.25" customHeight="1" x14ac:dyDescent="0.25">
      <c r="A79" s="3" t="s">
        <v>21</v>
      </c>
      <c r="B79" s="3" t="s">
        <v>35</v>
      </c>
      <c r="C79" s="3" t="s">
        <v>60</v>
      </c>
      <c r="D79" s="3" t="s">
        <v>25</v>
      </c>
      <c r="E79" s="3" t="s">
        <v>25</v>
      </c>
      <c r="F79" s="3" t="s">
        <v>25</v>
      </c>
      <c r="G79" s="3" t="s">
        <v>63</v>
      </c>
      <c r="H79" s="3" t="s">
        <v>25</v>
      </c>
      <c r="I79" s="6">
        <v>44562</v>
      </c>
      <c r="J79" s="4">
        <v>335</v>
      </c>
      <c r="K79" s="4">
        <v>167.5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 t="s">
        <v>62</v>
      </c>
      <c r="S79" s="3">
        <v>16</v>
      </c>
      <c r="T79" s="3">
        <v>0</v>
      </c>
      <c r="U79" s="3">
        <v>0</v>
      </c>
      <c r="V79" s="4">
        <f>IF(ISERROR(VLOOKUP($S$79,'TAR FIN'!$A$1:$O$91,15,0)),0,VLOOKUP($S$79,'TAR FIN'!$A$1:$O$91,15,0))</f>
        <v>3.52</v>
      </c>
      <c r="W79" s="4">
        <f>IF(ISERROR(VLOOKUP($T$79,'TAR FIN'!$A$1:$O$91,15,0)),0,VLOOKUP($T$79,'TAR FIN'!$A$1:$O$91,15,0))</f>
        <v>0</v>
      </c>
      <c r="X79" s="4">
        <f>IF(ISERROR(VLOOKUP($U$79,'TAR FIN'!$A$1:$O$91,15,0)),0,VLOOKUP($U$79,'TAR FIN'!$A$1:$O$91,15,0))</f>
        <v>0</v>
      </c>
      <c r="Y79" s="4">
        <f ca="1">('TUSD BE'!$AM$12+'TUSD BF'!$AM$12+'TUSD CVA'!$AM$12)*1</f>
        <v>3.5546179029821179</v>
      </c>
      <c r="Z79" s="4"/>
      <c r="AA79" s="4"/>
      <c r="AB79" s="4">
        <f t="shared" si="8"/>
        <v>589.6</v>
      </c>
      <c r="AC79" s="4">
        <f t="shared" si="9"/>
        <v>0</v>
      </c>
      <c r="AD79" s="4">
        <f t="shared" ca="1" si="10"/>
        <v>595.39849874950471</v>
      </c>
      <c r="AE79" s="4">
        <f t="shared" si="11"/>
        <v>0</v>
      </c>
      <c r="AF79" s="3" t="s">
        <v>665</v>
      </c>
    </row>
    <row r="80" spans="1:32" ht="11.25" customHeight="1" x14ac:dyDescent="0.25">
      <c r="A80" s="3" t="s">
        <v>21</v>
      </c>
      <c r="B80" s="3" t="s">
        <v>35</v>
      </c>
      <c r="C80" s="3" t="s">
        <v>60</v>
      </c>
      <c r="D80" s="3" t="s">
        <v>25</v>
      </c>
      <c r="E80" s="3" t="s">
        <v>25</v>
      </c>
      <c r="F80" s="3" t="s">
        <v>25</v>
      </c>
      <c r="G80" s="3" t="s">
        <v>64</v>
      </c>
      <c r="H80" s="3" t="s">
        <v>25</v>
      </c>
      <c r="I80" s="6">
        <v>44562</v>
      </c>
      <c r="J80" s="4">
        <v>1000</v>
      </c>
      <c r="K80" s="4">
        <v>500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 t="s">
        <v>62</v>
      </c>
      <c r="R80" s="3">
        <v>29425</v>
      </c>
      <c r="S80" s="3">
        <v>16</v>
      </c>
      <c r="T80" s="3">
        <v>0</v>
      </c>
      <c r="U80" s="3">
        <v>0</v>
      </c>
      <c r="V80" s="4">
        <f>IF(ISERROR(VLOOKUP($S$80,'TAR FIN'!$A$1:$O$91,15,0)),0,VLOOKUP($S$80,'TAR FIN'!$A$1:$O$91,15,0))</f>
        <v>3.52</v>
      </c>
      <c r="W80" s="4">
        <f>IF(ISERROR(VLOOKUP($T$80,'TAR FIN'!$A$1:$O$91,15,0)),0,VLOOKUP($T$80,'TAR FIN'!$A$1:$O$91,15,0))</f>
        <v>0</v>
      </c>
      <c r="X80" s="4">
        <f>IF(ISERROR(VLOOKUP($U$80,'TAR FIN'!$A$1:$O$91,15,0)),0,VLOOKUP($U$80,'TAR FIN'!$A$1:$O$91,15,0))</f>
        <v>0</v>
      </c>
      <c r="Y80" s="4">
        <f ca="1">('TUSD BE'!$AM$12+'TUSD BF'!$AM$12+'TUSD CVA'!$AM$12)*1</f>
        <v>3.5546179029821179</v>
      </c>
      <c r="Z80" s="4"/>
      <c r="AA80" s="4"/>
      <c r="AB80" s="4">
        <f t="shared" si="8"/>
        <v>1760</v>
      </c>
      <c r="AC80" s="4">
        <f t="shared" si="9"/>
        <v>0</v>
      </c>
      <c r="AD80" s="4">
        <f t="shared" ca="1" si="10"/>
        <v>1777.3089514910589</v>
      </c>
      <c r="AE80" s="4">
        <f t="shared" si="11"/>
        <v>0</v>
      </c>
      <c r="AF80" s="3" t="s">
        <v>665</v>
      </c>
    </row>
    <row r="81" spans="1:32" ht="11.25" customHeight="1" x14ac:dyDescent="0.25">
      <c r="A81" s="3" t="s">
        <v>21</v>
      </c>
      <c r="B81" s="3" t="s">
        <v>35</v>
      </c>
      <c r="C81" s="3" t="s">
        <v>60</v>
      </c>
      <c r="D81" s="3" t="s">
        <v>25</v>
      </c>
      <c r="E81" s="3" t="s">
        <v>25</v>
      </c>
      <c r="F81" s="3" t="s">
        <v>25</v>
      </c>
      <c r="G81" s="3" t="s">
        <v>65</v>
      </c>
      <c r="H81" s="3" t="s">
        <v>25</v>
      </c>
      <c r="I81" s="6">
        <v>44562</v>
      </c>
      <c r="J81" s="4">
        <v>639</v>
      </c>
      <c r="K81" s="4">
        <v>319.5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 t="s">
        <v>62</v>
      </c>
      <c r="R81" s="3">
        <v>30591</v>
      </c>
      <c r="S81" s="3">
        <v>16</v>
      </c>
      <c r="T81" s="3">
        <v>0</v>
      </c>
      <c r="U81" s="3">
        <v>0</v>
      </c>
      <c r="V81" s="4">
        <f>IF(ISERROR(VLOOKUP($S$81,'TAR FIN'!$A$1:$O$91,15,0)),0,VLOOKUP($S$81,'TAR FIN'!$A$1:$O$91,15,0))</f>
        <v>3.52</v>
      </c>
      <c r="W81" s="4">
        <f>IF(ISERROR(VLOOKUP($T$81,'TAR FIN'!$A$1:$O$91,15,0)),0,VLOOKUP($T$81,'TAR FIN'!$A$1:$O$91,15,0))</f>
        <v>0</v>
      </c>
      <c r="X81" s="4">
        <f>IF(ISERROR(VLOOKUP($U$81,'TAR FIN'!$A$1:$O$91,15,0)),0,VLOOKUP($U$81,'TAR FIN'!$A$1:$O$91,15,0))</f>
        <v>0</v>
      </c>
      <c r="Y81" s="4">
        <f ca="1">('TUSD BE'!$AM$12+'TUSD BF'!$AM$12+'TUSD CVA'!$AM$12)*1</f>
        <v>3.5546179029821179</v>
      </c>
      <c r="Z81" s="4"/>
      <c r="AA81" s="4"/>
      <c r="AB81" s="4">
        <f t="shared" si="8"/>
        <v>1124.6400000000001</v>
      </c>
      <c r="AC81" s="4">
        <f t="shared" si="9"/>
        <v>0</v>
      </c>
      <c r="AD81" s="4">
        <f t="shared" ca="1" si="10"/>
        <v>1135.7004200027866</v>
      </c>
      <c r="AE81" s="4">
        <f t="shared" si="11"/>
        <v>0</v>
      </c>
      <c r="AF81" s="3" t="s">
        <v>665</v>
      </c>
    </row>
    <row r="82" spans="1:32" ht="11.25" customHeight="1" x14ac:dyDescent="0.25">
      <c r="A82" s="3" t="s">
        <v>21</v>
      </c>
      <c r="B82" s="3" t="s">
        <v>35</v>
      </c>
      <c r="C82" s="3" t="s">
        <v>60</v>
      </c>
      <c r="D82" s="3" t="s">
        <v>25</v>
      </c>
      <c r="E82" s="3" t="s">
        <v>25</v>
      </c>
      <c r="F82" s="3" t="s">
        <v>25</v>
      </c>
      <c r="G82" s="3" t="s">
        <v>61</v>
      </c>
      <c r="H82" s="3" t="s">
        <v>25</v>
      </c>
      <c r="I82" s="6">
        <v>44593</v>
      </c>
      <c r="J82" s="4">
        <v>2500</v>
      </c>
      <c r="K82" s="4">
        <v>2500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 t="s">
        <v>62</v>
      </c>
      <c r="R82" s="3">
        <v>29137</v>
      </c>
      <c r="S82" s="3">
        <v>16</v>
      </c>
      <c r="T82" s="3">
        <v>0</v>
      </c>
      <c r="U82" s="3">
        <v>0</v>
      </c>
      <c r="V82" s="4">
        <f>IF(ISERROR(VLOOKUP($S$82,'TAR FIN'!$A$1:$O$91,15,0)),0,VLOOKUP($S$82,'TAR FIN'!$A$1:$O$91,15,0))</f>
        <v>3.52</v>
      </c>
      <c r="W82" s="4">
        <f>IF(ISERROR(VLOOKUP($T$82,'TAR FIN'!$A$1:$O$91,15,0)),0,VLOOKUP($T$82,'TAR FIN'!$A$1:$O$91,15,0))</f>
        <v>0</v>
      </c>
      <c r="X82" s="4">
        <f>IF(ISERROR(VLOOKUP($U$82,'TAR FIN'!$A$1:$O$91,15,0)),0,VLOOKUP($U$82,'TAR FIN'!$A$1:$O$91,15,0))</f>
        <v>0</v>
      </c>
      <c r="Y82" s="4">
        <f ca="1">('TUSD BE'!$AM$12+'TUSD BF'!$AM$12+'TUSD CVA'!$AM$12)*1</f>
        <v>3.5546179029821179</v>
      </c>
      <c r="Z82" s="4"/>
      <c r="AA82" s="4"/>
      <c r="AB82" s="4">
        <f t="shared" si="8"/>
        <v>0</v>
      </c>
      <c r="AC82" s="4">
        <f t="shared" si="9"/>
        <v>0</v>
      </c>
      <c r="AD82" s="4">
        <f t="shared" ca="1" si="10"/>
        <v>0</v>
      </c>
      <c r="AE82" s="4">
        <f t="shared" si="11"/>
        <v>0</v>
      </c>
      <c r="AF82" s="3" t="s">
        <v>665</v>
      </c>
    </row>
    <row r="83" spans="1:32" ht="11.25" customHeight="1" x14ac:dyDescent="0.25">
      <c r="A83" s="3" t="s">
        <v>21</v>
      </c>
      <c r="B83" s="3" t="s">
        <v>35</v>
      </c>
      <c r="C83" s="3" t="s">
        <v>60</v>
      </c>
      <c r="D83" s="3" t="s">
        <v>25</v>
      </c>
      <c r="E83" s="3" t="s">
        <v>25</v>
      </c>
      <c r="F83" s="3" t="s">
        <v>25</v>
      </c>
      <c r="G83" s="3" t="s">
        <v>63</v>
      </c>
      <c r="H83" s="3" t="s">
        <v>25</v>
      </c>
      <c r="I83" s="6">
        <v>44593</v>
      </c>
      <c r="J83" s="4">
        <v>335</v>
      </c>
      <c r="K83" s="4">
        <v>335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 t="s">
        <v>62</v>
      </c>
      <c r="S83" s="3">
        <v>16</v>
      </c>
      <c r="T83" s="3">
        <v>0</v>
      </c>
      <c r="U83" s="3">
        <v>0</v>
      </c>
      <c r="V83" s="4">
        <f>IF(ISERROR(VLOOKUP($S$83,'TAR FIN'!$A$1:$O$91,15,0)),0,VLOOKUP($S$83,'TAR FIN'!$A$1:$O$91,15,0))</f>
        <v>3.52</v>
      </c>
      <c r="W83" s="4">
        <f>IF(ISERROR(VLOOKUP($T$83,'TAR FIN'!$A$1:$O$91,15,0)),0,VLOOKUP($T$83,'TAR FIN'!$A$1:$O$91,15,0))</f>
        <v>0</v>
      </c>
      <c r="X83" s="4">
        <f>IF(ISERROR(VLOOKUP($U$83,'TAR FIN'!$A$1:$O$91,15,0)),0,VLOOKUP($U$83,'TAR FIN'!$A$1:$O$91,15,0))</f>
        <v>0</v>
      </c>
      <c r="Y83" s="4">
        <f ca="1">('TUSD BE'!$AM$12+'TUSD BF'!$AM$12+'TUSD CVA'!$AM$12)*1</f>
        <v>3.5546179029821179</v>
      </c>
      <c r="Z83" s="4"/>
      <c r="AA83" s="4"/>
      <c r="AB83" s="4">
        <f t="shared" si="8"/>
        <v>0</v>
      </c>
      <c r="AC83" s="4">
        <f t="shared" si="9"/>
        <v>0</v>
      </c>
      <c r="AD83" s="4">
        <f t="shared" ca="1" si="10"/>
        <v>0</v>
      </c>
      <c r="AE83" s="4">
        <f t="shared" si="11"/>
        <v>0</v>
      </c>
      <c r="AF83" s="3" t="s">
        <v>665</v>
      </c>
    </row>
    <row r="84" spans="1:32" ht="11.25" customHeight="1" x14ac:dyDescent="0.25">
      <c r="A84" s="3" t="s">
        <v>21</v>
      </c>
      <c r="B84" s="3" t="s">
        <v>35</v>
      </c>
      <c r="C84" s="3" t="s">
        <v>60</v>
      </c>
      <c r="D84" s="3" t="s">
        <v>25</v>
      </c>
      <c r="E84" s="3" t="s">
        <v>25</v>
      </c>
      <c r="F84" s="3" t="s">
        <v>25</v>
      </c>
      <c r="G84" s="3" t="s">
        <v>64</v>
      </c>
      <c r="H84" s="3" t="s">
        <v>25</v>
      </c>
      <c r="I84" s="6">
        <v>44593</v>
      </c>
      <c r="J84" s="4">
        <v>1000</v>
      </c>
      <c r="K84" s="4">
        <v>1000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 t="s">
        <v>62</v>
      </c>
      <c r="R84" s="3">
        <v>29425</v>
      </c>
      <c r="S84" s="3">
        <v>16</v>
      </c>
      <c r="T84" s="3">
        <v>0</v>
      </c>
      <c r="U84" s="3">
        <v>0</v>
      </c>
      <c r="V84" s="4">
        <f>IF(ISERROR(VLOOKUP($S$84,'TAR FIN'!$A$1:$O$91,15,0)),0,VLOOKUP($S$84,'TAR FIN'!$A$1:$O$91,15,0))</f>
        <v>3.52</v>
      </c>
      <c r="W84" s="4">
        <f>IF(ISERROR(VLOOKUP($T$84,'TAR FIN'!$A$1:$O$91,15,0)),0,VLOOKUP($T$84,'TAR FIN'!$A$1:$O$91,15,0))</f>
        <v>0</v>
      </c>
      <c r="X84" s="4">
        <f>IF(ISERROR(VLOOKUP($U$84,'TAR FIN'!$A$1:$O$91,15,0)),0,VLOOKUP($U$84,'TAR FIN'!$A$1:$O$91,15,0))</f>
        <v>0</v>
      </c>
      <c r="Y84" s="4">
        <f ca="1">('TUSD BE'!$AM$12+'TUSD BF'!$AM$12+'TUSD CVA'!$AM$12)*1</f>
        <v>3.5546179029821179</v>
      </c>
      <c r="Z84" s="4"/>
      <c r="AA84" s="4"/>
      <c r="AB84" s="4">
        <f t="shared" si="8"/>
        <v>0</v>
      </c>
      <c r="AC84" s="4">
        <f t="shared" si="9"/>
        <v>0</v>
      </c>
      <c r="AD84" s="4">
        <f t="shared" ca="1" si="10"/>
        <v>0</v>
      </c>
      <c r="AE84" s="4">
        <f t="shared" si="11"/>
        <v>0</v>
      </c>
      <c r="AF84" s="3" t="s">
        <v>665</v>
      </c>
    </row>
    <row r="85" spans="1:32" ht="11.25" customHeight="1" x14ac:dyDescent="0.25">
      <c r="A85" s="3" t="s">
        <v>21</v>
      </c>
      <c r="B85" s="3" t="s">
        <v>35</v>
      </c>
      <c r="C85" s="3" t="s">
        <v>60</v>
      </c>
      <c r="D85" s="3" t="s">
        <v>25</v>
      </c>
      <c r="E85" s="3" t="s">
        <v>25</v>
      </c>
      <c r="F85" s="3" t="s">
        <v>25</v>
      </c>
      <c r="G85" s="3" t="s">
        <v>65</v>
      </c>
      <c r="H85" s="3" t="s">
        <v>25</v>
      </c>
      <c r="I85" s="6">
        <v>44593</v>
      </c>
      <c r="J85" s="4">
        <v>520</v>
      </c>
      <c r="K85" s="4">
        <v>260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 t="s">
        <v>62</v>
      </c>
      <c r="R85" s="3">
        <v>30591</v>
      </c>
      <c r="S85" s="3">
        <v>16</v>
      </c>
      <c r="T85" s="3">
        <v>0</v>
      </c>
      <c r="U85" s="3">
        <v>0</v>
      </c>
      <c r="V85" s="4">
        <f>IF(ISERROR(VLOOKUP($S$85,'TAR FIN'!$A$1:$O$91,15,0)),0,VLOOKUP($S$85,'TAR FIN'!$A$1:$O$91,15,0))</f>
        <v>3.52</v>
      </c>
      <c r="W85" s="4">
        <f>IF(ISERROR(VLOOKUP($T$85,'TAR FIN'!$A$1:$O$91,15,0)),0,VLOOKUP($T$85,'TAR FIN'!$A$1:$O$91,15,0))</f>
        <v>0</v>
      </c>
      <c r="X85" s="4">
        <f>IF(ISERROR(VLOOKUP($U$85,'TAR FIN'!$A$1:$O$91,15,0)),0,VLOOKUP($U$85,'TAR FIN'!$A$1:$O$91,15,0))</f>
        <v>0</v>
      </c>
      <c r="Y85" s="4">
        <f ca="1">('TUSD BE'!$AM$12+'TUSD BF'!$AM$12+'TUSD CVA'!$AM$12)*1</f>
        <v>3.5546179029821179</v>
      </c>
      <c r="Z85" s="4"/>
      <c r="AA85" s="4"/>
      <c r="AB85" s="4">
        <f t="shared" si="8"/>
        <v>915.2</v>
      </c>
      <c r="AC85" s="4">
        <f t="shared" si="9"/>
        <v>0</v>
      </c>
      <c r="AD85" s="4">
        <f t="shared" ca="1" si="10"/>
        <v>924.2006547753507</v>
      </c>
      <c r="AE85" s="4">
        <f t="shared" si="11"/>
        <v>0</v>
      </c>
      <c r="AF85" s="3" t="s">
        <v>665</v>
      </c>
    </row>
    <row r="86" spans="1:32" ht="11.25" customHeight="1" x14ac:dyDescent="0.25">
      <c r="A86" s="3" t="s">
        <v>21</v>
      </c>
      <c r="B86" s="3" t="s">
        <v>35</v>
      </c>
      <c r="C86" s="3" t="s">
        <v>60</v>
      </c>
      <c r="D86" s="3" t="s">
        <v>25</v>
      </c>
      <c r="E86" s="3" t="s">
        <v>25</v>
      </c>
      <c r="F86" s="3" t="s">
        <v>25</v>
      </c>
      <c r="G86" s="3" t="s">
        <v>61</v>
      </c>
      <c r="H86" s="3" t="s">
        <v>25</v>
      </c>
      <c r="I86" s="6">
        <v>44621</v>
      </c>
      <c r="J86" s="4">
        <v>2500</v>
      </c>
      <c r="K86" s="4">
        <v>1250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3" t="s">
        <v>62</v>
      </c>
      <c r="R86" s="3">
        <v>29137</v>
      </c>
      <c r="S86" s="3">
        <v>16</v>
      </c>
      <c r="T86" s="3">
        <v>0</v>
      </c>
      <c r="U86" s="3">
        <v>0</v>
      </c>
      <c r="V86" s="4">
        <f>IF(ISERROR(VLOOKUP($S$86,'TAR FIN'!$A$1:$O$91,15,0)),0,VLOOKUP($S$86,'TAR FIN'!$A$1:$O$91,15,0))</f>
        <v>3.52</v>
      </c>
      <c r="W86" s="4">
        <f>IF(ISERROR(VLOOKUP($T$86,'TAR FIN'!$A$1:$O$91,15,0)),0,VLOOKUP($T$86,'TAR FIN'!$A$1:$O$91,15,0))</f>
        <v>0</v>
      </c>
      <c r="X86" s="4">
        <f>IF(ISERROR(VLOOKUP($U$86,'TAR FIN'!$A$1:$O$91,15,0)),0,VLOOKUP($U$86,'TAR FIN'!$A$1:$O$91,15,0))</f>
        <v>0</v>
      </c>
      <c r="Y86" s="4">
        <f ca="1">('TUSD BE'!$AM$12+'TUSD BF'!$AM$12+'TUSD CVA'!$AM$12)*1</f>
        <v>3.5546179029821179</v>
      </c>
      <c r="Z86" s="4"/>
      <c r="AA86" s="4"/>
      <c r="AB86" s="4">
        <f t="shared" si="8"/>
        <v>4400</v>
      </c>
      <c r="AC86" s="4">
        <f t="shared" si="9"/>
        <v>0</v>
      </c>
      <c r="AD86" s="4">
        <f t="shared" ca="1" si="10"/>
        <v>4443.2723787276473</v>
      </c>
      <c r="AE86" s="4">
        <f t="shared" si="11"/>
        <v>0</v>
      </c>
      <c r="AF86" s="3" t="s">
        <v>665</v>
      </c>
    </row>
    <row r="87" spans="1:32" ht="11.25" customHeight="1" x14ac:dyDescent="0.25">
      <c r="A87" s="3" t="s">
        <v>21</v>
      </c>
      <c r="B87" s="3" t="s">
        <v>35</v>
      </c>
      <c r="C87" s="3" t="s">
        <v>60</v>
      </c>
      <c r="D87" s="3" t="s">
        <v>25</v>
      </c>
      <c r="E87" s="3" t="s">
        <v>25</v>
      </c>
      <c r="F87" s="3" t="s">
        <v>25</v>
      </c>
      <c r="G87" s="3" t="s">
        <v>63</v>
      </c>
      <c r="H87" s="3" t="s">
        <v>25</v>
      </c>
      <c r="I87" s="6">
        <v>44621</v>
      </c>
      <c r="J87" s="4">
        <v>335</v>
      </c>
      <c r="K87" s="4">
        <v>167.5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3" t="s">
        <v>62</v>
      </c>
      <c r="S87" s="3">
        <v>16</v>
      </c>
      <c r="T87" s="3">
        <v>0</v>
      </c>
      <c r="U87" s="3">
        <v>0</v>
      </c>
      <c r="V87" s="4">
        <f>IF(ISERROR(VLOOKUP($S$87,'TAR FIN'!$A$1:$O$91,15,0)),0,VLOOKUP($S$87,'TAR FIN'!$A$1:$O$91,15,0))</f>
        <v>3.52</v>
      </c>
      <c r="W87" s="4">
        <f>IF(ISERROR(VLOOKUP($T$87,'TAR FIN'!$A$1:$O$91,15,0)),0,VLOOKUP($T$87,'TAR FIN'!$A$1:$O$91,15,0))</f>
        <v>0</v>
      </c>
      <c r="X87" s="4">
        <f>IF(ISERROR(VLOOKUP($U$87,'TAR FIN'!$A$1:$O$91,15,0)),0,VLOOKUP($U$87,'TAR FIN'!$A$1:$O$91,15,0))</f>
        <v>0</v>
      </c>
      <c r="Y87" s="4">
        <f ca="1">('TUSD BE'!$AM$12+'TUSD BF'!$AM$12+'TUSD CVA'!$AM$12)*1</f>
        <v>3.5546179029821179</v>
      </c>
      <c r="Z87" s="4"/>
      <c r="AA87" s="4"/>
      <c r="AB87" s="4">
        <f t="shared" si="8"/>
        <v>589.6</v>
      </c>
      <c r="AC87" s="4">
        <f t="shared" si="9"/>
        <v>0</v>
      </c>
      <c r="AD87" s="4">
        <f t="shared" ca="1" si="10"/>
        <v>595.39849874950471</v>
      </c>
      <c r="AE87" s="4">
        <f t="shared" si="11"/>
        <v>0</v>
      </c>
      <c r="AF87" s="3" t="s">
        <v>665</v>
      </c>
    </row>
    <row r="88" spans="1:32" ht="11.25" customHeight="1" x14ac:dyDescent="0.25">
      <c r="A88" s="3" t="s">
        <v>21</v>
      </c>
      <c r="B88" s="3" t="s">
        <v>35</v>
      </c>
      <c r="C88" s="3" t="s">
        <v>60</v>
      </c>
      <c r="D88" s="3" t="s">
        <v>25</v>
      </c>
      <c r="E88" s="3" t="s">
        <v>25</v>
      </c>
      <c r="F88" s="3" t="s">
        <v>25</v>
      </c>
      <c r="G88" s="3" t="s">
        <v>64</v>
      </c>
      <c r="H88" s="3" t="s">
        <v>25</v>
      </c>
      <c r="I88" s="6">
        <v>44621</v>
      </c>
      <c r="J88" s="4">
        <v>1000</v>
      </c>
      <c r="K88" s="4">
        <v>500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3" t="s">
        <v>62</v>
      </c>
      <c r="R88" s="3">
        <v>29425</v>
      </c>
      <c r="S88" s="3">
        <v>16</v>
      </c>
      <c r="T88" s="3">
        <v>0</v>
      </c>
      <c r="U88" s="3">
        <v>0</v>
      </c>
      <c r="V88" s="4">
        <f>IF(ISERROR(VLOOKUP($S$88,'TAR FIN'!$A$1:$O$91,15,0)),0,VLOOKUP($S$88,'TAR FIN'!$A$1:$O$91,15,0))</f>
        <v>3.52</v>
      </c>
      <c r="W88" s="4">
        <f>IF(ISERROR(VLOOKUP($T$88,'TAR FIN'!$A$1:$O$91,15,0)),0,VLOOKUP($T$88,'TAR FIN'!$A$1:$O$91,15,0))</f>
        <v>0</v>
      </c>
      <c r="X88" s="4">
        <f>IF(ISERROR(VLOOKUP($U$88,'TAR FIN'!$A$1:$O$91,15,0)),0,VLOOKUP($U$88,'TAR FIN'!$A$1:$O$91,15,0))</f>
        <v>0</v>
      </c>
      <c r="Y88" s="4">
        <f ca="1">('TUSD BE'!$AM$12+'TUSD BF'!$AM$12+'TUSD CVA'!$AM$12)*1</f>
        <v>3.5546179029821179</v>
      </c>
      <c r="Z88" s="4"/>
      <c r="AA88" s="4"/>
      <c r="AB88" s="4">
        <f t="shared" si="8"/>
        <v>1760</v>
      </c>
      <c r="AC88" s="4">
        <f t="shared" si="9"/>
        <v>0</v>
      </c>
      <c r="AD88" s="4">
        <f t="shared" ca="1" si="10"/>
        <v>1777.3089514910589</v>
      </c>
      <c r="AE88" s="4">
        <f t="shared" si="11"/>
        <v>0</v>
      </c>
      <c r="AF88" s="3" t="s">
        <v>665</v>
      </c>
    </row>
    <row r="89" spans="1:32" ht="11.25" customHeight="1" x14ac:dyDescent="0.25">
      <c r="A89" s="3" t="s">
        <v>21</v>
      </c>
      <c r="B89" s="3" t="s">
        <v>35</v>
      </c>
      <c r="C89" s="3" t="s">
        <v>60</v>
      </c>
      <c r="D89" s="3" t="s">
        <v>25</v>
      </c>
      <c r="E89" s="3" t="s">
        <v>25</v>
      </c>
      <c r="F89" s="3" t="s">
        <v>25</v>
      </c>
      <c r="G89" s="3" t="s">
        <v>65</v>
      </c>
      <c r="H89" s="3" t="s">
        <v>25</v>
      </c>
      <c r="I89" s="6">
        <v>44621</v>
      </c>
      <c r="J89" s="4">
        <v>726</v>
      </c>
      <c r="K89" s="4">
        <v>363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3" t="s">
        <v>62</v>
      </c>
      <c r="R89" s="3">
        <v>30591</v>
      </c>
      <c r="S89" s="3">
        <v>16</v>
      </c>
      <c r="T89" s="3">
        <v>0</v>
      </c>
      <c r="U89" s="3">
        <v>0</v>
      </c>
      <c r="V89" s="4">
        <f>IF(ISERROR(VLOOKUP($S$89,'TAR FIN'!$A$1:$O$91,15,0)),0,VLOOKUP($S$89,'TAR FIN'!$A$1:$O$91,15,0))</f>
        <v>3.52</v>
      </c>
      <c r="W89" s="4">
        <f>IF(ISERROR(VLOOKUP($T$89,'TAR FIN'!$A$1:$O$91,15,0)),0,VLOOKUP($T$89,'TAR FIN'!$A$1:$O$91,15,0))</f>
        <v>0</v>
      </c>
      <c r="X89" s="4">
        <f>IF(ISERROR(VLOOKUP($U$89,'TAR FIN'!$A$1:$O$91,15,0)),0,VLOOKUP($U$89,'TAR FIN'!$A$1:$O$91,15,0))</f>
        <v>0</v>
      </c>
      <c r="Y89" s="4">
        <f ca="1">('TUSD BE'!$AM$12+'TUSD BF'!$AM$12+'TUSD CVA'!$AM$12)*1</f>
        <v>3.5546179029821179</v>
      </c>
      <c r="Z89" s="4"/>
      <c r="AA89" s="4"/>
      <c r="AB89" s="4">
        <f t="shared" si="8"/>
        <v>1277.76</v>
      </c>
      <c r="AC89" s="4">
        <f t="shared" si="9"/>
        <v>0</v>
      </c>
      <c r="AD89" s="4">
        <f t="shared" ca="1" si="10"/>
        <v>1290.3262987825087</v>
      </c>
      <c r="AE89" s="4">
        <f t="shared" si="11"/>
        <v>0</v>
      </c>
      <c r="AF89" s="3" t="s">
        <v>665</v>
      </c>
    </row>
    <row r="90" spans="1:32" ht="11.25" customHeight="1" x14ac:dyDescent="0.25">
      <c r="A90" s="3" t="s">
        <v>21</v>
      </c>
      <c r="B90" s="3" t="s">
        <v>35</v>
      </c>
      <c r="C90" s="3" t="s">
        <v>60</v>
      </c>
      <c r="D90" s="3" t="s">
        <v>25</v>
      </c>
      <c r="E90" s="3" t="s">
        <v>25</v>
      </c>
      <c r="F90" s="3" t="s">
        <v>25</v>
      </c>
      <c r="G90" s="3" t="s">
        <v>61</v>
      </c>
      <c r="H90" s="3" t="s">
        <v>25</v>
      </c>
      <c r="I90" s="6">
        <v>44652</v>
      </c>
      <c r="J90" s="4">
        <v>2500</v>
      </c>
      <c r="K90" s="4">
        <v>1250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3" t="s">
        <v>62</v>
      </c>
      <c r="R90" s="3">
        <v>29137</v>
      </c>
      <c r="S90" s="3">
        <v>16</v>
      </c>
      <c r="T90" s="3">
        <v>0</v>
      </c>
      <c r="U90" s="3">
        <v>0</v>
      </c>
      <c r="V90" s="4">
        <f>IF(ISERROR(VLOOKUP($S$90,'TAR FIN'!$A$1:$O$91,15,0)),0,VLOOKUP($S$90,'TAR FIN'!$A$1:$O$91,15,0))</f>
        <v>3.52</v>
      </c>
      <c r="W90" s="4">
        <f>IF(ISERROR(VLOOKUP($T$90,'TAR FIN'!$A$1:$O$91,15,0)),0,VLOOKUP($T$90,'TAR FIN'!$A$1:$O$91,15,0))</f>
        <v>0</v>
      </c>
      <c r="X90" s="4">
        <f>IF(ISERROR(VLOOKUP($U$90,'TAR FIN'!$A$1:$O$91,15,0)),0,VLOOKUP($U$90,'TAR FIN'!$A$1:$O$91,15,0))</f>
        <v>0</v>
      </c>
      <c r="Y90" s="4">
        <f ca="1">('TUSD BE'!$AM$12+'TUSD BF'!$AM$12+'TUSD CVA'!$AM$12)*1</f>
        <v>3.5546179029821179</v>
      </c>
      <c r="Z90" s="4"/>
      <c r="AA90" s="4"/>
      <c r="AB90" s="4">
        <f t="shared" si="8"/>
        <v>4400</v>
      </c>
      <c r="AC90" s="4">
        <f t="shared" si="9"/>
        <v>0</v>
      </c>
      <c r="AD90" s="4">
        <f t="shared" ca="1" si="10"/>
        <v>4443.2723787276473</v>
      </c>
      <c r="AE90" s="4">
        <f t="shared" si="11"/>
        <v>0</v>
      </c>
      <c r="AF90" s="3" t="s">
        <v>665</v>
      </c>
    </row>
    <row r="91" spans="1:32" ht="11.25" customHeight="1" x14ac:dyDescent="0.25">
      <c r="A91" s="3" t="s">
        <v>21</v>
      </c>
      <c r="B91" s="3" t="s">
        <v>35</v>
      </c>
      <c r="C91" s="3" t="s">
        <v>60</v>
      </c>
      <c r="D91" s="3" t="s">
        <v>25</v>
      </c>
      <c r="E91" s="3" t="s">
        <v>25</v>
      </c>
      <c r="F91" s="3" t="s">
        <v>25</v>
      </c>
      <c r="G91" s="3" t="s">
        <v>63</v>
      </c>
      <c r="H91" s="3" t="s">
        <v>25</v>
      </c>
      <c r="I91" s="6">
        <v>44652</v>
      </c>
      <c r="J91" s="4">
        <v>335</v>
      </c>
      <c r="K91" s="4">
        <v>167.5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3" t="s">
        <v>62</v>
      </c>
      <c r="S91" s="3">
        <v>16</v>
      </c>
      <c r="T91" s="3">
        <v>0</v>
      </c>
      <c r="U91" s="3">
        <v>0</v>
      </c>
      <c r="V91" s="4">
        <f>IF(ISERROR(VLOOKUP($S$91,'TAR FIN'!$A$1:$O$91,15,0)),0,VLOOKUP($S$91,'TAR FIN'!$A$1:$O$91,15,0))</f>
        <v>3.52</v>
      </c>
      <c r="W91" s="4">
        <f>IF(ISERROR(VLOOKUP($T$91,'TAR FIN'!$A$1:$O$91,15,0)),0,VLOOKUP($T$91,'TAR FIN'!$A$1:$O$91,15,0))</f>
        <v>0</v>
      </c>
      <c r="X91" s="4">
        <f>IF(ISERROR(VLOOKUP($U$91,'TAR FIN'!$A$1:$O$91,15,0)),0,VLOOKUP($U$91,'TAR FIN'!$A$1:$O$91,15,0))</f>
        <v>0</v>
      </c>
      <c r="Y91" s="4">
        <f ca="1">('TUSD BE'!$AM$12+'TUSD BF'!$AM$12+'TUSD CVA'!$AM$12)*1</f>
        <v>3.5546179029821179</v>
      </c>
      <c r="Z91" s="4"/>
      <c r="AA91" s="4"/>
      <c r="AB91" s="4">
        <f t="shared" si="8"/>
        <v>589.6</v>
      </c>
      <c r="AC91" s="4">
        <f t="shared" si="9"/>
        <v>0</v>
      </c>
      <c r="AD91" s="4">
        <f t="shared" ca="1" si="10"/>
        <v>595.39849874950471</v>
      </c>
      <c r="AE91" s="4">
        <f t="shared" si="11"/>
        <v>0</v>
      </c>
      <c r="AF91" s="3" t="s">
        <v>665</v>
      </c>
    </row>
    <row r="92" spans="1:32" ht="11.25" customHeight="1" x14ac:dyDescent="0.25">
      <c r="A92" s="3" t="s">
        <v>21</v>
      </c>
      <c r="B92" s="3" t="s">
        <v>35</v>
      </c>
      <c r="C92" s="3" t="s">
        <v>60</v>
      </c>
      <c r="D92" s="3" t="s">
        <v>25</v>
      </c>
      <c r="E92" s="3" t="s">
        <v>25</v>
      </c>
      <c r="F92" s="3" t="s">
        <v>25</v>
      </c>
      <c r="G92" s="3" t="s">
        <v>64</v>
      </c>
      <c r="H92" s="3" t="s">
        <v>25</v>
      </c>
      <c r="I92" s="6">
        <v>44652</v>
      </c>
      <c r="J92" s="4">
        <v>1000</v>
      </c>
      <c r="K92" s="4">
        <v>500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 t="s">
        <v>62</v>
      </c>
      <c r="R92" s="3">
        <v>29425</v>
      </c>
      <c r="S92" s="3">
        <v>16</v>
      </c>
      <c r="T92" s="3">
        <v>0</v>
      </c>
      <c r="U92" s="3">
        <v>0</v>
      </c>
      <c r="V92" s="4">
        <f>IF(ISERROR(VLOOKUP($S$92,'TAR FIN'!$A$1:$O$91,15,0)),0,VLOOKUP($S$92,'TAR FIN'!$A$1:$O$91,15,0))</f>
        <v>3.52</v>
      </c>
      <c r="W92" s="4">
        <f>IF(ISERROR(VLOOKUP($T$92,'TAR FIN'!$A$1:$O$91,15,0)),0,VLOOKUP($T$92,'TAR FIN'!$A$1:$O$91,15,0))</f>
        <v>0</v>
      </c>
      <c r="X92" s="4">
        <f>IF(ISERROR(VLOOKUP($U$92,'TAR FIN'!$A$1:$O$91,15,0)),0,VLOOKUP($U$92,'TAR FIN'!$A$1:$O$91,15,0))</f>
        <v>0</v>
      </c>
      <c r="Y92" s="4">
        <f ca="1">('TUSD BE'!$AM$12+'TUSD BF'!$AM$12+'TUSD CVA'!$AM$12)*1</f>
        <v>3.5546179029821179</v>
      </c>
      <c r="Z92" s="4"/>
      <c r="AA92" s="4"/>
      <c r="AB92" s="4">
        <f t="shared" si="8"/>
        <v>1760</v>
      </c>
      <c r="AC92" s="4">
        <f t="shared" si="9"/>
        <v>0</v>
      </c>
      <c r="AD92" s="4">
        <f t="shared" ca="1" si="10"/>
        <v>1777.3089514910589</v>
      </c>
      <c r="AE92" s="4">
        <f t="shared" si="11"/>
        <v>0</v>
      </c>
      <c r="AF92" s="3" t="s">
        <v>665</v>
      </c>
    </row>
    <row r="93" spans="1:32" ht="11.25" customHeight="1" x14ac:dyDescent="0.25">
      <c r="A93" s="3" t="s">
        <v>21</v>
      </c>
      <c r="B93" s="3" t="s">
        <v>35</v>
      </c>
      <c r="C93" s="3" t="s">
        <v>60</v>
      </c>
      <c r="D93" s="3" t="s">
        <v>25</v>
      </c>
      <c r="E93" s="3" t="s">
        <v>25</v>
      </c>
      <c r="F93" s="3" t="s">
        <v>25</v>
      </c>
      <c r="G93" s="3" t="s">
        <v>65</v>
      </c>
      <c r="H93" s="3" t="s">
        <v>25</v>
      </c>
      <c r="I93" s="6">
        <v>44652</v>
      </c>
      <c r="J93" s="4">
        <v>663</v>
      </c>
      <c r="K93" s="4">
        <v>331.5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3" t="s">
        <v>62</v>
      </c>
      <c r="R93" s="3">
        <v>30591</v>
      </c>
      <c r="S93" s="3">
        <v>16</v>
      </c>
      <c r="T93" s="3">
        <v>0</v>
      </c>
      <c r="U93" s="3">
        <v>0</v>
      </c>
      <c r="V93" s="4">
        <f>IF(ISERROR(VLOOKUP($S$93,'TAR FIN'!$A$1:$O$91,15,0)),0,VLOOKUP($S$93,'TAR FIN'!$A$1:$O$91,15,0))</f>
        <v>3.52</v>
      </c>
      <c r="W93" s="4">
        <f>IF(ISERROR(VLOOKUP($T$93,'TAR FIN'!$A$1:$O$91,15,0)),0,VLOOKUP($T$93,'TAR FIN'!$A$1:$O$91,15,0))</f>
        <v>0</v>
      </c>
      <c r="X93" s="4">
        <f>IF(ISERROR(VLOOKUP($U$93,'TAR FIN'!$A$1:$O$91,15,0)),0,VLOOKUP($U$93,'TAR FIN'!$A$1:$O$91,15,0))</f>
        <v>0</v>
      </c>
      <c r="Y93" s="4">
        <f ca="1">('TUSD BE'!$AM$12+'TUSD BF'!$AM$12+'TUSD CVA'!$AM$12)*1</f>
        <v>3.5546179029821179</v>
      </c>
      <c r="Z93" s="4"/>
      <c r="AA93" s="4"/>
      <c r="AB93" s="4">
        <f t="shared" si="8"/>
        <v>1166.8800000000001</v>
      </c>
      <c r="AC93" s="4">
        <f t="shared" si="9"/>
        <v>0</v>
      </c>
      <c r="AD93" s="4">
        <f t="shared" ca="1" si="10"/>
        <v>1178.355834838572</v>
      </c>
      <c r="AE93" s="4">
        <f t="shared" si="11"/>
        <v>0</v>
      </c>
      <c r="AF93" s="3" t="s">
        <v>665</v>
      </c>
    </row>
    <row r="94" spans="1:32" ht="11.25" customHeight="1" x14ac:dyDescent="0.25">
      <c r="A94" s="3" t="s">
        <v>21</v>
      </c>
      <c r="B94" s="3" t="s">
        <v>35</v>
      </c>
      <c r="C94" s="3" t="s">
        <v>60</v>
      </c>
      <c r="D94" s="3" t="s">
        <v>25</v>
      </c>
      <c r="E94" s="3" t="s">
        <v>25</v>
      </c>
      <c r="F94" s="3" t="s">
        <v>25</v>
      </c>
      <c r="G94" s="3" t="s">
        <v>61</v>
      </c>
      <c r="H94" s="3" t="s">
        <v>25</v>
      </c>
      <c r="I94" s="6">
        <v>44682</v>
      </c>
      <c r="J94" s="4">
        <v>2500</v>
      </c>
      <c r="K94" s="4">
        <v>1250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3" t="s">
        <v>62</v>
      </c>
      <c r="R94" s="3">
        <v>29137</v>
      </c>
      <c r="S94" s="3">
        <v>16</v>
      </c>
      <c r="T94" s="3">
        <v>0</v>
      </c>
      <c r="U94" s="3">
        <v>0</v>
      </c>
      <c r="V94" s="4">
        <f>IF(ISERROR(VLOOKUP($S$94,'TAR FIN'!$A$1:$O$91,15,0)),0,VLOOKUP($S$94,'TAR FIN'!$A$1:$O$91,15,0))</f>
        <v>3.52</v>
      </c>
      <c r="W94" s="4">
        <f>IF(ISERROR(VLOOKUP($T$94,'TAR FIN'!$A$1:$O$91,15,0)),0,VLOOKUP($T$94,'TAR FIN'!$A$1:$O$91,15,0))</f>
        <v>0</v>
      </c>
      <c r="X94" s="4">
        <f>IF(ISERROR(VLOOKUP($U$94,'TAR FIN'!$A$1:$O$91,15,0)),0,VLOOKUP($U$94,'TAR FIN'!$A$1:$O$91,15,0))</f>
        <v>0</v>
      </c>
      <c r="Y94" s="4">
        <f ca="1">('TUSD BE'!$AM$12+'TUSD BF'!$AM$12+'TUSD CVA'!$AM$12)*1</f>
        <v>3.5546179029821179</v>
      </c>
      <c r="Z94" s="4"/>
      <c r="AA94" s="4"/>
      <c r="AB94" s="4">
        <f t="shared" si="8"/>
        <v>4400</v>
      </c>
      <c r="AC94" s="4">
        <f t="shared" si="9"/>
        <v>0</v>
      </c>
      <c r="AD94" s="4">
        <f t="shared" ca="1" si="10"/>
        <v>4443.2723787276473</v>
      </c>
      <c r="AE94" s="4">
        <f t="shared" si="11"/>
        <v>0</v>
      </c>
      <c r="AF94" s="3" t="s">
        <v>665</v>
      </c>
    </row>
    <row r="95" spans="1:32" ht="11.25" customHeight="1" x14ac:dyDescent="0.25">
      <c r="A95" s="3" t="s">
        <v>21</v>
      </c>
      <c r="B95" s="3" t="s">
        <v>35</v>
      </c>
      <c r="C95" s="3" t="s">
        <v>60</v>
      </c>
      <c r="D95" s="3" t="s">
        <v>25</v>
      </c>
      <c r="E95" s="3" t="s">
        <v>25</v>
      </c>
      <c r="F95" s="3" t="s">
        <v>25</v>
      </c>
      <c r="G95" s="3" t="s">
        <v>63</v>
      </c>
      <c r="H95" s="3" t="s">
        <v>25</v>
      </c>
      <c r="I95" s="6">
        <v>44682</v>
      </c>
      <c r="J95" s="4">
        <v>335</v>
      </c>
      <c r="K95" s="4">
        <v>167.5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3" t="s">
        <v>62</v>
      </c>
      <c r="S95" s="3">
        <v>16</v>
      </c>
      <c r="T95" s="3">
        <v>0</v>
      </c>
      <c r="U95" s="3">
        <v>0</v>
      </c>
      <c r="V95" s="4">
        <f>IF(ISERROR(VLOOKUP($S$95,'TAR FIN'!$A$1:$O$91,15,0)),0,VLOOKUP($S$95,'TAR FIN'!$A$1:$O$91,15,0))</f>
        <v>3.52</v>
      </c>
      <c r="W95" s="4">
        <f>IF(ISERROR(VLOOKUP($T$95,'TAR FIN'!$A$1:$O$91,15,0)),0,VLOOKUP($T$95,'TAR FIN'!$A$1:$O$91,15,0))</f>
        <v>0</v>
      </c>
      <c r="X95" s="4">
        <f>IF(ISERROR(VLOOKUP($U$95,'TAR FIN'!$A$1:$O$91,15,0)),0,VLOOKUP($U$95,'TAR FIN'!$A$1:$O$91,15,0))</f>
        <v>0</v>
      </c>
      <c r="Y95" s="4">
        <f ca="1">('TUSD BE'!$AM$12+'TUSD BF'!$AM$12+'TUSD CVA'!$AM$12)*1</f>
        <v>3.5546179029821179</v>
      </c>
      <c r="Z95" s="4"/>
      <c r="AA95" s="4"/>
      <c r="AB95" s="4">
        <f t="shared" si="8"/>
        <v>589.6</v>
      </c>
      <c r="AC95" s="4">
        <f t="shared" si="9"/>
        <v>0</v>
      </c>
      <c r="AD95" s="4">
        <f t="shared" ca="1" si="10"/>
        <v>595.39849874950471</v>
      </c>
      <c r="AE95" s="4">
        <f t="shared" si="11"/>
        <v>0</v>
      </c>
      <c r="AF95" s="3" t="s">
        <v>665</v>
      </c>
    </row>
    <row r="96" spans="1:32" ht="11.25" customHeight="1" x14ac:dyDescent="0.25">
      <c r="A96" s="3" t="s">
        <v>21</v>
      </c>
      <c r="B96" s="3" t="s">
        <v>35</v>
      </c>
      <c r="C96" s="3" t="s">
        <v>60</v>
      </c>
      <c r="D96" s="3" t="s">
        <v>25</v>
      </c>
      <c r="E96" s="3" t="s">
        <v>25</v>
      </c>
      <c r="F96" s="3" t="s">
        <v>25</v>
      </c>
      <c r="G96" s="3" t="s">
        <v>64</v>
      </c>
      <c r="H96" s="3" t="s">
        <v>25</v>
      </c>
      <c r="I96" s="6">
        <v>44682</v>
      </c>
      <c r="J96" s="4">
        <v>1000</v>
      </c>
      <c r="K96" s="4">
        <v>500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3" t="s">
        <v>62</v>
      </c>
      <c r="R96" s="3">
        <v>29425</v>
      </c>
      <c r="S96" s="3">
        <v>16</v>
      </c>
      <c r="T96" s="3">
        <v>0</v>
      </c>
      <c r="U96" s="3">
        <v>0</v>
      </c>
      <c r="V96" s="4">
        <f>IF(ISERROR(VLOOKUP($S$96,'TAR FIN'!$A$1:$O$91,15,0)),0,VLOOKUP($S$96,'TAR FIN'!$A$1:$O$91,15,0))</f>
        <v>3.52</v>
      </c>
      <c r="W96" s="4">
        <f>IF(ISERROR(VLOOKUP($T$96,'TAR FIN'!$A$1:$O$91,15,0)),0,VLOOKUP($T$96,'TAR FIN'!$A$1:$O$91,15,0))</f>
        <v>0</v>
      </c>
      <c r="X96" s="4">
        <f>IF(ISERROR(VLOOKUP($U$96,'TAR FIN'!$A$1:$O$91,15,0)),0,VLOOKUP($U$96,'TAR FIN'!$A$1:$O$91,15,0))</f>
        <v>0</v>
      </c>
      <c r="Y96" s="4">
        <f ca="1">('TUSD BE'!$AM$12+'TUSD BF'!$AM$12+'TUSD CVA'!$AM$12)*1</f>
        <v>3.5546179029821179</v>
      </c>
      <c r="Z96" s="4"/>
      <c r="AA96" s="4"/>
      <c r="AB96" s="4">
        <f t="shared" si="8"/>
        <v>1760</v>
      </c>
      <c r="AC96" s="4">
        <f t="shared" si="9"/>
        <v>0</v>
      </c>
      <c r="AD96" s="4">
        <f t="shared" ca="1" si="10"/>
        <v>1777.3089514910589</v>
      </c>
      <c r="AE96" s="4">
        <f t="shared" si="11"/>
        <v>0</v>
      </c>
      <c r="AF96" s="3" t="s">
        <v>665</v>
      </c>
    </row>
    <row r="97" spans="1:32" ht="11.25" customHeight="1" x14ac:dyDescent="0.25">
      <c r="A97" s="3" t="s">
        <v>21</v>
      </c>
      <c r="B97" s="3" t="s">
        <v>35</v>
      </c>
      <c r="C97" s="3" t="s">
        <v>60</v>
      </c>
      <c r="D97" s="3" t="s">
        <v>25</v>
      </c>
      <c r="E97" s="3" t="s">
        <v>25</v>
      </c>
      <c r="F97" s="3" t="s">
        <v>25</v>
      </c>
      <c r="G97" s="3" t="s">
        <v>65</v>
      </c>
      <c r="H97" s="3" t="s">
        <v>25</v>
      </c>
      <c r="I97" s="6">
        <v>44682</v>
      </c>
      <c r="J97" s="4">
        <v>480</v>
      </c>
      <c r="K97" s="4">
        <v>240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3" t="s">
        <v>62</v>
      </c>
      <c r="R97" s="3">
        <v>30591</v>
      </c>
      <c r="S97" s="3">
        <v>16</v>
      </c>
      <c r="T97" s="3">
        <v>0</v>
      </c>
      <c r="U97" s="3">
        <v>0</v>
      </c>
      <c r="V97" s="4">
        <f>IF(ISERROR(VLOOKUP($S$97,'TAR FIN'!$A$1:$O$91,15,0)),0,VLOOKUP($S$97,'TAR FIN'!$A$1:$O$91,15,0))</f>
        <v>3.52</v>
      </c>
      <c r="W97" s="4">
        <f>IF(ISERROR(VLOOKUP($T$97,'TAR FIN'!$A$1:$O$91,15,0)),0,VLOOKUP($T$97,'TAR FIN'!$A$1:$O$91,15,0))</f>
        <v>0</v>
      </c>
      <c r="X97" s="4">
        <f>IF(ISERROR(VLOOKUP($U$97,'TAR FIN'!$A$1:$O$91,15,0)),0,VLOOKUP($U$97,'TAR FIN'!$A$1:$O$91,15,0))</f>
        <v>0</v>
      </c>
      <c r="Y97" s="4">
        <f ca="1">('TUSD BE'!$AM$12+'TUSD BF'!$AM$12+'TUSD CVA'!$AM$12)*1</f>
        <v>3.5546179029821179</v>
      </c>
      <c r="Z97" s="4"/>
      <c r="AA97" s="4"/>
      <c r="AB97" s="4">
        <f t="shared" si="8"/>
        <v>844.8</v>
      </c>
      <c r="AC97" s="4">
        <f t="shared" si="9"/>
        <v>0</v>
      </c>
      <c r="AD97" s="4">
        <f t="shared" ca="1" si="10"/>
        <v>853.10829671570832</v>
      </c>
      <c r="AE97" s="4">
        <f t="shared" si="11"/>
        <v>0</v>
      </c>
      <c r="AF97" s="3" t="s">
        <v>665</v>
      </c>
    </row>
    <row r="98" spans="1:32" ht="11.25" customHeight="1" x14ac:dyDescent="0.25">
      <c r="A98" s="3" t="s">
        <v>21</v>
      </c>
      <c r="B98" s="3" t="s">
        <v>35</v>
      </c>
      <c r="C98" s="3" t="s">
        <v>60</v>
      </c>
      <c r="D98" s="3" t="s">
        <v>25</v>
      </c>
      <c r="E98" s="3" t="s">
        <v>25</v>
      </c>
      <c r="F98" s="3" t="s">
        <v>25</v>
      </c>
      <c r="G98" s="3" t="s">
        <v>61</v>
      </c>
      <c r="H98" s="3" t="s">
        <v>25</v>
      </c>
      <c r="I98" s="6">
        <v>44713</v>
      </c>
      <c r="J98" s="4">
        <v>2500</v>
      </c>
      <c r="K98" s="4">
        <v>1250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3" t="s">
        <v>62</v>
      </c>
      <c r="R98" s="3">
        <v>29137</v>
      </c>
      <c r="S98" s="3">
        <v>16</v>
      </c>
      <c r="T98" s="3">
        <v>0</v>
      </c>
      <c r="U98" s="3">
        <v>0</v>
      </c>
      <c r="V98" s="4">
        <f>IF(ISERROR(VLOOKUP($S$98,'TAR FIN'!$A$1:$O$91,15,0)),0,VLOOKUP($S$98,'TAR FIN'!$A$1:$O$91,15,0))</f>
        <v>3.52</v>
      </c>
      <c r="W98" s="4">
        <f>IF(ISERROR(VLOOKUP($T$98,'TAR FIN'!$A$1:$O$91,15,0)),0,VLOOKUP($T$98,'TAR FIN'!$A$1:$O$91,15,0))</f>
        <v>0</v>
      </c>
      <c r="X98" s="4">
        <f>IF(ISERROR(VLOOKUP($U$98,'TAR FIN'!$A$1:$O$91,15,0)),0,VLOOKUP($U$98,'TAR FIN'!$A$1:$O$91,15,0))</f>
        <v>0</v>
      </c>
      <c r="Y98" s="4">
        <f ca="1">('TUSD BE'!$AM$12+'TUSD BF'!$AM$12+'TUSD CVA'!$AM$12)*1</f>
        <v>3.5546179029821179</v>
      </c>
      <c r="Z98" s="4"/>
      <c r="AA98" s="4"/>
      <c r="AB98" s="4">
        <f t="shared" si="8"/>
        <v>4400</v>
      </c>
      <c r="AC98" s="4">
        <f t="shared" ref="AC98:AC109" si="12">(L98-M98)*W98+(N98-O98)*X98</f>
        <v>0</v>
      </c>
      <c r="AD98" s="4">
        <f t="shared" ca="1" si="10"/>
        <v>4443.2723787276473</v>
      </c>
      <c r="AE98" s="4">
        <f t="shared" ref="AE98:AE109" si="13">(L98-M98)*Z98+(N98-O98)*AA98</f>
        <v>0</v>
      </c>
      <c r="AF98" s="3" t="s">
        <v>665</v>
      </c>
    </row>
    <row r="99" spans="1:32" ht="11.25" customHeight="1" x14ac:dyDescent="0.25">
      <c r="A99" s="3" t="s">
        <v>21</v>
      </c>
      <c r="B99" s="3" t="s">
        <v>35</v>
      </c>
      <c r="C99" s="3" t="s">
        <v>60</v>
      </c>
      <c r="D99" s="3" t="s">
        <v>25</v>
      </c>
      <c r="E99" s="3" t="s">
        <v>25</v>
      </c>
      <c r="F99" s="3" t="s">
        <v>25</v>
      </c>
      <c r="G99" s="3" t="s">
        <v>63</v>
      </c>
      <c r="H99" s="3" t="s">
        <v>25</v>
      </c>
      <c r="I99" s="6">
        <v>44713</v>
      </c>
      <c r="J99" s="4">
        <v>335</v>
      </c>
      <c r="K99" s="4">
        <v>167.5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3" t="s">
        <v>62</v>
      </c>
      <c r="S99" s="3">
        <v>16</v>
      </c>
      <c r="T99" s="3">
        <v>0</v>
      </c>
      <c r="U99" s="3">
        <v>0</v>
      </c>
      <c r="V99" s="4">
        <f>IF(ISERROR(VLOOKUP($S$99,'TAR FIN'!$A$1:$O$91,15,0)),0,VLOOKUP($S$99,'TAR FIN'!$A$1:$O$91,15,0))</f>
        <v>3.52</v>
      </c>
      <c r="W99" s="4">
        <f>IF(ISERROR(VLOOKUP($T$99,'TAR FIN'!$A$1:$O$91,15,0)),0,VLOOKUP($T$99,'TAR FIN'!$A$1:$O$91,15,0))</f>
        <v>0</v>
      </c>
      <c r="X99" s="4">
        <f>IF(ISERROR(VLOOKUP($U$99,'TAR FIN'!$A$1:$O$91,15,0)),0,VLOOKUP($U$99,'TAR FIN'!$A$1:$O$91,15,0))</f>
        <v>0</v>
      </c>
      <c r="Y99" s="4">
        <f ca="1">('TUSD BE'!$AM$12+'TUSD BF'!$AM$12+'TUSD CVA'!$AM$12)*1</f>
        <v>3.5546179029821179</v>
      </c>
      <c r="Z99" s="4"/>
      <c r="AA99" s="4"/>
      <c r="AB99" s="4">
        <f t="shared" si="8"/>
        <v>589.6</v>
      </c>
      <c r="AC99" s="4">
        <f t="shared" si="12"/>
        <v>0</v>
      </c>
      <c r="AD99" s="4">
        <f t="shared" ca="1" si="10"/>
        <v>595.39849874950471</v>
      </c>
      <c r="AE99" s="4">
        <f t="shared" si="13"/>
        <v>0</v>
      </c>
      <c r="AF99" s="3" t="s">
        <v>665</v>
      </c>
    </row>
    <row r="100" spans="1:32" ht="11.25" customHeight="1" x14ac:dyDescent="0.25">
      <c r="A100" s="3" t="s">
        <v>21</v>
      </c>
      <c r="B100" s="3" t="s">
        <v>35</v>
      </c>
      <c r="C100" s="3" t="s">
        <v>60</v>
      </c>
      <c r="D100" s="3" t="s">
        <v>25</v>
      </c>
      <c r="E100" s="3" t="s">
        <v>25</v>
      </c>
      <c r="F100" s="3" t="s">
        <v>25</v>
      </c>
      <c r="G100" s="3" t="s">
        <v>64</v>
      </c>
      <c r="H100" s="3" t="s">
        <v>25</v>
      </c>
      <c r="I100" s="6">
        <v>44713</v>
      </c>
      <c r="J100" s="4">
        <v>1000</v>
      </c>
      <c r="K100" s="4">
        <v>500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 t="s">
        <v>62</v>
      </c>
      <c r="R100" s="3">
        <v>29425</v>
      </c>
      <c r="S100" s="3">
        <v>16</v>
      </c>
      <c r="T100" s="3">
        <v>0</v>
      </c>
      <c r="U100" s="3">
        <v>0</v>
      </c>
      <c r="V100" s="4">
        <f>IF(ISERROR(VLOOKUP($S$100,'TAR FIN'!$A$1:$O$91,15,0)),0,VLOOKUP($S$100,'TAR FIN'!$A$1:$O$91,15,0))</f>
        <v>3.52</v>
      </c>
      <c r="W100" s="4">
        <f>IF(ISERROR(VLOOKUP($T$100,'TAR FIN'!$A$1:$O$91,15,0)),0,VLOOKUP($T$100,'TAR FIN'!$A$1:$O$91,15,0))</f>
        <v>0</v>
      </c>
      <c r="X100" s="4">
        <f>IF(ISERROR(VLOOKUP($U$100,'TAR FIN'!$A$1:$O$91,15,0)),0,VLOOKUP($U$100,'TAR FIN'!$A$1:$O$91,15,0))</f>
        <v>0</v>
      </c>
      <c r="Y100" s="4">
        <f ca="1">('TUSD BE'!$AM$12+'TUSD BF'!$AM$12+'TUSD CVA'!$AM$12)*1</f>
        <v>3.5546179029821179</v>
      </c>
      <c r="Z100" s="4"/>
      <c r="AA100" s="4"/>
      <c r="AB100" s="4">
        <f t="shared" si="8"/>
        <v>1760</v>
      </c>
      <c r="AC100" s="4">
        <f t="shared" si="12"/>
        <v>0</v>
      </c>
      <c r="AD100" s="4">
        <f t="shared" ca="1" si="10"/>
        <v>1777.3089514910589</v>
      </c>
      <c r="AE100" s="4">
        <f t="shared" si="13"/>
        <v>0</v>
      </c>
      <c r="AF100" s="3" t="s">
        <v>665</v>
      </c>
    </row>
    <row r="101" spans="1:32" ht="11.25" customHeight="1" x14ac:dyDescent="0.25">
      <c r="A101" s="3" t="s">
        <v>21</v>
      </c>
      <c r="B101" s="3" t="s">
        <v>35</v>
      </c>
      <c r="C101" s="3" t="s">
        <v>60</v>
      </c>
      <c r="D101" s="3" t="s">
        <v>25</v>
      </c>
      <c r="E101" s="3" t="s">
        <v>25</v>
      </c>
      <c r="F101" s="3" t="s">
        <v>25</v>
      </c>
      <c r="G101" s="3" t="s">
        <v>65</v>
      </c>
      <c r="H101" s="3" t="s">
        <v>25</v>
      </c>
      <c r="I101" s="6">
        <v>44713</v>
      </c>
      <c r="J101" s="4">
        <v>509</v>
      </c>
      <c r="K101" s="4">
        <v>254.5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3" t="s">
        <v>62</v>
      </c>
      <c r="R101" s="3">
        <v>30591</v>
      </c>
      <c r="S101" s="3">
        <v>16</v>
      </c>
      <c r="T101" s="3">
        <v>0</v>
      </c>
      <c r="U101" s="3">
        <v>0</v>
      </c>
      <c r="V101" s="4">
        <f>IF(ISERROR(VLOOKUP($S$101,'TAR FIN'!$A$1:$O$91,15,0)),0,VLOOKUP($S$101,'TAR FIN'!$A$1:$O$91,15,0))</f>
        <v>3.52</v>
      </c>
      <c r="W101" s="4">
        <f>IF(ISERROR(VLOOKUP($T$101,'TAR FIN'!$A$1:$O$91,15,0)),0,VLOOKUP($T$101,'TAR FIN'!$A$1:$O$91,15,0))</f>
        <v>0</v>
      </c>
      <c r="X101" s="4">
        <f>IF(ISERROR(VLOOKUP($U$101,'TAR FIN'!$A$1:$O$91,15,0)),0,VLOOKUP($U$101,'TAR FIN'!$A$1:$O$91,15,0))</f>
        <v>0</v>
      </c>
      <c r="Y101" s="4">
        <f ca="1">('TUSD BE'!$AM$12+'TUSD BF'!$AM$12+'TUSD CVA'!$AM$12)*1</f>
        <v>3.5546179029821179</v>
      </c>
      <c r="Z101" s="4"/>
      <c r="AA101" s="4"/>
      <c r="AB101" s="4">
        <f t="shared" si="8"/>
        <v>895.84</v>
      </c>
      <c r="AC101" s="4">
        <f t="shared" si="12"/>
        <v>0</v>
      </c>
      <c r="AD101" s="4">
        <f t="shared" ca="1" si="10"/>
        <v>904.650256308949</v>
      </c>
      <c r="AE101" s="4">
        <f t="shared" si="13"/>
        <v>0</v>
      </c>
      <c r="AF101" s="3" t="s">
        <v>665</v>
      </c>
    </row>
    <row r="102" spans="1:32" ht="11.25" customHeight="1" x14ac:dyDescent="0.25">
      <c r="A102" s="3" t="s">
        <v>21</v>
      </c>
      <c r="B102" s="3" t="s">
        <v>35</v>
      </c>
      <c r="C102" s="3" t="s">
        <v>60</v>
      </c>
      <c r="D102" s="3" t="s">
        <v>25</v>
      </c>
      <c r="E102" s="3" t="s">
        <v>25</v>
      </c>
      <c r="F102" s="3" t="s">
        <v>25</v>
      </c>
      <c r="G102" s="3" t="s">
        <v>61</v>
      </c>
      <c r="H102" s="3" t="s">
        <v>25</v>
      </c>
      <c r="I102" s="6">
        <v>44743</v>
      </c>
      <c r="J102" s="4">
        <v>2500</v>
      </c>
      <c r="K102" s="4">
        <v>1250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3" t="s">
        <v>62</v>
      </c>
      <c r="R102" s="3">
        <v>29137</v>
      </c>
      <c r="S102" s="3">
        <v>16</v>
      </c>
      <c r="T102" s="3">
        <v>0</v>
      </c>
      <c r="U102" s="3">
        <v>0</v>
      </c>
      <c r="V102" s="4">
        <f>IF(ISERROR(VLOOKUP($S$102,'TAR FIN'!$A$1:$O$91,15,0)),0,VLOOKUP($S$102,'TAR FIN'!$A$1:$O$91,15,0))</f>
        <v>3.52</v>
      </c>
      <c r="W102" s="4">
        <f>IF(ISERROR(VLOOKUP($T$102,'TAR FIN'!$A$1:$O$91,15,0)),0,VLOOKUP($T$102,'TAR FIN'!$A$1:$O$91,15,0))</f>
        <v>0</v>
      </c>
      <c r="X102" s="4">
        <f>IF(ISERROR(VLOOKUP($U$102,'TAR FIN'!$A$1:$O$91,15,0)),0,VLOOKUP($U$102,'TAR FIN'!$A$1:$O$91,15,0))</f>
        <v>0</v>
      </c>
      <c r="Y102" s="4">
        <f ca="1">('TUSD BE'!$AM$12+'TUSD BF'!$AM$12+'TUSD CVA'!$AM$12)*1</f>
        <v>3.5546179029821179</v>
      </c>
      <c r="Z102" s="4"/>
      <c r="AA102" s="4"/>
      <c r="AB102" s="4">
        <f t="shared" si="8"/>
        <v>4400</v>
      </c>
      <c r="AC102" s="4">
        <f t="shared" si="12"/>
        <v>0</v>
      </c>
      <c r="AD102" s="4">
        <f t="shared" ca="1" si="10"/>
        <v>4443.2723787276473</v>
      </c>
      <c r="AE102" s="4">
        <f t="shared" si="13"/>
        <v>0</v>
      </c>
      <c r="AF102" s="3" t="s">
        <v>665</v>
      </c>
    </row>
    <row r="103" spans="1:32" ht="11.25" customHeight="1" x14ac:dyDescent="0.25">
      <c r="A103" s="3" t="s">
        <v>21</v>
      </c>
      <c r="B103" s="3" t="s">
        <v>35</v>
      </c>
      <c r="C103" s="3" t="s">
        <v>60</v>
      </c>
      <c r="D103" s="3" t="s">
        <v>25</v>
      </c>
      <c r="E103" s="3" t="s">
        <v>25</v>
      </c>
      <c r="F103" s="3" t="s">
        <v>25</v>
      </c>
      <c r="G103" s="3" t="s">
        <v>63</v>
      </c>
      <c r="H103" s="3" t="s">
        <v>25</v>
      </c>
      <c r="I103" s="6">
        <v>44743</v>
      </c>
      <c r="J103" s="4">
        <v>335</v>
      </c>
      <c r="K103" s="4">
        <v>167.5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 t="s">
        <v>62</v>
      </c>
      <c r="S103" s="3">
        <v>16</v>
      </c>
      <c r="T103" s="3">
        <v>0</v>
      </c>
      <c r="U103" s="3">
        <v>0</v>
      </c>
      <c r="V103" s="4">
        <f>IF(ISERROR(VLOOKUP($S$103,'TAR FIN'!$A$1:$O$91,15,0)),0,VLOOKUP($S$103,'TAR FIN'!$A$1:$O$91,15,0))</f>
        <v>3.52</v>
      </c>
      <c r="W103" s="4">
        <f>IF(ISERROR(VLOOKUP($T$103,'TAR FIN'!$A$1:$O$91,15,0)),0,VLOOKUP($T$103,'TAR FIN'!$A$1:$O$91,15,0))</f>
        <v>0</v>
      </c>
      <c r="X103" s="4">
        <f>IF(ISERROR(VLOOKUP($U$103,'TAR FIN'!$A$1:$O$91,15,0)),0,VLOOKUP($U$103,'TAR FIN'!$A$1:$O$91,15,0))</f>
        <v>0</v>
      </c>
      <c r="Y103" s="4">
        <f ca="1">('TUSD BE'!$AM$12+'TUSD BF'!$AM$12+'TUSD CVA'!$AM$12)*1</f>
        <v>3.5546179029821179</v>
      </c>
      <c r="Z103" s="4"/>
      <c r="AA103" s="4"/>
      <c r="AB103" s="4">
        <f t="shared" si="8"/>
        <v>589.6</v>
      </c>
      <c r="AC103" s="4">
        <f t="shared" si="12"/>
        <v>0</v>
      </c>
      <c r="AD103" s="4">
        <f t="shared" ca="1" si="10"/>
        <v>595.39849874950471</v>
      </c>
      <c r="AE103" s="4">
        <f t="shared" si="13"/>
        <v>0</v>
      </c>
      <c r="AF103" s="3" t="s">
        <v>665</v>
      </c>
    </row>
    <row r="104" spans="1:32" ht="11.25" customHeight="1" x14ac:dyDescent="0.25">
      <c r="A104" s="3" t="s">
        <v>21</v>
      </c>
      <c r="B104" s="3" t="s">
        <v>35</v>
      </c>
      <c r="C104" s="3" t="s">
        <v>60</v>
      </c>
      <c r="D104" s="3" t="s">
        <v>25</v>
      </c>
      <c r="E104" s="3" t="s">
        <v>25</v>
      </c>
      <c r="F104" s="3" t="s">
        <v>25</v>
      </c>
      <c r="G104" s="3" t="s">
        <v>64</v>
      </c>
      <c r="H104" s="3" t="s">
        <v>25</v>
      </c>
      <c r="I104" s="6">
        <v>44743</v>
      </c>
      <c r="J104" s="4">
        <v>1000</v>
      </c>
      <c r="K104" s="4">
        <v>500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3" t="s">
        <v>62</v>
      </c>
      <c r="R104" s="3">
        <v>29425</v>
      </c>
      <c r="S104" s="3">
        <v>16</v>
      </c>
      <c r="T104" s="3">
        <v>0</v>
      </c>
      <c r="U104" s="3">
        <v>0</v>
      </c>
      <c r="V104" s="4">
        <f>IF(ISERROR(VLOOKUP($S$104,'TAR FIN'!$A$1:$O$91,15,0)),0,VLOOKUP($S$104,'TAR FIN'!$A$1:$O$91,15,0))</f>
        <v>3.52</v>
      </c>
      <c r="W104" s="4">
        <f>IF(ISERROR(VLOOKUP($T$104,'TAR FIN'!$A$1:$O$91,15,0)),0,VLOOKUP($T$104,'TAR FIN'!$A$1:$O$91,15,0))</f>
        <v>0</v>
      </c>
      <c r="X104" s="4">
        <f>IF(ISERROR(VLOOKUP($U$104,'TAR FIN'!$A$1:$O$91,15,0)),0,VLOOKUP($U$104,'TAR FIN'!$A$1:$O$91,15,0))</f>
        <v>0</v>
      </c>
      <c r="Y104" s="4">
        <f ca="1">('TUSD BE'!$AM$12+'TUSD BF'!$AM$12+'TUSD CVA'!$AM$12)*1</f>
        <v>3.5546179029821179</v>
      </c>
      <c r="Z104" s="4"/>
      <c r="AA104" s="4"/>
      <c r="AB104" s="4">
        <f t="shared" si="8"/>
        <v>1760</v>
      </c>
      <c r="AC104" s="4">
        <f t="shared" si="12"/>
        <v>0</v>
      </c>
      <c r="AD104" s="4">
        <f t="shared" ca="1" si="10"/>
        <v>1777.3089514910589</v>
      </c>
      <c r="AE104" s="4">
        <f t="shared" si="13"/>
        <v>0</v>
      </c>
      <c r="AF104" s="3" t="s">
        <v>665</v>
      </c>
    </row>
    <row r="105" spans="1:32" ht="11.25" customHeight="1" x14ac:dyDescent="0.25">
      <c r="A105" s="3" t="s">
        <v>21</v>
      </c>
      <c r="B105" s="3" t="s">
        <v>35</v>
      </c>
      <c r="C105" s="3" t="s">
        <v>60</v>
      </c>
      <c r="D105" s="3" t="s">
        <v>25</v>
      </c>
      <c r="E105" s="3" t="s">
        <v>25</v>
      </c>
      <c r="F105" s="3" t="s">
        <v>25</v>
      </c>
      <c r="G105" s="3" t="s">
        <v>65</v>
      </c>
      <c r="H105" s="3" t="s">
        <v>25</v>
      </c>
      <c r="I105" s="6">
        <v>44743</v>
      </c>
      <c r="J105" s="4">
        <v>643</v>
      </c>
      <c r="K105" s="4">
        <v>321.5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3" t="s">
        <v>62</v>
      </c>
      <c r="R105" s="3">
        <v>30591</v>
      </c>
      <c r="S105" s="3">
        <v>16</v>
      </c>
      <c r="T105" s="3">
        <v>0</v>
      </c>
      <c r="U105" s="3">
        <v>0</v>
      </c>
      <c r="V105" s="4">
        <f>IF(ISERROR(VLOOKUP($S$105,'TAR FIN'!$A$1:$O$91,15,0)),0,VLOOKUP($S$105,'TAR FIN'!$A$1:$O$91,15,0))</f>
        <v>3.52</v>
      </c>
      <c r="W105" s="4">
        <f>IF(ISERROR(VLOOKUP($T$105,'TAR FIN'!$A$1:$O$91,15,0)),0,VLOOKUP($T$105,'TAR FIN'!$A$1:$O$91,15,0))</f>
        <v>0</v>
      </c>
      <c r="X105" s="4">
        <f>IF(ISERROR(VLOOKUP($U$105,'TAR FIN'!$A$1:$O$91,15,0)),0,VLOOKUP($U$105,'TAR FIN'!$A$1:$O$91,15,0))</f>
        <v>0</v>
      </c>
      <c r="Y105" s="4">
        <f ca="1">('TUSD BE'!$AM$12+'TUSD BF'!$AM$12+'TUSD CVA'!$AM$12)*1</f>
        <v>3.5546179029821179</v>
      </c>
      <c r="Z105" s="4"/>
      <c r="AA105" s="4"/>
      <c r="AB105" s="4">
        <f t="shared" si="8"/>
        <v>1131.68</v>
      </c>
      <c r="AC105" s="4">
        <f t="shared" si="12"/>
        <v>0</v>
      </c>
      <c r="AD105" s="4">
        <f t="shared" ca="1" si="10"/>
        <v>1142.8096558087509</v>
      </c>
      <c r="AE105" s="4">
        <f t="shared" si="13"/>
        <v>0</v>
      </c>
      <c r="AF105" s="3" t="s">
        <v>665</v>
      </c>
    </row>
    <row r="106" spans="1:32" ht="11.25" customHeight="1" x14ac:dyDescent="0.25">
      <c r="A106" s="3" t="s">
        <v>21</v>
      </c>
      <c r="B106" s="3" t="s">
        <v>35</v>
      </c>
      <c r="C106" s="3" t="s">
        <v>60</v>
      </c>
      <c r="D106" s="3" t="s">
        <v>25</v>
      </c>
      <c r="E106" s="3" t="s">
        <v>25</v>
      </c>
      <c r="F106" s="3" t="s">
        <v>25</v>
      </c>
      <c r="G106" s="3" t="s">
        <v>61</v>
      </c>
      <c r="H106" s="3" t="s">
        <v>25</v>
      </c>
      <c r="I106" s="6">
        <v>44774</v>
      </c>
      <c r="J106" s="4">
        <v>2500</v>
      </c>
      <c r="K106" s="4">
        <v>1250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 t="s">
        <v>62</v>
      </c>
      <c r="R106" s="3">
        <v>29137</v>
      </c>
      <c r="S106" s="3">
        <v>16</v>
      </c>
      <c r="T106" s="3">
        <v>0</v>
      </c>
      <c r="U106" s="3">
        <v>0</v>
      </c>
      <c r="V106" s="4">
        <f>IF(ISERROR(VLOOKUP($S$106,'TAR FIN'!$A$1:$O$91,15,0)),0,VLOOKUP($S$106,'TAR FIN'!$A$1:$O$91,15,0))</f>
        <v>3.52</v>
      </c>
      <c r="W106" s="4">
        <f>IF(ISERROR(VLOOKUP($T$106,'TAR FIN'!$A$1:$O$91,15,0)),0,VLOOKUP($T$106,'TAR FIN'!$A$1:$O$91,15,0))</f>
        <v>0</v>
      </c>
      <c r="X106" s="4">
        <f>IF(ISERROR(VLOOKUP($U$106,'TAR FIN'!$A$1:$O$91,15,0)),0,VLOOKUP($U$106,'TAR FIN'!$A$1:$O$91,15,0))</f>
        <v>0</v>
      </c>
      <c r="Y106" s="4">
        <f ca="1">('TUSD BE'!$AM$12+'TUSD BF'!$AM$12+'TUSD CVA'!$AM$12)*1</f>
        <v>3.5546179029821179</v>
      </c>
      <c r="Z106" s="4"/>
      <c r="AA106" s="4"/>
      <c r="AB106" s="4">
        <f t="shared" si="8"/>
        <v>4400</v>
      </c>
      <c r="AC106" s="4">
        <f t="shared" si="12"/>
        <v>0</v>
      </c>
      <c r="AD106" s="4">
        <f t="shared" ca="1" si="10"/>
        <v>4443.2723787276473</v>
      </c>
      <c r="AE106" s="4">
        <f t="shared" si="13"/>
        <v>0</v>
      </c>
      <c r="AF106" s="3" t="s">
        <v>665</v>
      </c>
    </row>
    <row r="107" spans="1:32" ht="11.25" customHeight="1" x14ac:dyDescent="0.25">
      <c r="A107" s="3" t="s">
        <v>21</v>
      </c>
      <c r="B107" s="3" t="s">
        <v>35</v>
      </c>
      <c r="C107" s="3" t="s">
        <v>60</v>
      </c>
      <c r="D107" s="3" t="s">
        <v>25</v>
      </c>
      <c r="E107" s="3" t="s">
        <v>25</v>
      </c>
      <c r="F107" s="3" t="s">
        <v>25</v>
      </c>
      <c r="G107" s="3" t="s">
        <v>63</v>
      </c>
      <c r="H107" s="3" t="s">
        <v>25</v>
      </c>
      <c r="I107" s="6">
        <v>44774</v>
      </c>
      <c r="J107" s="4">
        <v>335</v>
      </c>
      <c r="K107" s="4">
        <v>167.5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3" t="s">
        <v>62</v>
      </c>
      <c r="S107" s="3">
        <v>16</v>
      </c>
      <c r="T107" s="3">
        <v>0</v>
      </c>
      <c r="U107" s="3">
        <v>0</v>
      </c>
      <c r="V107" s="4">
        <f>IF(ISERROR(VLOOKUP($S$107,'TAR FIN'!$A$1:$O$91,15,0)),0,VLOOKUP($S$107,'TAR FIN'!$A$1:$O$91,15,0))</f>
        <v>3.52</v>
      </c>
      <c r="W107" s="4">
        <f>IF(ISERROR(VLOOKUP($T$107,'TAR FIN'!$A$1:$O$91,15,0)),0,VLOOKUP($T$107,'TAR FIN'!$A$1:$O$91,15,0))</f>
        <v>0</v>
      </c>
      <c r="X107" s="4">
        <f>IF(ISERROR(VLOOKUP($U$107,'TAR FIN'!$A$1:$O$91,15,0)),0,VLOOKUP($U$107,'TAR FIN'!$A$1:$O$91,15,0))</f>
        <v>0</v>
      </c>
      <c r="Y107" s="4">
        <f ca="1">('TUSD BE'!$AM$12+'TUSD BF'!$AM$12+'TUSD CVA'!$AM$12)*1</f>
        <v>3.5546179029821179</v>
      </c>
      <c r="Z107" s="4"/>
      <c r="AA107" s="4"/>
      <c r="AB107" s="4">
        <f t="shared" si="8"/>
        <v>589.6</v>
      </c>
      <c r="AC107" s="4">
        <f t="shared" si="12"/>
        <v>0</v>
      </c>
      <c r="AD107" s="4">
        <f t="shared" ca="1" si="10"/>
        <v>595.39849874950471</v>
      </c>
      <c r="AE107" s="4">
        <f t="shared" si="13"/>
        <v>0</v>
      </c>
      <c r="AF107" s="3" t="s">
        <v>665</v>
      </c>
    </row>
    <row r="108" spans="1:32" ht="11.25" customHeight="1" x14ac:dyDescent="0.25">
      <c r="A108" s="3" t="s">
        <v>21</v>
      </c>
      <c r="B108" s="3" t="s">
        <v>35</v>
      </c>
      <c r="C108" s="3" t="s">
        <v>60</v>
      </c>
      <c r="D108" s="3" t="s">
        <v>25</v>
      </c>
      <c r="E108" s="3" t="s">
        <v>25</v>
      </c>
      <c r="F108" s="3" t="s">
        <v>25</v>
      </c>
      <c r="G108" s="3" t="s">
        <v>64</v>
      </c>
      <c r="H108" s="3" t="s">
        <v>25</v>
      </c>
      <c r="I108" s="6">
        <v>44774</v>
      </c>
      <c r="J108" s="4">
        <v>1000</v>
      </c>
      <c r="K108" s="4">
        <v>500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3" t="s">
        <v>62</v>
      </c>
      <c r="R108" s="3">
        <v>29425</v>
      </c>
      <c r="S108" s="3">
        <v>16</v>
      </c>
      <c r="T108" s="3">
        <v>0</v>
      </c>
      <c r="U108" s="3">
        <v>0</v>
      </c>
      <c r="V108" s="4">
        <f>IF(ISERROR(VLOOKUP($S$108,'TAR FIN'!$A$1:$O$91,15,0)),0,VLOOKUP($S$108,'TAR FIN'!$A$1:$O$91,15,0))</f>
        <v>3.52</v>
      </c>
      <c r="W108" s="4">
        <f>IF(ISERROR(VLOOKUP($T$108,'TAR FIN'!$A$1:$O$91,15,0)),0,VLOOKUP($T$108,'TAR FIN'!$A$1:$O$91,15,0))</f>
        <v>0</v>
      </c>
      <c r="X108" s="4">
        <f>IF(ISERROR(VLOOKUP($U$108,'TAR FIN'!$A$1:$O$91,15,0)),0,VLOOKUP($U$108,'TAR FIN'!$A$1:$O$91,15,0))</f>
        <v>0</v>
      </c>
      <c r="Y108" s="4">
        <f ca="1">('TUSD BE'!$AM$12+'TUSD BF'!$AM$12+'TUSD CVA'!$AM$12)*1</f>
        <v>3.5546179029821179</v>
      </c>
      <c r="Z108" s="4"/>
      <c r="AA108" s="4"/>
      <c r="AB108" s="4">
        <f t="shared" si="8"/>
        <v>1760</v>
      </c>
      <c r="AC108" s="4">
        <f t="shared" si="12"/>
        <v>0</v>
      </c>
      <c r="AD108" s="4">
        <f t="shared" ca="1" si="10"/>
        <v>1777.3089514910589</v>
      </c>
      <c r="AE108" s="4">
        <f t="shared" si="13"/>
        <v>0</v>
      </c>
      <c r="AF108" s="3" t="s">
        <v>665</v>
      </c>
    </row>
    <row r="109" spans="1:32" ht="11.25" customHeight="1" x14ac:dyDescent="0.25">
      <c r="A109" s="3" t="s">
        <v>21</v>
      </c>
      <c r="B109" s="3" t="s">
        <v>35</v>
      </c>
      <c r="C109" s="3" t="s">
        <v>60</v>
      </c>
      <c r="D109" s="3" t="s">
        <v>25</v>
      </c>
      <c r="E109" s="3" t="s">
        <v>25</v>
      </c>
      <c r="F109" s="3" t="s">
        <v>25</v>
      </c>
      <c r="G109" s="3" t="s">
        <v>65</v>
      </c>
      <c r="H109" s="3" t="s">
        <v>25</v>
      </c>
      <c r="I109" s="6">
        <v>44774</v>
      </c>
      <c r="J109" s="4">
        <v>605</v>
      </c>
      <c r="K109" s="4">
        <v>302.5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3" t="s">
        <v>62</v>
      </c>
      <c r="R109" s="3">
        <v>30591</v>
      </c>
      <c r="S109" s="3">
        <v>16</v>
      </c>
      <c r="T109" s="3">
        <v>0</v>
      </c>
      <c r="U109" s="3">
        <v>0</v>
      </c>
      <c r="V109" s="4">
        <f>IF(ISERROR(VLOOKUP($S$109,'TAR FIN'!$A$1:$O$91,15,0)),0,VLOOKUP($S$109,'TAR FIN'!$A$1:$O$91,15,0))</f>
        <v>3.52</v>
      </c>
      <c r="W109" s="4">
        <f>IF(ISERROR(VLOOKUP($T$109,'TAR FIN'!$A$1:$O$91,15,0)),0,VLOOKUP($T$109,'TAR FIN'!$A$1:$O$91,15,0))</f>
        <v>0</v>
      </c>
      <c r="X109" s="4">
        <f>IF(ISERROR(VLOOKUP($U$109,'TAR FIN'!$A$1:$O$91,15,0)),0,VLOOKUP($U$109,'TAR FIN'!$A$1:$O$91,15,0))</f>
        <v>0</v>
      </c>
      <c r="Y109" s="4">
        <f ca="1">('TUSD BE'!$AM$12+'TUSD BF'!$AM$12+'TUSD CVA'!$AM$12)*1</f>
        <v>3.5546179029821179</v>
      </c>
      <c r="Z109" s="4"/>
      <c r="AA109" s="4"/>
      <c r="AB109" s="4">
        <f t="shared" si="8"/>
        <v>1064.8</v>
      </c>
      <c r="AC109" s="4">
        <f t="shared" si="12"/>
        <v>0</v>
      </c>
      <c r="AD109" s="4">
        <f t="shared" ca="1" si="10"/>
        <v>1075.2719156520907</v>
      </c>
      <c r="AE109" s="4">
        <f t="shared" si="13"/>
        <v>0</v>
      </c>
      <c r="AF109" s="3" t="s">
        <v>665</v>
      </c>
    </row>
    <row r="110" spans="1:32" ht="11.25" customHeight="1" x14ac:dyDescent="0.25">
      <c r="A110" s="3" t="s">
        <v>21</v>
      </c>
      <c r="B110" s="3" t="s">
        <v>35</v>
      </c>
      <c r="C110" s="3" t="s">
        <v>36</v>
      </c>
      <c r="D110" s="3" t="s">
        <v>46</v>
      </c>
      <c r="E110" s="3" t="s">
        <v>47</v>
      </c>
      <c r="F110" s="3" t="s">
        <v>25</v>
      </c>
      <c r="G110" s="3" t="s">
        <v>25</v>
      </c>
      <c r="H110" s="3" t="s">
        <v>38</v>
      </c>
      <c r="I110" s="6">
        <v>44440</v>
      </c>
      <c r="J110" s="4">
        <v>0</v>
      </c>
      <c r="K110" s="54">
        <v>0</v>
      </c>
      <c r="L110" s="4">
        <v>34.494</v>
      </c>
      <c r="M110" s="54">
        <v>34.494</v>
      </c>
      <c r="N110" s="4">
        <v>34.494</v>
      </c>
      <c r="O110" s="54">
        <v>34.494</v>
      </c>
      <c r="P110" s="4">
        <v>0</v>
      </c>
      <c r="Q110" s="3" t="s">
        <v>26</v>
      </c>
      <c r="R110" s="3">
        <v>0</v>
      </c>
      <c r="S110" s="3">
        <v>0</v>
      </c>
      <c r="T110" s="3">
        <v>13</v>
      </c>
      <c r="U110" s="3">
        <v>69</v>
      </c>
      <c r="V110" s="54">
        <f>IF(ISERROR(VLOOKUP($S$110,'TAR FIN'!$A$1:$O$91,15,0)),0,VLOOKUP($S$110,'TAR FIN'!$A$1:$O$91,15,0))</f>
        <v>0</v>
      </c>
      <c r="W110" s="54">
        <f>IF(ISERROR(VLOOKUP($T$110,'TAR FIN'!$A$1:$O$91,15,0)),0,VLOOKUP($T$110,'TAR FIN'!$A$1:$O$91,15,0))*(1-0.06)</f>
        <v>66.871600000000001</v>
      </c>
      <c r="X110" s="54">
        <f>IF(ISERROR(VLOOKUP($U$110,'TAR FIN'!$A$1:$O$91,15,0)),0,VLOOKUP($U$110,'TAR FIN'!$A$1:$O$91,15,0))*(1-0.06)</f>
        <v>234.29499999999999</v>
      </c>
      <c r="Y110" s="54"/>
      <c r="Z110" s="54">
        <f ca="1">('TUSD BE'!$AM$15+'TUSD BF'!$AM$15+'TUSD CVA'!$AM$15)*1*(1-0.03)</f>
        <v>99.799749520056594</v>
      </c>
      <c r="AA110" s="54">
        <f>('TE BE'!$AB$6+'TE BF'!$AB$6+'TE CVA'!$AB$6)*1*(1-0.03)</f>
        <v>197.28126009827187</v>
      </c>
      <c r="AB110" s="54">
        <f>(SUBSIDIO!$J$110*SUBSIDIO!$V$110)*(0.06)/(1-0.06)</f>
        <v>0</v>
      </c>
      <c r="AC110" s="54">
        <f>((SUBSIDIO!$L$110*SUBSIDIO!$W$110)+(SUBSIDIO!$N$110*SUBSIDIO!$X$110))*(0.06)/(1-0.06)</f>
        <v>663.0919596</v>
      </c>
      <c r="AD110" s="54">
        <f>(SUBSIDIO!$J$110*SUBSIDIO!$Y$110)*(0.03)/(1-0.03)</f>
        <v>0</v>
      </c>
      <c r="AE110" s="54">
        <f ca="1">((SUBSIDIO!$L$110*SUBSIDIO!$Z$110)+(SUBSIDIO!$N$110*SUBSIDIO!$AA$110))*(0.03)/(1-0.03)</f>
        <v>316.93337151880274</v>
      </c>
      <c r="AF110" s="3" t="s">
        <v>663</v>
      </c>
    </row>
    <row r="111" spans="1:32" ht="11.25" customHeight="1" x14ac:dyDescent="0.25">
      <c r="A111" s="3" t="s">
        <v>21</v>
      </c>
      <c r="B111" s="3" t="s">
        <v>35</v>
      </c>
      <c r="C111" s="3" t="s">
        <v>36</v>
      </c>
      <c r="D111" s="3" t="s">
        <v>46</v>
      </c>
      <c r="E111" s="3" t="s">
        <v>47</v>
      </c>
      <c r="F111" s="3" t="s">
        <v>25</v>
      </c>
      <c r="G111" s="3" t="s">
        <v>25</v>
      </c>
      <c r="H111" s="3" t="s">
        <v>38</v>
      </c>
      <c r="I111" s="6">
        <v>44470</v>
      </c>
      <c r="J111" s="4">
        <v>0</v>
      </c>
      <c r="K111" s="54">
        <v>0</v>
      </c>
      <c r="L111" s="4">
        <v>21.533000000000001</v>
      </c>
      <c r="M111" s="54">
        <v>21.533000000000001</v>
      </c>
      <c r="N111" s="4">
        <v>21.533000000000001</v>
      </c>
      <c r="O111" s="54">
        <v>21.533000000000001</v>
      </c>
      <c r="P111" s="4">
        <v>0</v>
      </c>
      <c r="Q111" s="3" t="s">
        <v>26</v>
      </c>
      <c r="R111" s="3">
        <v>0</v>
      </c>
      <c r="S111" s="3">
        <v>0</v>
      </c>
      <c r="T111" s="3">
        <v>13</v>
      </c>
      <c r="U111" s="3">
        <v>69</v>
      </c>
      <c r="V111" s="54">
        <f>IF(ISERROR(VLOOKUP($S$111,'TAR FIN'!$A$1:$O$91,15,0)),0,VLOOKUP($S$111,'TAR FIN'!$A$1:$O$91,15,0))</f>
        <v>0</v>
      </c>
      <c r="W111" s="54">
        <f>IF(ISERROR(VLOOKUP($T$111,'TAR FIN'!$A$1:$O$91,15,0)),0,VLOOKUP($T$111,'TAR FIN'!$A$1:$O$91,15,0))*(1-0.06)</f>
        <v>66.871600000000001</v>
      </c>
      <c r="X111" s="54">
        <f>IF(ISERROR(VLOOKUP($U$111,'TAR FIN'!$A$1:$O$91,15,0)),0,VLOOKUP($U$111,'TAR FIN'!$A$1:$O$91,15,0))*(1-0.06)</f>
        <v>234.29499999999999</v>
      </c>
      <c r="Y111" s="54"/>
      <c r="Z111" s="54">
        <f ca="1">('TUSD BE'!$AM$15+'TUSD BF'!$AM$15+'TUSD CVA'!$AM$15)*1*(1-0.03)</f>
        <v>99.799749520056594</v>
      </c>
      <c r="AA111" s="54">
        <f>('TE BE'!$AB$6+'TE BF'!$AB$6+'TE CVA'!$AB$6)*1*(1-0.03)</f>
        <v>197.28126009827187</v>
      </c>
      <c r="AB111" s="54">
        <f>(SUBSIDIO!$J$111*SUBSIDIO!$V$111)*(0.06)/(1-0.06)</f>
        <v>0</v>
      </c>
      <c r="AC111" s="54">
        <f>((SUBSIDIO!$L$111*SUBSIDIO!$W$111)+(SUBSIDIO!$N$111*SUBSIDIO!$X$111))*(0.06)/(1-0.06)</f>
        <v>413.9374722</v>
      </c>
      <c r="AD111" s="54">
        <f>(SUBSIDIO!$J$111*SUBSIDIO!$Y$111)*(0.03)/(1-0.03)</f>
        <v>0</v>
      </c>
      <c r="AE111" s="54">
        <f ca="1">((SUBSIDIO!$L$111*SUBSIDIO!$Z$111)+(SUBSIDIO!$N$111*SUBSIDIO!$AA$111))*(0.03)/(1-0.03)</f>
        <v>197.84676433334434</v>
      </c>
      <c r="AF111" s="3" t="s">
        <v>663</v>
      </c>
    </row>
    <row r="112" spans="1:32" ht="11.25" customHeight="1" x14ac:dyDescent="0.25">
      <c r="A112" s="3" t="s">
        <v>21</v>
      </c>
      <c r="B112" s="3" t="s">
        <v>35</v>
      </c>
      <c r="C112" s="3" t="s">
        <v>36</v>
      </c>
      <c r="D112" s="3" t="s">
        <v>46</v>
      </c>
      <c r="E112" s="3" t="s">
        <v>47</v>
      </c>
      <c r="F112" s="3" t="s">
        <v>25</v>
      </c>
      <c r="G112" s="3" t="s">
        <v>25</v>
      </c>
      <c r="H112" s="3" t="s">
        <v>38</v>
      </c>
      <c r="I112" s="6">
        <v>44501</v>
      </c>
      <c r="J112" s="4">
        <v>0</v>
      </c>
      <c r="K112" s="54">
        <v>0</v>
      </c>
      <c r="L112" s="4">
        <v>23.96</v>
      </c>
      <c r="M112" s="54">
        <v>23.96</v>
      </c>
      <c r="N112" s="4">
        <v>23.96</v>
      </c>
      <c r="O112" s="54">
        <v>23.96</v>
      </c>
      <c r="P112" s="4">
        <v>0</v>
      </c>
      <c r="Q112" s="3" t="s">
        <v>26</v>
      </c>
      <c r="R112" s="3">
        <v>0</v>
      </c>
      <c r="S112" s="3">
        <v>0</v>
      </c>
      <c r="T112" s="3">
        <v>13</v>
      </c>
      <c r="U112" s="3">
        <v>69</v>
      </c>
      <c r="V112" s="54">
        <f>IF(ISERROR(VLOOKUP($S$112,'TAR FIN'!$A$1:$O$91,15,0)),0,VLOOKUP($S$112,'TAR FIN'!$A$1:$O$91,15,0))</f>
        <v>0</v>
      </c>
      <c r="W112" s="54">
        <f>IF(ISERROR(VLOOKUP($T$112,'TAR FIN'!$A$1:$O$91,15,0)),0,VLOOKUP($T$112,'TAR FIN'!$A$1:$O$91,15,0))*(1-0.06)</f>
        <v>66.871600000000001</v>
      </c>
      <c r="X112" s="54">
        <f>IF(ISERROR(VLOOKUP($U$112,'TAR FIN'!$A$1:$O$91,15,0)),0,VLOOKUP($U$112,'TAR FIN'!$A$1:$O$91,15,0))*(1-0.06)</f>
        <v>234.29499999999999</v>
      </c>
      <c r="Y112" s="54"/>
      <c r="Z112" s="54">
        <f ca="1">('TUSD BE'!$AM$15+'TUSD BF'!$AM$15+'TUSD CVA'!$AM$15)*1*(1-0.03)</f>
        <v>99.799749520056594</v>
      </c>
      <c r="AA112" s="54">
        <f>('TE BE'!$AB$6+'TE BF'!$AB$6+'TE CVA'!$AB$6)*1*(1-0.03)</f>
        <v>197.28126009827187</v>
      </c>
      <c r="AB112" s="54">
        <f>(SUBSIDIO!$J$112*SUBSIDIO!$V$112)*(0.06)/(1-0.06)</f>
        <v>0</v>
      </c>
      <c r="AC112" s="54">
        <f>((SUBSIDIO!$L$112*SUBSIDIO!$W$112)+(SUBSIDIO!$N$112*SUBSIDIO!$X$112))*(0.06)/(1-0.06)</f>
        <v>460.59266400000001</v>
      </c>
      <c r="AD112" s="54">
        <f>(SUBSIDIO!$J$112*SUBSIDIO!$Y$112)*(0.03)/(1-0.03)</f>
        <v>0</v>
      </c>
      <c r="AE112" s="54">
        <f ca="1">((SUBSIDIO!$L$112*SUBSIDIO!$Z$112)+(SUBSIDIO!$N$112*SUBSIDIO!$AA$112))*(0.03)/(1-0.03)</f>
        <v>220.14621619964379</v>
      </c>
      <c r="AF112" s="3" t="s">
        <v>663</v>
      </c>
    </row>
    <row r="113" spans="1:32" ht="11.25" customHeight="1" x14ac:dyDescent="0.25">
      <c r="A113" s="3" t="s">
        <v>21</v>
      </c>
      <c r="B113" s="3" t="s">
        <v>35</v>
      </c>
      <c r="C113" s="3" t="s">
        <v>36</v>
      </c>
      <c r="D113" s="3" t="s">
        <v>46</v>
      </c>
      <c r="E113" s="3" t="s">
        <v>47</v>
      </c>
      <c r="F113" s="3" t="s">
        <v>25</v>
      </c>
      <c r="G113" s="3" t="s">
        <v>25</v>
      </c>
      <c r="H113" s="3" t="s">
        <v>38</v>
      </c>
      <c r="I113" s="6">
        <v>44531</v>
      </c>
      <c r="J113" s="4">
        <v>0</v>
      </c>
      <c r="K113" s="54">
        <v>0</v>
      </c>
      <c r="L113" s="4">
        <v>24.733000000000001</v>
      </c>
      <c r="M113" s="54">
        <v>24.733000000000001</v>
      </c>
      <c r="N113" s="4">
        <v>24.733000000000001</v>
      </c>
      <c r="O113" s="54">
        <v>24.733000000000001</v>
      </c>
      <c r="P113" s="4">
        <v>0</v>
      </c>
      <c r="Q113" s="3" t="s">
        <v>26</v>
      </c>
      <c r="R113" s="3">
        <v>0</v>
      </c>
      <c r="S113" s="3">
        <v>0</v>
      </c>
      <c r="T113" s="3">
        <v>13</v>
      </c>
      <c r="U113" s="3">
        <v>69</v>
      </c>
      <c r="V113" s="54">
        <f>IF(ISERROR(VLOOKUP($S$113,'TAR FIN'!$A$1:$O$91,15,0)),0,VLOOKUP($S$113,'TAR FIN'!$A$1:$O$91,15,0))</f>
        <v>0</v>
      </c>
      <c r="W113" s="54">
        <f>IF(ISERROR(VLOOKUP($T$113,'TAR FIN'!$A$1:$O$91,15,0)),0,VLOOKUP($T$113,'TAR FIN'!$A$1:$O$91,15,0))*(1-0.06)</f>
        <v>66.871600000000001</v>
      </c>
      <c r="X113" s="54">
        <f>IF(ISERROR(VLOOKUP($U$113,'TAR FIN'!$A$1:$O$91,15,0)),0,VLOOKUP($U$113,'TAR FIN'!$A$1:$O$91,15,0))*(1-0.06)</f>
        <v>234.29499999999999</v>
      </c>
      <c r="Y113" s="54"/>
      <c r="Z113" s="54">
        <f ca="1">('TUSD BE'!$AM$15+'TUSD BF'!$AM$15+'TUSD CVA'!$AM$15)*1*(1-0.03)</f>
        <v>99.799749520056594</v>
      </c>
      <c r="AA113" s="54">
        <f>('TE BE'!$AB$6+'TE BF'!$AB$6+'TE CVA'!$AB$6)*1*(1-0.03)</f>
        <v>197.28126009827187</v>
      </c>
      <c r="AB113" s="54">
        <f>(SUBSIDIO!$J$113*SUBSIDIO!$V$113)*(0.06)/(1-0.06)</f>
        <v>0</v>
      </c>
      <c r="AC113" s="54">
        <f>((SUBSIDIO!$L$113*SUBSIDIO!$W$113)+(SUBSIDIO!$N$113*SUBSIDIO!$X$113))*(0.06)/(1-0.06)</f>
        <v>475.45235219999995</v>
      </c>
      <c r="AD113" s="54">
        <f>(SUBSIDIO!$J$113*SUBSIDIO!$Y$113)*(0.03)/(1-0.03)</f>
        <v>0</v>
      </c>
      <c r="AE113" s="54">
        <f ca="1">((SUBSIDIO!$L$113*SUBSIDIO!$Z$113)+(SUBSIDIO!$N$113*SUBSIDIO!$AA$113))*(0.03)/(1-0.03)</f>
        <v>227.24859621309642</v>
      </c>
      <c r="AF113" s="3" t="s">
        <v>663</v>
      </c>
    </row>
    <row r="114" spans="1:32" ht="11.25" customHeight="1" x14ac:dyDescent="0.25">
      <c r="A114" s="3" t="s">
        <v>21</v>
      </c>
      <c r="B114" s="3" t="s">
        <v>35</v>
      </c>
      <c r="C114" s="3" t="s">
        <v>36</v>
      </c>
      <c r="D114" s="3" t="s">
        <v>46</v>
      </c>
      <c r="E114" s="3" t="s">
        <v>47</v>
      </c>
      <c r="F114" s="3" t="s">
        <v>25</v>
      </c>
      <c r="G114" s="3" t="s">
        <v>25</v>
      </c>
      <c r="H114" s="3" t="s">
        <v>38</v>
      </c>
      <c r="I114" s="6">
        <v>44562</v>
      </c>
      <c r="J114" s="4">
        <v>0</v>
      </c>
      <c r="K114" s="54">
        <v>0</v>
      </c>
      <c r="L114" s="4">
        <v>23.538</v>
      </c>
      <c r="M114" s="54">
        <v>23.538</v>
      </c>
      <c r="N114" s="4">
        <v>23.538</v>
      </c>
      <c r="O114" s="54">
        <v>23.538</v>
      </c>
      <c r="P114" s="4">
        <v>0</v>
      </c>
      <c r="Q114" s="3" t="s">
        <v>26</v>
      </c>
      <c r="R114" s="3">
        <v>0</v>
      </c>
      <c r="S114" s="3">
        <v>0</v>
      </c>
      <c r="T114" s="3">
        <v>13</v>
      </c>
      <c r="U114" s="3">
        <v>69</v>
      </c>
      <c r="V114" s="54">
        <f>IF(ISERROR(VLOOKUP($S$114,'TAR FIN'!$A$1:$O$91,15,0)),0,VLOOKUP($S$114,'TAR FIN'!$A$1:$O$91,15,0))</f>
        <v>0</v>
      </c>
      <c r="W114" s="54">
        <f>IF(ISERROR(VLOOKUP($T$114,'TAR FIN'!$A$1:$O$91,15,0)),0,VLOOKUP($T$114,'TAR FIN'!$A$1:$O$91,15,0))*(1-0.06)</f>
        <v>66.871600000000001</v>
      </c>
      <c r="X114" s="54">
        <f>IF(ISERROR(VLOOKUP($U$114,'TAR FIN'!$A$1:$O$91,15,0)),0,VLOOKUP($U$114,'TAR FIN'!$A$1:$O$91,15,0))*(1-0.06)</f>
        <v>234.29499999999999</v>
      </c>
      <c r="Y114" s="54"/>
      <c r="Z114" s="54">
        <f ca="1">('TUSD BE'!$AM$15+'TUSD BF'!$AM$15+'TUSD CVA'!$AM$15)*1*(1-0.03)</f>
        <v>99.799749520056594</v>
      </c>
      <c r="AA114" s="54">
        <f>('TE BE'!$AB$6+'TE BF'!$AB$6+'TE CVA'!$AB$6)*1*(1-0.03)</f>
        <v>197.28126009827187</v>
      </c>
      <c r="AB114" s="54">
        <f>(SUBSIDIO!$J$114*SUBSIDIO!$V$114)*(0.06)/(1-0.06)</f>
        <v>0</v>
      </c>
      <c r="AC114" s="54">
        <f>((SUBSIDIO!$L$114*SUBSIDIO!$W$114)+(SUBSIDIO!$N$114*SUBSIDIO!$X$114))*(0.06)/(1-0.06)</f>
        <v>452.48038919999993</v>
      </c>
      <c r="AD114" s="54">
        <f>(SUBSIDIO!$J$114*SUBSIDIO!$Y$114)*(0.03)/(1-0.03)</f>
        <v>0</v>
      </c>
      <c r="AE114" s="54">
        <f ca="1">((SUBSIDIO!$L$114*SUBSIDIO!$Z$114)+(SUBSIDIO!$N$114*SUBSIDIO!$AA$114))*(0.03)/(1-0.03)</f>
        <v>216.26884962050153</v>
      </c>
      <c r="AF114" s="3" t="s">
        <v>663</v>
      </c>
    </row>
    <row r="115" spans="1:32" ht="11.25" customHeight="1" x14ac:dyDescent="0.25">
      <c r="A115" s="3" t="s">
        <v>21</v>
      </c>
      <c r="B115" s="3" t="s">
        <v>35</v>
      </c>
      <c r="C115" s="3" t="s">
        <v>36</v>
      </c>
      <c r="D115" s="3" t="s">
        <v>46</v>
      </c>
      <c r="E115" s="3" t="s">
        <v>47</v>
      </c>
      <c r="F115" s="3" t="s">
        <v>25</v>
      </c>
      <c r="G115" s="3" t="s">
        <v>25</v>
      </c>
      <c r="H115" s="3" t="s">
        <v>38</v>
      </c>
      <c r="I115" s="6">
        <v>44593</v>
      </c>
      <c r="J115" s="4">
        <v>0</v>
      </c>
      <c r="K115" s="54">
        <v>0</v>
      </c>
      <c r="L115" s="4">
        <v>22.288</v>
      </c>
      <c r="M115" s="54">
        <v>22.288</v>
      </c>
      <c r="N115" s="4">
        <v>22.288</v>
      </c>
      <c r="O115" s="54">
        <v>22.288</v>
      </c>
      <c r="P115" s="4">
        <v>0</v>
      </c>
      <c r="Q115" s="3" t="s">
        <v>26</v>
      </c>
      <c r="R115" s="3">
        <v>0</v>
      </c>
      <c r="S115" s="3">
        <v>0</v>
      </c>
      <c r="T115" s="3">
        <v>13</v>
      </c>
      <c r="U115" s="3">
        <v>69</v>
      </c>
      <c r="V115" s="54">
        <f>IF(ISERROR(VLOOKUP($S$115,'TAR FIN'!$A$1:$O$91,15,0)),0,VLOOKUP($S$115,'TAR FIN'!$A$1:$O$91,15,0))</f>
        <v>0</v>
      </c>
      <c r="W115" s="54">
        <f>IF(ISERROR(VLOOKUP($T$115,'TAR FIN'!$A$1:$O$91,15,0)),0,VLOOKUP($T$115,'TAR FIN'!$A$1:$O$91,15,0))*(1-0.06)</f>
        <v>66.871600000000001</v>
      </c>
      <c r="X115" s="54">
        <f>IF(ISERROR(VLOOKUP($U$115,'TAR FIN'!$A$1:$O$91,15,0)),0,VLOOKUP($U$115,'TAR FIN'!$A$1:$O$91,15,0))*(1-0.06)</f>
        <v>234.29499999999999</v>
      </c>
      <c r="Y115" s="54"/>
      <c r="Z115" s="54">
        <f ca="1">('TUSD BE'!$AM$15+'TUSD BF'!$AM$15+'TUSD CVA'!$AM$15)*1*(1-0.03)</f>
        <v>99.799749520056594</v>
      </c>
      <c r="AA115" s="54">
        <f>('TE BE'!$AB$6+'TE BF'!$AB$6+'TE CVA'!$AB$6)*1*(1-0.03)</f>
        <v>197.28126009827187</v>
      </c>
      <c r="AB115" s="54">
        <f>(SUBSIDIO!$J$115*SUBSIDIO!$V$115)*(0.06)/(1-0.06)</f>
        <v>0</v>
      </c>
      <c r="AC115" s="54">
        <f>((SUBSIDIO!$L$115*SUBSIDIO!$W$115)+(SUBSIDIO!$N$115*SUBSIDIO!$X$115))*(0.06)/(1-0.06)</f>
        <v>428.4511392</v>
      </c>
      <c r="AD115" s="54">
        <f>(SUBSIDIO!$J$115*SUBSIDIO!$Y$115)*(0.03)/(1-0.03)</f>
        <v>0</v>
      </c>
      <c r="AE115" s="54">
        <f ca="1">((SUBSIDIO!$L$115*SUBSIDIO!$Z$115)+(SUBSIDIO!$N$115*SUBSIDIO!$AA$115))*(0.03)/(1-0.03)</f>
        <v>204.78375904247335</v>
      </c>
      <c r="AF115" s="3" t="s">
        <v>663</v>
      </c>
    </row>
    <row r="116" spans="1:32" ht="11.25" customHeight="1" x14ac:dyDescent="0.25">
      <c r="A116" s="3" t="s">
        <v>21</v>
      </c>
      <c r="B116" s="3" t="s">
        <v>35</v>
      </c>
      <c r="C116" s="3" t="s">
        <v>36</v>
      </c>
      <c r="D116" s="3" t="s">
        <v>46</v>
      </c>
      <c r="E116" s="3" t="s">
        <v>47</v>
      </c>
      <c r="F116" s="3" t="s">
        <v>25</v>
      </c>
      <c r="G116" s="3" t="s">
        <v>25</v>
      </c>
      <c r="H116" s="3" t="s">
        <v>38</v>
      </c>
      <c r="I116" s="6">
        <v>44621</v>
      </c>
      <c r="J116" s="4">
        <v>0</v>
      </c>
      <c r="K116" s="54">
        <v>0</v>
      </c>
      <c r="L116" s="4">
        <v>24.135999999999999</v>
      </c>
      <c r="M116" s="54">
        <v>24.135999999999999</v>
      </c>
      <c r="N116" s="4">
        <v>24.135999999999999</v>
      </c>
      <c r="O116" s="54">
        <v>24.135999999999999</v>
      </c>
      <c r="P116" s="4">
        <v>0</v>
      </c>
      <c r="Q116" s="3" t="s">
        <v>26</v>
      </c>
      <c r="R116" s="3">
        <v>0</v>
      </c>
      <c r="S116" s="3">
        <v>0</v>
      </c>
      <c r="T116" s="3">
        <v>13</v>
      </c>
      <c r="U116" s="3">
        <v>69</v>
      </c>
      <c r="V116" s="54">
        <f>IF(ISERROR(VLOOKUP($S$116,'TAR FIN'!$A$1:$O$91,15,0)),0,VLOOKUP($S$116,'TAR FIN'!$A$1:$O$91,15,0))</f>
        <v>0</v>
      </c>
      <c r="W116" s="54">
        <f>IF(ISERROR(VLOOKUP($T$116,'TAR FIN'!$A$1:$O$91,15,0)),0,VLOOKUP($T$116,'TAR FIN'!$A$1:$O$91,15,0))*(1-0.06)</f>
        <v>66.871600000000001</v>
      </c>
      <c r="X116" s="54">
        <f>IF(ISERROR(VLOOKUP($U$116,'TAR FIN'!$A$1:$O$91,15,0)),0,VLOOKUP($U$116,'TAR FIN'!$A$1:$O$91,15,0))*(1-0.06)</f>
        <v>234.29499999999999</v>
      </c>
      <c r="Y116" s="54"/>
      <c r="Z116" s="54">
        <f ca="1">('TUSD BE'!$AM$15+'TUSD BF'!$AM$15+'TUSD CVA'!$AM$15)*1*(1-0.03)</f>
        <v>99.799749520056594</v>
      </c>
      <c r="AA116" s="54">
        <f>('TE BE'!$AB$6+'TE BF'!$AB$6+'TE CVA'!$AB$6)*1*(1-0.03)</f>
        <v>197.28126009827187</v>
      </c>
      <c r="AB116" s="54">
        <f>(SUBSIDIO!$J$116*SUBSIDIO!$V$116)*(0.06)/(1-0.06)</f>
        <v>0</v>
      </c>
      <c r="AC116" s="54">
        <f>((SUBSIDIO!$L$116*SUBSIDIO!$W$116)+(SUBSIDIO!$N$116*SUBSIDIO!$X$116))*(0.06)/(1-0.06)</f>
        <v>463.97598239999991</v>
      </c>
      <c r="AD116" s="54">
        <f>(SUBSIDIO!$J$116*SUBSIDIO!$Y$116)*(0.03)/(1-0.03)</f>
        <v>0</v>
      </c>
      <c r="AE116" s="54">
        <f ca="1">((SUBSIDIO!$L$116*SUBSIDIO!$Z$116)+(SUBSIDIO!$N$116*SUBSIDIO!$AA$116))*(0.03)/(1-0.03)</f>
        <v>221.76331695303017</v>
      </c>
      <c r="AF116" s="3" t="s">
        <v>663</v>
      </c>
    </row>
    <row r="117" spans="1:32" ht="11.25" customHeight="1" x14ac:dyDescent="0.25">
      <c r="A117" s="3" t="s">
        <v>21</v>
      </c>
      <c r="B117" s="3" t="s">
        <v>35</v>
      </c>
      <c r="C117" s="3" t="s">
        <v>36</v>
      </c>
      <c r="D117" s="3" t="s">
        <v>46</v>
      </c>
      <c r="E117" s="3" t="s">
        <v>47</v>
      </c>
      <c r="F117" s="3" t="s">
        <v>25</v>
      </c>
      <c r="G117" s="3" t="s">
        <v>25</v>
      </c>
      <c r="H117" s="3" t="s">
        <v>38</v>
      </c>
      <c r="I117" s="6">
        <v>44652</v>
      </c>
      <c r="J117" s="4">
        <v>0</v>
      </c>
      <c r="K117" s="54">
        <v>0</v>
      </c>
      <c r="L117" s="4">
        <v>23.466999999999999</v>
      </c>
      <c r="M117" s="54">
        <v>23.466999999999999</v>
      </c>
      <c r="N117" s="4">
        <v>23.466999999999999</v>
      </c>
      <c r="O117" s="54">
        <v>23.466999999999999</v>
      </c>
      <c r="P117" s="4">
        <v>0</v>
      </c>
      <c r="Q117" s="3" t="s">
        <v>26</v>
      </c>
      <c r="R117" s="3">
        <v>0</v>
      </c>
      <c r="S117" s="3">
        <v>0</v>
      </c>
      <c r="T117" s="3">
        <v>13</v>
      </c>
      <c r="U117" s="3">
        <v>69</v>
      </c>
      <c r="V117" s="54">
        <f>IF(ISERROR(VLOOKUP($S$117,'TAR FIN'!$A$1:$O$91,15,0)),0,VLOOKUP($S$117,'TAR FIN'!$A$1:$O$91,15,0))</f>
        <v>0</v>
      </c>
      <c r="W117" s="54">
        <f>IF(ISERROR(VLOOKUP($T$117,'TAR FIN'!$A$1:$O$91,15,0)),0,VLOOKUP($T$117,'TAR FIN'!$A$1:$O$91,15,0))*(1-0.06)</f>
        <v>66.871600000000001</v>
      </c>
      <c r="X117" s="54">
        <f>IF(ISERROR(VLOOKUP($U$117,'TAR FIN'!$A$1:$O$91,15,0)),0,VLOOKUP($U$117,'TAR FIN'!$A$1:$O$91,15,0))*(1-0.06)</f>
        <v>234.29499999999999</v>
      </c>
      <c r="Y117" s="54"/>
      <c r="Z117" s="54">
        <f ca="1">('TUSD BE'!$AM$15+'TUSD BF'!$AM$15+'TUSD CVA'!$AM$15)*1*(1-0.03)</f>
        <v>99.799749520056594</v>
      </c>
      <c r="AA117" s="54">
        <f>('TE BE'!$AB$6+'TE BF'!$AB$6+'TE CVA'!$AB$6)*1*(1-0.03)</f>
        <v>197.28126009827187</v>
      </c>
      <c r="AB117" s="54">
        <f>(SUBSIDIO!$J$117*SUBSIDIO!$V$117)*(0.06)/(1-0.06)</f>
        <v>0</v>
      </c>
      <c r="AC117" s="54">
        <f>((SUBSIDIO!$L$117*SUBSIDIO!$W$117)+(SUBSIDIO!$N$117*SUBSIDIO!$X$117))*(0.06)/(1-0.06)</f>
        <v>451.11552779999994</v>
      </c>
      <c r="AD117" s="54">
        <f>(SUBSIDIO!$J$117*SUBSIDIO!$Y$117)*(0.03)/(1-0.03)</f>
        <v>0</v>
      </c>
      <c r="AE117" s="54">
        <f ca="1">((SUBSIDIO!$L$117*SUBSIDIO!$Z$117)+(SUBSIDIO!$N$117*SUBSIDIO!$AA$117))*(0.03)/(1-0.03)</f>
        <v>215.61649647566952</v>
      </c>
      <c r="AF117" s="3" t="s">
        <v>663</v>
      </c>
    </row>
    <row r="118" spans="1:32" ht="11.25" customHeight="1" x14ac:dyDescent="0.25">
      <c r="A118" s="3" t="s">
        <v>21</v>
      </c>
      <c r="B118" s="3" t="s">
        <v>35</v>
      </c>
      <c r="C118" s="3" t="s">
        <v>36</v>
      </c>
      <c r="D118" s="3" t="s">
        <v>46</v>
      </c>
      <c r="E118" s="3" t="s">
        <v>47</v>
      </c>
      <c r="F118" s="3" t="s">
        <v>25</v>
      </c>
      <c r="G118" s="3" t="s">
        <v>25</v>
      </c>
      <c r="H118" s="3" t="s">
        <v>38</v>
      </c>
      <c r="I118" s="6">
        <v>44682</v>
      </c>
      <c r="J118" s="4">
        <v>0</v>
      </c>
      <c r="K118" s="54">
        <v>0</v>
      </c>
      <c r="L118" s="4">
        <v>27.04</v>
      </c>
      <c r="M118" s="54">
        <v>27.04</v>
      </c>
      <c r="N118" s="4">
        <v>27.04</v>
      </c>
      <c r="O118" s="54">
        <v>27.04</v>
      </c>
      <c r="P118" s="4">
        <v>0</v>
      </c>
      <c r="Q118" s="3" t="s">
        <v>26</v>
      </c>
      <c r="R118" s="3">
        <v>0</v>
      </c>
      <c r="S118" s="3">
        <v>0</v>
      </c>
      <c r="T118" s="3">
        <v>13</v>
      </c>
      <c r="U118" s="3">
        <v>69</v>
      </c>
      <c r="V118" s="54">
        <f>IF(ISERROR(VLOOKUP($S$118,'TAR FIN'!$A$1:$O$91,15,0)),0,VLOOKUP($S$118,'TAR FIN'!$A$1:$O$91,15,0))</f>
        <v>0</v>
      </c>
      <c r="W118" s="54">
        <f>IF(ISERROR(VLOOKUP($T$118,'TAR FIN'!$A$1:$O$91,15,0)),0,VLOOKUP($T$118,'TAR FIN'!$A$1:$O$91,15,0))*(1-0.06)</f>
        <v>66.871600000000001</v>
      </c>
      <c r="X118" s="54">
        <f>IF(ISERROR(VLOOKUP($U$118,'TAR FIN'!$A$1:$O$91,15,0)),0,VLOOKUP($U$118,'TAR FIN'!$A$1:$O$91,15,0))*(1-0.06)</f>
        <v>234.29499999999999</v>
      </c>
      <c r="Y118" s="54"/>
      <c r="Z118" s="54">
        <f ca="1">('TUSD BE'!$AM$15+'TUSD BF'!$AM$15+'TUSD CVA'!$AM$15)*1*(1-0.03)</f>
        <v>99.799749520056594</v>
      </c>
      <c r="AA118" s="54">
        <f>('TE BE'!$AB$6+'TE BF'!$AB$6+'TE CVA'!$AB$6)*1*(1-0.03)</f>
        <v>197.28126009827187</v>
      </c>
      <c r="AB118" s="54">
        <f>(SUBSIDIO!$J$118*SUBSIDIO!$V$118)*(0.06)/(1-0.06)</f>
        <v>0</v>
      </c>
      <c r="AC118" s="54">
        <f>((SUBSIDIO!$L$118*SUBSIDIO!$W$118)+(SUBSIDIO!$N$118*SUBSIDIO!$X$118))*(0.06)/(1-0.06)</f>
        <v>519.80073600000003</v>
      </c>
      <c r="AD118" s="54">
        <f>(SUBSIDIO!$J$118*SUBSIDIO!$Y$118)*(0.03)/(1-0.03)</f>
        <v>0</v>
      </c>
      <c r="AE118" s="54">
        <f ca="1">((SUBSIDIO!$L$118*SUBSIDIO!$Z$118)+(SUBSIDIO!$N$118*SUBSIDIO!$AA$118))*(0.03)/(1-0.03)</f>
        <v>248.44547938390519</v>
      </c>
      <c r="AF118" s="3" t="s">
        <v>663</v>
      </c>
    </row>
    <row r="119" spans="1:32" ht="11.25" customHeight="1" x14ac:dyDescent="0.25">
      <c r="A119" s="3" t="s">
        <v>21</v>
      </c>
      <c r="B119" s="3" t="s">
        <v>35</v>
      </c>
      <c r="C119" s="3" t="s">
        <v>36</v>
      </c>
      <c r="D119" s="3" t="s">
        <v>46</v>
      </c>
      <c r="E119" s="3" t="s">
        <v>47</v>
      </c>
      <c r="F119" s="3" t="s">
        <v>25</v>
      </c>
      <c r="G119" s="3" t="s">
        <v>25</v>
      </c>
      <c r="H119" s="3" t="s">
        <v>38</v>
      </c>
      <c r="I119" s="6">
        <v>44713</v>
      </c>
      <c r="J119" s="4">
        <v>0</v>
      </c>
      <c r="K119" s="54">
        <v>0</v>
      </c>
      <c r="L119" s="4">
        <v>25.248000000000001</v>
      </c>
      <c r="M119" s="54">
        <v>25.248000000000001</v>
      </c>
      <c r="N119" s="4">
        <v>25.248000000000001</v>
      </c>
      <c r="O119" s="54">
        <v>25.248000000000001</v>
      </c>
      <c r="P119" s="4">
        <v>0</v>
      </c>
      <c r="Q119" s="3" t="s">
        <v>26</v>
      </c>
      <c r="R119" s="3">
        <v>0</v>
      </c>
      <c r="S119" s="3">
        <v>0</v>
      </c>
      <c r="T119" s="3">
        <v>13</v>
      </c>
      <c r="U119" s="3">
        <v>69</v>
      </c>
      <c r="V119" s="54">
        <f>IF(ISERROR(VLOOKUP($S$119,'TAR FIN'!$A$1:$O$91,15,0)),0,VLOOKUP($S$119,'TAR FIN'!$A$1:$O$91,15,0))</f>
        <v>0</v>
      </c>
      <c r="W119" s="54">
        <f>IF(ISERROR(VLOOKUP($T$119,'TAR FIN'!$A$1:$O$91,15,0)),0,VLOOKUP($T$119,'TAR FIN'!$A$1:$O$91,15,0))*(1-0.06)</f>
        <v>66.871600000000001</v>
      </c>
      <c r="X119" s="54">
        <f>IF(ISERROR(VLOOKUP($U$119,'TAR FIN'!$A$1:$O$91,15,0)),0,VLOOKUP($U$119,'TAR FIN'!$A$1:$O$91,15,0))*(1-0.06)</f>
        <v>234.29499999999999</v>
      </c>
      <c r="Y119" s="54"/>
      <c r="Z119" s="54">
        <f ca="1">('TUSD BE'!$AM$15+'TUSD BF'!$AM$15+'TUSD CVA'!$AM$15)*1*(1-0.03)</f>
        <v>99.799749520056594</v>
      </c>
      <c r="AA119" s="54">
        <f>('TE BE'!$AB$6+'TE BF'!$AB$6+'TE CVA'!$AB$6)*1*(1-0.03)</f>
        <v>197.28126009827187</v>
      </c>
      <c r="AB119" s="54">
        <f>(SUBSIDIO!$J$119*SUBSIDIO!$V$119)*(0.06)/(1-0.06)</f>
        <v>0</v>
      </c>
      <c r="AC119" s="54">
        <f>((SUBSIDIO!$L$119*SUBSIDIO!$W$119)+(SUBSIDIO!$N$119*SUBSIDIO!$X$119))*(0.06)/(1-0.06)</f>
        <v>485.35240319999997</v>
      </c>
      <c r="AD119" s="54">
        <f>(SUBSIDIO!$J$119*SUBSIDIO!$Y$119)*(0.03)/(1-0.03)</f>
        <v>0</v>
      </c>
      <c r="AE119" s="54">
        <f ca="1">((SUBSIDIO!$L$119*SUBSIDIO!$Z$119)+(SUBSIDIO!$N$119*SUBSIDIO!$AA$119))*(0.03)/(1-0.03)</f>
        <v>231.98045353124405</v>
      </c>
      <c r="AF119" s="3" t="s">
        <v>663</v>
      </c>
    </row>
    <row r="120" spans="1:32" ht="11.25" customHeight="1" x14ac:dyDescent="0.25">
      <c r="A120" s="3" t="s">
        <v>21</v>
      </c>
      <c r="B120" s="3" t="s">
        <v>35</v>
      </c>
      <c r="C120" s="3" t="s">
        <v>36</v>
      </c>
      <c r="D120" s="3" t="s">
        <v>46</v>
      </c>
      <c r="E120" s="3" t="s">
        <v>47</v>
      </c>
      <c r="F120" s="3" t="s">
        <v>25</v>
      </c>
      <c r="G120" s="3" t="s">
        <v>25</v>
      </c>
      <c r="H120" s="3" t="s">
        <v>38</v>
      </c>
      <c r="I120" s="6">
        <v>44743</v>
      </c>
      <c r="J120" s="4">
        <v>0</v>
      </c>
      <c r="K120" s="54">
        <v>0</v>
      </c>
      <c r="L120" s="4">
        <v>26.207999999999998</v>
      </c>
      <c r="M120" s="54">
        <v>26.207999999999998</v>
      </c>
      <c r="N120" s="4">
        <v>26.207999999999998</v>
      </c>
      <c r="O120" s="54">
        <v>26.207999999999998</v>
      </c>
      <c r="P120" s="4">
        <v>0</v>
      </c>
      <c r="Q120" s="3" t="s">
        <v>26</v>
      </c>
      <c r="R120" s="3">
        <v>0</v>
      </c>
      <c r="S120" s="3">
        <v>0</v>
      </c>
      <c r="T120" s="3">
        <v>13</v>
      </c>
      <c r="U120" s="3">
        <v>69</v>
      </c>
      <c r="V120" s="54">
        <f>IF(ISERROR(VLOOKUP($S$120,'TAR FIN'!$A$1:$O$91,15,0)),0,VLOOKUP($S$120,'TAR FIN'!$A$1:$O$91,15,0))</f>
        <v>0</v>
      </c>
      <c r="W120" s="54">
        <f>IF(ISERROR(VLOOKUP($T$120,'TAR FIN'!$A$1:$O$91,15,0)),0,VLOOKUP($T$120,'TAR FIN'!$A$1:$O$91,15,0))*(1-0.06)</f>
        <v>66.871600000000001</v>
      </c>
      <c r="X120" s="54">
        <f>IF(ISERROR(VLOOKUP($U$120,'TAR FIN'!$A$1:$O$91,15,0)),0,VLOOKUP($U$120,'TAR FIN'!$A$1:$O$91,15,0))*(1-0.06)</f>
        <v>234.29499999999999</v>
      </c>
      <c r="Y120" s="54"/>
      <c r="Z120" s="54">
        <f ca="1">('TUSD BE'!$AM$15+'TUSD BF'!$AM$15+'TUSD CVA'!$AM$15)*1*(1-0.03)</f>
        <v>99.799749520056594</v>
      </c>
      <c r="AA120" s="54">
        <f>('TE BE'!$AB$6+'TE BF'!$AB$6+'TE CVA'!$AB$6)*1*(1-0.03)</f>
        <v>197.28126009827187</v>
      </c>
      <c r="AB120" s="54">
        <f>(SUBSIDIO!$J$120*SUBSIDIO!$V$120)*(0.06)/(1-0.06)</f>
        <v>0</v>
      </c>
      <c r="AC120" s="54">
        <f>((SUBSIDIO!$L$120*SUBSIDIO!$W$120)+(SUBSIDIO!$N$120*SUBSIDIO!$X$120))*(0.06)/(1-0.06)</f>
        <v>503.80686719999989</v>
      </c>
      <c r="AD120" s="54">
        <f>(SUBSIDIO!$J$120*SUBSIDIO!$Y$120)*(0.03)/(1-0.03)</f>
        <v>0</v>
      </c>
      <c r="AE120" s="54">
        <f ca="1">((SUBSIDIO!$L$120*SUBSIDIO!$Z$120)+(SUBSIDIO!$N$120*SUBSIDIO!$AA$120))*(0.03)/(1-0.03)</f>
        <v>240.80100309516965</v>
      </c>
      <c r="AF120" s="3" t="s">
        <v>663</v>
      </c>
    </row>
    <row r="121" spans="1:32" ht="11.25" customHeight="1" x14ac:dyDescent="0.25">
      <c r="A121" s="3" t="s">
        <v>21</v>
      </c>
      <c r="B121" s="3" t="s">
        <v>35</v>
      </c>
      <c r="C121" s="3" t="s">
        <v>36</v>
      </c>
      <c r="D121" s="3" t="s">
        <v>46</v>
      </c>
      <c r="E121" s="3" t="s">
        <v>47</v>
      </c>
      <c r="F121" s="3" t="s">
        <v>25</v>
      </c>
      <c r="G121" s="3" t="s">
        <v>25</v>
      </c>
      <c r="H121" s="3" t="s">
        <v>38</v>
      </c>
      <c r="I121" s="6">
        <v>44774</v>
      </c>
      <c r="J121" s="4">
        <v>0</v>
      </c>
      <c r="K121" s="54">
        <v>0</v>
      </c>
      <c r="L121" s="4">
        <v>25.567</v>
      </c>
      <c r="M121" s="54">
        <v>25.567</v>
      </c>
      <c r="N121" s="4">
        <v>25.567</v>
      </c>
      <c r="O121" s="54">
        <v>25.567</v>
      </c>
      <c r="P121" s="4">
        <v>0</v>
      </c>
      <c r="Q121" s="3" t="s">
        <v>26</v>
      </c>
      <c r="R121" s="3">
        <v>0</v>
      </c>
      <c r="S121" s="3">
        <v>0</v>
      </c>
      <c r="T121" s="3">
        <v>13</v>
      </c>
      <c r="U121" s="3">
        <v>69</v>
      </c>
      <c r="V121" s="54">
        <f>IF(ISERROR(VLOOKUP($S$121,'TAR FIN'!$A$1:$O$91,15,0)),0,VLOOKUP($S$121,'TAR FIN'!$A$1:$O$91,15,0))</f>
        <v>0</v>
      </c>
      <c r="W121" s="54">
        <f>IF(ISERROR(VLOOKUP($T$121,'TAR FIN'!$A$1:$O$91,15,0)),0,VLOOKUP($T$121,'TAR FIN'!$A$1:$O$91,15,0))*(1-0.06)</f>
        <v>66.871600000000001</v>
      </c>
      <c r="X121" s="54">
        <f>IF(ISERROR(VLOOKUP($U$121,'TAR FIN'!$A$1:$O$91,15,0)),0,VLOOKUP($U$121,'TAR FIN'!$A$1:$O$91,15,0))*(1-0.06)</f>
        <v>234.29499999999999</v>
      </c>
      <c r="Y121" s="54"/>
      <c r="Z121" s="54">
        <f ca="1">('TUSD BE'!$AM$15+'TUSD BF'!$AM$15+'TUSD CVA'!$AM$15)*1*(1-0.03)</f>
        <v>99.799749520056594</v>
      </c>
      <c r="AA121" s="54">
        <f>('TE BE'!$AB$6+'TE BF'!$AB$6+'TE CVA'!$AB$6)*1*(1-0.03)</f>
        <v>197.28126009827187</v>
      </c>
      <c r="AB121" s="54">
        <f>(SUBSIDIO!$J$121*SUBSIDIO!$V$121)*(0.06)/(1-0.06)</f>
        <v>0</v>
      </c>
      <c r="AC121" s="54">
        <f>((SUBSIDIO!$L$121*SUBSIDIO!$W$121)+(SUBSIDIO!$N$121*SUBSIDIO!$X$121))*(0.06)/(1-0.06)</f>
        <v>491.48466780000001</v>
      </c>
      <c r="AD121" s="54">
        <f>(SUBSIDIO!$J$121*SUBSIDIO!$Y$121)*(0.03)/(1-0.03)</f>
        <v>0</v>
      </c>
      <c r="AE121" s="54">
        <f ca="1">((SUBSIDIO!$L$121*SUBSIDIO!$Z$121)+(SUBSIDIO!$N$121*SUBSIDIO!$AA$121))*(0.03)/(1-0.03)</f>
        <v>234.91144864675681</v>
      </c>
      <c r="AF121" s="3" t="s">
        <v>663</v>
      </c>
    </row>
    <row r="122" spans="1:32" ht="11.25" customHeight="1" x14ac:dyDescent="0.25">
      <c r="A122" s="3" t="s">
        <v>21</v>
      </c>
      <c r="B122" s="3" t="s">
        <v>35</v>
      </c>
      <c r="C122" s="3" t="s">
        <v>36</v>
      </c>
      <c r="D122" s="3" t="s">
        <v>46</v>
      </c>
      <c r="E122" s="3" t="s">
        <v>47</v>
      </c>
      <c r="F122" s="3" t="s">
        <v>25</v>
      </c>
      <c r="G122" s="3" t="s">
        <v>25</v>
      </c>
      <c r="H122" s="3" t="s">
        <v>25</v>
      </c>
      <c r="I122" s="6">
        <v>44440</v>
      </c>
      <c r="J122" s="4">
        <v>60</v>
      </c>
      <c r="K122" s="53">
        <v>60</v>
      </c>
      <c r="L122" s="4">
        <v>0</v>
      </c>
      <c r="M122" s="54">
        <v>0</v>
      </c>
      <c r="N122" s="4">
        <v>0</v>
      </c>
      <c r="O122" s="54">
        <v>0</v>
      </c>
      <c r="P122" s="4">
        <v>1</v>
      </c>
      <c r="Q122" s="3" t="s">
        <v>26</v>
      </c>
      <c r="R122" s="3">
        <v>0</v>
      </c>
      <c r="S122" s="3">
        <v>9</v>
      </c>
      <c r="T122" s="3">
        <v>0</v>
      </c>
      <c r="U122" s="3">
        <v>0</v>
      </c>
      <c r="V122" s="54">
        <f>IF(ISERROR(VLOOKUP($S$122,'TAR FIN'!$A$1:$O$91,15,0)),0,VLOOKUP($S$122,'TAR FIN'!$A$1:$O$91,15,0))*(1-0.06)</f>
        <v>17.060999999999996</v>
      </c>
      <c r="W122" s="54">
        <f>IF(ISERROR(VLOOKUP($T$122,'TAR FIN'!$A$1:$O$91,15,0)),0,VLOOKUP($T$122,'TAR FIN'!$A$1:$O$91,15,0))</f>
        <v>0</v>
      </c>
      <c r="X122" s="54">
        <f>IF(ISERROR(VLOOKUP($U$122,'TAR FIN'!$A$1:$O$91,15,0)),0,VLOOKUP($U$122,'TAR FIN'!$A$1:$O$91,15,0))</f>
        <v>0</v>
      </c>
      <c r="Y122" s="54">
        <f ca="1">('TUSD BE'!$AM$13+'TUSD BF'!$AM$13+'TUSD CVA'!$AM$13)*1*(1-0.03)</f>
        <v>20.639983826307745</v>
      </c>
      <c r="Z122" s="54"/>
      <c r="AA122" s="54"/>
      <c r="AB122" s="54">
        <f>(SUBSIDIO!$J$122*SUBSIDIO!$V$122)*(0.06)/(1-0.06)</f>
        <v>65.339999999999989</v>
      </c>
      <c r="AC122" s="54">
        <f>((SUBSIDIO!$L$122*SUBSIDIO!$W$122)+(SUBSIDIO!$N$122*SUBSIDIO!$X$122))*(0.06)/(1-0.06)</f>
        <v>0</v>
      </c>
      <c r="AD122" s="54">
        <f ca="1">(SUBSIDIO!$J$122*SUBSIDIO!$Y$122)*(0.03)/(1-0.03)</f>
        <v>38.301000914797875</v>
      </c>
      <c r="AE122" s="54">
        <f>((SUBSIDIO!$L$122*SUBSIDIO!$Z$122)+(SUBSIDIO!$N$122*SUBSIDIO!$AA$122))*(0.03)/(1-0.03)</f>
        <v>0</v>
      </c>
      <c r="AF122" s="3" t="s">
        <v>663</v>
      </c>
    </row>
    <row r="123" spans="1:32" ht="11.25" customHeight="1" x14ac:dyDescent="0.25">
      <c r="A123" s="3" t="s">
        <v>21</v>
      </c>
      <c r="B123" s="3" t="s">
        <v>35</v>
      </c>
      <c r="C123" s="3" t="s">
        <v>36</v>
      </c>
      <c r="D123" s="3" t="s">
        <v>46</v>
      </c>
      <c r="E123" s="3" t="s">
        <v>47</v>
      </c>
      <c r="F123" s="3" t="s">
        <v>25</v>
      </c>
      <c r="G123" s="3" t="s">
        <v>25</v>
      </c>
      <c r="H123" s="3" t="s">
        <v>25</v>
      </c>
      <c r="I123" s="6">
        <v>44470</v>
      </c>
      <c r="J123" s="4">
        <v>60</v>
      </c>
      <c r="K123" s="53">
        <v>60</v>
      </c>
      <c r="L123" s="4">
        <v>0</v>
      </c>
      <c r="M123" s="54">
        <v>0</v>
      </c>
      <c r="N123" s="4">
        <v>0</v>
      </c>
      <c r="O123" s="54">
        <v>0</v>
      </c>
      <c r="P123" s="4">
        <v>1</v>
      </c>
      <c r="Q123" s="3" t="s">
        <v>26</v>
      </c>
      <c r="R123" s="3">
        <v>0</v>
      </c>
      <c r="S123" s="3">
        <v>9</v>
      </c>
      <c r="T123" s="3">
        <v>0</v>
      </c>
      <c r="U123" s="3">
        <v>0</v>
      </c>
      <c r="V123" s="54">
        <f>IF(ISERROR(VLOOKUP($S$123,'TAR FIN'!$A$1:$O$91,15,0)),0,VLOOKUP($S$123,'TAR FIN'!$A$1:$O$91,15,0))*(1-0.06)</f>
        <v>17.060999999999996</v>
      </c>
      <c r="W123" s="54">
        <f>IF(ISERROR(VLOOKUP($T$123,'TAR FIN'!$A$1:$O$91,15,0)),0,VLOOKUP($T$123,'TAR FIN'!$A$1:$O$91,15,0))</f>
        <v>0</v>
      </c>
      <c r="X123" s="54">
        <f>IF(ISERROR(VLOOKUP($U$123,'TAR FIN'!$A$1:$O$91,15,0)),0,VLOOKUP($U$123,'TAR FIN'!$A$1:$O$91,15,0))</f>
        <v>0</v>
      </c>
      <c r="Y123" s="54">
        <f ca="1">('TUSD BE'!$AM$13+'TUSD BF'!$AM$13+'TUSD CVA'!$AM$13)*1*(1-0.03)</f>
        <v>20.639983826307745</v>
      </c>
      <c r="Z123" s="54"/>
      <c r="AA123" s="54"/>
      <c r="AB123" s="54">
        <f>(SUBSIDIO!$J$123*SUBSIDIO!$V$123)*(0.06)/(1-0.06)</f>
        <v>65.339999999999989</v>
      </c>
      <c r="AC123" s="54">
        <f>((SUBSIDIO!$L$123*SUBSIDIO!$W$123)+(SUBSIDIO!$N$123*SUBSIDIO!$X$123))*(0.06)/(1-0.06)</f>
        <v>0</v>
      </c>
      <c r="AD123" s="54">
        <f ca="1">(SUBSIDIO!$J$123*SUBSIDIO!$Y$123)*(0.03)/(1-0.03)</f>
        <v>38.301000914797875</v>
      </c>
      <c r="AE123" s="54">
        <f>((SUBSIDIO!$L$123*SUBSIDIO!$Z$123)+(SUBSIDIO!$N$123*SUBSIDIO!$AA$123))*(0.03)/(1-0.03)</f>
        <v>0</v>
      </c>
      <c r="AF123" s="3" t="s">
        <v>663</v>
      </c>
    </row>
    <row r="124" spans="1:32" ht="11.25" customHeight="1" x14ac:dyDescent="0.25">
      <c r="A124" s="3" t="s">
        <v>21</v>
      </c>
      <c r="B124" s="3" t="s">
        <v>35</v>
      </c>
      <c r="C124" s="3" t="s">
        <v>36</v>
      </c>
      <c r="D124" s="3" t="s">
        <v>46</v>
      </c>
      <c r="E124" s="3" t="s">
        <v>47</v>
      </c>
      <c r="F124" s="3" t="s">
        <v>25</v>
      </c>
      <c r="G124" s="3" t="s">
        <v>25</v>
      </c>
      <c r="H124" s="3" t="s">
        <v>25</v>
      </c>
      <c r="I124" s="6">
        <v>44501</v>
      </c>
      <c r="J124" s="4">
        <v>60</v>
      </c>
      <c r="K124" s="53">
        <v>60</v>
      </c>
      <c r="L124" s="4">
        <v>0</v>
      </c>
      <c r="M124" s="54">
        <v>0</v>
      </c>
      <c r="N124" s="4">
        <v>0</v>
      </c>
      <c r="O124" s="54">
        <v>0</v>
      </c>
      <c r="P124" s="4">
        <v>1</v>
      </c>
      <c r="Q124" s="3" t="s">
        <v>26</v>
      </c>
      <c r="R124" s="3">
        <v>0</v>
      </c>
      <c r="S124" s="3">
        <v>9</v>
      </c>
      <c r="T124" s="3">
        <v>0</v>
      </c>
      <c r="U124" s="3">
        <v>0</v>
      </c>
      <c r="V124" s="54">
        <f>IF(ISERROR(VLOOKUP($S$124,'TAR FIN'!$A$1:$O$91,15,0)),0,VLOOKUP($S$124,'TAR FIN'!$A$1:$O$91,15,0))*(1-0.06)</f>
        <v>17.060999999999996</v>
      </c>
      <c r="W124" s="54">
        <f>IF(ISERROR(VLOOKUP($T$124,'TAR FIN'!$A$1:$O$91,15,0)),0,VLOOKUP($T$124,'TAR FIN'!$A$1:$O$91,15,0))</f>
        <v>0</v>
      </c>
      <c r="X124" s="54">
        <f>IF(ISERROR(VLOOKUP($U$124,'TAR FIN'!$A$1:$O$91,15,0)),0,VLOOKUP($U$124,'TAR FIN'!$A$1:$O$91,15,0))</f>
        <v>0</v>
      </c>
      <c r="Y124" s="54">
        <f ca="1">('TUSD BE'!$AM$13+'TUSD BF'!$AM$13+'TUSD CVA'!$AM$13)*1*(1-0.03)</f>
        <v>20.639983826307745</v>
      </c>
      <c r="Z124" s="54"/>
      <c r="AA124" s="54"/>
      <c r="AB124" s="54">
        <f>(SUBSIDIO!$J$124*SUBSIDIO!$V$124)*(0.06)/(1-0.06)</f>
        <v>65.339999999999989</v>
      </c>
      <c r="AC124" s="54">
        <f>((SUBSIDIO!$L$124*SUBSIDIO!$W$124)+(SUBSIDIO!$N$124*SUBSIDIO!$X$124))*(0.06)/(1-0.06)</f>
        <v>0</v>
      </c>
      <c r="AD124" s="54">
        <f ca="1">(SUBSIDIO!$J$124*SUBSIDIO!$Y$124)*(0.03)/(1-0.03)</f>
        <v>38.301000914797875</v>
      </c>
      <c r="AE124" s="54">
        <f>((SUBSIDIO!$L$124*SUBSIDIO!$Z$124)+(SUBSIDIO!$N$124*SUBSIDIO!$AA$124))*(0.03)/(1-0.03)</f>
        <v>0</v>
      </c>
      <c r="AF124" s="3" t="s">
        <v>663</v>
      </c>
    </row>
    <row r="125" spans="1:32" ht="11.25" customHeight="1" x14ac:dyDescent="0.25">
      <c r="A125" s="3" t="s">
        <v>21</v>
      </c>
      <c r="B125" s="3" t="s">
        <v>35</v>
      </c>
      <c r="C125" s="3" t="s">
        <v>36</v>
      </c>
      <c r="D125" s="3" t="s">
        <v>46</v>
      </c>
      <c r="E125" s="3" t="s">
        <v>47</v>
      </c>
      <c r="F125" s="3" t="s">
        <v>25</v>
      </c>
      <c r="G125" s="3" t="s">
        <v>25</v>
      </c>
      <c r="H125" s="3" t="s">
        <v>25</v>
      </c>
      <c r="I125" s="6">
        <v>44531</v>
      </c>
      <c r="J125" s="4">
        <v>60</v>
      </c>
      <c r="K125" s="53">
        <v>60</v>
      </c>
      <c r="L125" s="4">
        <v>0</v>
      </c>
      <c r="M125" s="54">
        <v>0</v>
      </c>
      <c r="N125" s="4">
        <v>0</v>
      </c>
      <c r="O125" s="54">
        <v>0</v>
      </c>
      <c r="P125" s="4">
        <v>1</v>
      </c>
      <c r="Q125" s="3" t="s">
        <v>26</v>
      </c>
      <c r="R125" s="3">
        <v>0</v>
      </c>
      <c r="S125" s="3">
        <v>9</v>
      </c>
      <c r="T125" s="3">
        <v>0</v>
      </c>
      <c r="U125" s="3">
        <v>0</v>
      </c>
      <c r="V125" s="54">
        <f>IF(ISERROR(VLOOKUP($S$125,'TAR FIN'!$A$1:$O$91,15,0)),0,VLOOKUP($S$125,'TAR FIN'!$A$1:$O$91,15,0))*(1-0.06)</f>
        <v>17.060999999999996</v>
      </c>
      <c r="W125" s="54">
        <f>IF(ISERROR(VLOOKUP($T$125,'TAR FIN'!$A$1:$O$91,15,0)),0,VLOOKUP($T$125,'TAR FIN'!$A$1:$O$91,15,0))</f>
        <v>0</v>
      </c>
      <c r="X125" s="54">
        <f>IF(ISERROR(VLOOKUP($U$125,'TAR FIN'!$A$1:$O$91,15,0)),0,VLOOKUP($U$125,'TAR FIN'!$A$1:$O$91,15,0))</f>
        <v>0</v>
      </c>
      <c r="Y125" s="54">
        <f ca="1">('TUSD BE'!$AM$13+'TUSD BF'!$AM$13+'TUSD CVA'!$AM$13)*1*(1-0.03)</f>
        <v>20.639983826307745</v>
      </c>
      <c r="Z125" s="54"/>
      <c r="AA125" s="54"/>
      <c r="AB125" s="54">
        <f>(SUBSIDIO!$J$125*SUBSIDIO!$V$125)*(0.06)/(1-0.06)</f>
        <v>65.339999999999989</v>
      </c>
      <c r="AC125" s="54">
        <f>((SUBSIDIO!$L$125*SUBSIDIO!$W$125)+(SUBSIDIO!$N$125*SUBSIDIO!$X$125))*(0.06)/(1-0.06)</f>
        <v>0</v>
      </c>
      <c r="AD125" s="54">
        <f ca="1">(SUBSIDIO!$J$125*SUBSIDIO!$Y$125)*(0.03)/(1-0.03)</f>
        <v>38.301000914797875</v>
      </c>
      <c r="AE125" s="54">
        <f>((SUBSIDIO!$L$125*SUBSIDIO!$Z$125)+(SUBSIDIO!$N$125*SUBSIDIO!$AA$125))*(0.03)/(1-0.03)</f>
        <v>0</v>
      </c>
      <c r="AF125" s="3" t="s">
        <v>663</v>
      </c>
    </row>
    <row r="126" spans="1:32" ht="11.25" customHeight="1" x14ac:dyDescent="0.25">
      <c r="A126" s="3" t="s">
        <v>21</v>
      </c>
      <c r="B126" s="3" t="s">
        <v>35</v>
      </c>
      <c r="C126" s="3" t="s">
        <v>36</v>
      </c>
      <c r="D126" s="3" t="s">
        <v>46</v>
      </c>
      <c r="E126" s="3" t="s">
        <v>47</v>
      </c>
      <c r="F126" s="3" t="s">
        <v>25</v>
      </c>
      <c r="G126" s="3" t="s">
        <v>25</v>
      </c>
      <c r="H126" s="3" t="s">
        <v>25</v>
      </c>
      <c r="I126" s="6">
        <v>44562</v>
      </c>
      <c r="J126" s="4">
        <v>60</v>
      </c>
      <c r="K126" s="53">
        <v>60</v>
      </c>
      <c r="L126" s="4">
        <v>0</v>
      </c>
      <c r="M126" s="54">
        <v>0</v>
      </c>
      <c r="N126" s="4">
        <v>0</v>
      </c>
      <c r="O126" s="54">
        <v>0</v>
      </c>
      <c r="P126" s="4">
        <v>1</v>
      </c>
      <c r="Q126" s="3" t="s">
        <v>26</v>
      </c>
      <c r="R126" s="3">
        <v>0</v>
      </c>
      <c r="S126" s="3">
        <v>9</v>
      </c>
      <c r="T126" s="3">
        <v>0</v>
      </c>
      <c r="U126" s="3">
        <v>0</v>
      </c>
      <c r="V126" s="54">
        <f>IF(ISERROR(VLOOKUP($S$126,'TAR FIN'!$A$1:$O$91,15,0)),0,VLOOKUP($S$126,'TAR FIN'!$A$1:$O$91,15,0))*(1-0.06)</f>
        <v>17.060999999999996</v>
      </c>
      <c r="W126" s="54">
        <f>IF(ISERROR(VLOOKUP($T$126,'TAR FIN'!$A$1:$O$91,15,0)),0,VLOOKUP($T$126,'TAR FIN'!$A$1:$O$91,15,0))</f>
        <v>0</v>
      </c>
      <c r="X126" s="54">
        <f>IF(ISERROR(VLOOKUP($U$126,'TAR FIN'!$A$1:$O$91,15,0)),0,VLOOKUP($U$126,'TAR FIN'!$A$1:$O$91,15,0))</f>
        <v>0</v>
      </c>
      <c r="Y126" s="54">
        <f ca="1">('TUSD BE'!$AM$13+'TUSD BF'!$AM$13+'TUSD CVA'!$AM$13)*1*(1-0.03)</f>
        <v>20.639983826307745</v>
      </c>
      <c r="Z126" s="54"/>
      <c r="AA126" s="54"/>
      <c r="AB126" s="54">
        <f>(SUBSIDIO!$J$126*SUBSIDIO!$V$126)*(0.06)/(1-0.06)</f>
        <v>65.339999999999989</v>
      </c>
      <c r="AC126" s="54">
        <f>((SUBSIDIO!$L$126*SUBSIDIO!$W$126)+(SUBSIDIO!$N$126*SUBSIDIO!$X$126))*(0.06)/(1-0.06)</f>
        <v>0</v>
      </c>
      <c r="AD126" s="54">
        <f ca="1">(SUBSIDIO!$J$126*SUBSIDIO!$Y$126)*(0.03)/(1-0.03)</f>
        <v>38.301000914797875</v>
      </c>
      <c r="AE126" s="54">
        <f>((SUBSIDIO!$L$126*SUBSIDIO!$Z$126)+(SUBSIDIO!$N$126*SUBSIDIO!$AA$126))*(0.03)/(1-0.03)</f>
        <v>0</v>
      </c>
      <c r="AF126" s="3" t="s">
        <v>663</v>
      </c>
    </row>
    <row r="127" spans="1:32" ht="11.25" customHeight="1" x14ac:dyDescent="0.25">
      <c r="A127" s="3" t="s">
        <v>21</v>
      </c>
      <c r="B127" s="3" t="s">
        <v>35</v>
      </c>
      <c r="C127" s="3" t="s">
        <v>36</v>
      </c>
      <c r="D127" s="3" t="s">
        <v>46</v>
      </c>
      <c r="E127" s="3" t="s">
        <v>47</v>
      </c>
      <c r="F127" s="3" t="s">
        <v>25</v>
      </c>
      <c r="G127" s="3" t="s">
        <v>25</v>
      </c>
      <c r="H127" s="3" t="s">
        <v>25</v>
      </c>
      <c r="I127" s="6">
        <v>44593</v>
      </c>
      <c r="J127" s="4">
        <v>60</v>
      </c>
      <c r="K127" s="53">
        <v>60</v>
      </c>
      <c r="L127" s="4">
        <v>0</v>
      </c>
      <c r="M127" s="54">
        <v>0</v>
      </c>
      <c r="N127" s="4">
        <v>0</v>
      </c>
      <c r="O127" s="54">
        <v>0</v>
      </c>
      <c r="P127" s="4">
        <v>1</v>
      </c>
      <c r="Q127" s="3" t="s">
        <v>26</v>
      </c>
      <c r="R127" s="3">
        <v>0</v>
      </c>
      <c r="S127" s="3">
        <v>9</v>
      </c>
      <c r="T127" s="3">
        <v>0</v>
      </c>
      <c r="U127" s="3">
        <v>0</v>
      </c>
      <c r="V127" s="54">
        <f>IF(ISERROR(VLOOKUP($S$127,'TAR FIN'!$A$1:$O$91,15,0)),0,VLOOKUP($S$127,'TAR FIN'!$A$1:$O$91,15,0))*(1-0.06)</f>
        <v>17.060999999999996</v>
      </c>
      <c r="W127" s="54">
        <f>IF(ISERROR(VLOOKUP($T$127,'TAR FIN'!$A$1:$O$91,15,0)),0,VLOOKUP($T$127,'TAR FIN'!$A$1:$O$91,15,0))</f>
        <v>0</v>
      </c>
      <c r="X127" s="54">
        <f>IF(ISERROR(VLOOKUP($U$127,'TAR FIN'!$A$1:$O$91,15,0)),0,VLOOKUP($U$127,'TAR FIN'!$A$1:$O$91,15,0))</f>
        <v>0</v>
      </c>
      <c r="Y127" s="54">
        <f ca="1">('TUSD BE'!$AM$13+'TUSD BF'!$AM$13+'TUSD CVA'!$AM$13)*1*(1-0.03)</f>
        <v>20.639983826307745</v>
      </c>
      <c r="Z127" s="54"/>
      <c r="AA127" s="54"/>
      <c r="AB127" s="54">
        <f>(SUBSIDIO!$J$127*SUBSIDIO!$V$127)*(0.06)/(1-0.06)</f>
        <v>65.339999999999989</v>
      </c>
      <c r="AC127" s="54">
        <f>((SUBSIDIO!$L$127*SUBSIDIO!$W$127)+(SUBSIDIO!$N$127*SUBSIDIO!$X$127))*(0.06)/(1-0.06)</f>
        <v>0</v>
      </c>
      <c r="AD127" s="54">
        <f ca="1">(SUBSIDIO!$J$127*SUBSIDIO!$Y$127)*(0.03)/(1-0.03)</f>
        <v>38.301000914797875</v>
      </c>
      <c r="AE127" s="54">
        <f>((SUBSIDIO!$L$127*SUBSIDIO!$Z$127)+(SUBSIDIO!$N$127*SUBSIDIO!$AA$127))*(0.03)/(1-0.03)</f>
        <v>0</v>
      </c>
      <c r="AF127" s="3" t="s">
        <v>663</v>
      </c>
    </row>
    <row r="128" spans="1:32" ht="11.25" customHeight="1" x14ac:dyDescent="0.25">
      <c r="A128" s="3" t="s">
        <v>21</v>
      </c>
      <c r="B128" s="3" t="s">
        <v>35</v>
      </c>
      <c r="C128" s="3" t="s">
        <v>36</v>
      </c>
      <c r="D128" s="3" t="s">
        <v>46</v>
      </c>
      <c r="E128" s="3" t="s">
        <v>47</v>
      </c>
      <c r="F128" s="3" t="s">
        <v>25</v>
      </c>
      <c r="G128" s="3" t="s">
        <v>25</v>
      </c>
      <c r="H128" s="3" t="s">
        <v>25</v>
      </c>
      <c r="I128" s="6">
        <v>44621</v>
      </c>
      <c r="J128" s="4">
        <v>60</v>
      </c>
      <c r="K128" s="53">
        <v>60</v>
      </c>
      <c r="L128" s="4">
        <v>0</v>
      </c>
      <c r="M128" s="54">
        <v>0</v>
      </c>
      <c r="N128" s="4">
        <v>0</v>
      </c>
      <c r="O128" s="54">
        <v>0</v>
      </c>
      <c r="P128" s="4">
        <v>1</v>
      </c>
      <c r="Q128" s="3" t="s">
        <v>26</v>
      </c>
      <c r="R128" s="3">
        <v>0</v>
      </c>
      <c r="S128" s="3">
        <v>9</v>
      </c>
      <c r="T128" s="3">
        <v>0</v>
      </c>
      <c r="U128" s="3">
        <v>0</v>
      </c>
      <c r="V128" s="54">
        <f>IF(ISERROR(VLOOKUP($S$128,'TAR FIN'!$A$1:$O$91,15,0)),0,VLOOKUP($S$128,'TAR FIN'!$A$1:$O$91,15,0))*(1-0.06)</f>
        <v>17.060999999999996</v>
      </c>
      <c r="W128" s="54">
        <f>IF(ISERROR(VLOOKUP($T$128,'TAR FIN'!$A$1:$O$91,15,0)),0,VLOOKUP($T$128,'TAR FIN'!$A$1:$O$91,15,0))</f>
        <v>0</v>
      </c>
      <c r="X128" s="54">
        <f>IF(ISERROR(VLOOKUP($U$128,'TAR FIN'!$A$1:$O$91,15,0)),0,VLOOKUP($U$128,'TAR FIN'!$A$1:$O$91,15,0))</f>
        <v>0</v>
      </c>
      <c r="Y128" s="54">
        <f ca="1">('TUSD BE'!$AM$13+'TUSD BF'!$AM$13+'TUSD CVA'!$AM$13)*1*(1-0.03)</f>
        <v>20.639983826307745</v>
      </c>
      <c r="Z128" s="54"/>
      <c r="AA128" s="54"/>
      <c r="AB128" s="54">
        <f>(SUBSIDIO!$J$128*SUBSIDIO!$V$128)*(0.06)/(1-0.06)</f>
        <v>65.339999999999989</v>
      </c>
      <c r="AC128" s="54">
        <f>((SUBSIDIO!$L$128*SUBSIDIO!$W$128)+(SUBSIDIO!$N$128*SUBSIDIO!$X$128))*(0.06)/(1-0.06)</f>
        <v>0</v>
      </c>
      <c r="AD128" s="54">
        <f ca="1">(SUBSIDIO!$J$128*SUBSIDIO!$Y$128)*(0.03)/(1-0.03)</f>
        <v>38.301000914797875</v>
      </c>
      <c r="AE128" s="54">
        <f>((SUBSIDIO!$L$128*SUBSIDIO!$Z$128)+(SUBSIDIO!$N$128*SUBSIDIO!$AA$128))*(0.03)/(1-0.03)</f>
        <v>0</v>
      </c>
      <c r="AF128" s="3" t="s">
        <v>663</v>
      </c>
    </row>
    <row r="129" spans="1:32" ht="11.25" customHeight="1" x14ac:dyDescent="0.25">
      <c r="A129" s="3" t="s">
        <v>21</v>
      </c>
      <c r="B129" s="3" t="s">
        <v>35</v>
      </c>
      <c r="C129" s="3" t="s">
        <v>36</v>
      </c>
      <c r="D129" s="3" t="s">
        <v>46</v>
      </c>
      <c r="E129" s="3" t="s">
        <v>47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60</v>
      </c>
      <c r="K129" s="53">
        <v>60</v>
      </c>
      <c r="L129" s="4">
        <v>0</v>
      </c>
      <c r="M129" s="54">
        <v>0</v>
      </c>
      <c r="N129" s="4">
        <v>0</v>
      </c>
      <c r="O129" s="54">
        <v>0</v>
      </c>
      <c r="P129" s="4">
        <v>1</v>
      </c>
      <c r="Q129" s="3" t="s">
        <v>26</v>
      </c>
      <c r="R129" s="3">
        <v>0</v>
      </c>
      <c r="S129" s="3">
        <v>9</v>
      </c>
      <c r="T129" s="3">
        <v>0</v>
      </c>
      <c r="U129" s="3">
        <v>0</v>
      </c>
      <c r="V129" s="54">
        <f>IF(ISERROR(VLOOKUP($S$129,'TAR FIN'!$A$1:$O$91,15,0)),0,VLOOKUP($S$129,'TAR FIN'!$A$1:$O$91,15,0))*(1-0.06)</f>
        <v>17.060999999999996</v>
      </c>
      <c r="W129" s="54">
        <f>IF(ISERROR(VLOOKUP($T$129,'TAR FIN'!$A$1:$O$91,15,0)),0,VLOOKUP($T$129,'TAR FIN'!$A$1:$O$91,15,0))</f>
        <v>0</v>
      </c>
      <c r="X129" s="54">
        <f>IF(ISERROR(VLOOKUP($U$129,'TAR FIN'!$A$1:$O$91,15,0)),0,VLOOKUP($U$129,'TAR FIN'!$A$1:$O$91,15,0))</f>
        <v>0</v>
      </c>
      <c r="Y129" s="54">
        <f ca="1">('TUSD BE'!$AM$13+'TUSD BF'!$AM$13+'TUSD CVA'!$AM$13)*1*(1-0.03)</f>
        <v>20.639983826307745</v>
      </c>
      <c r="Z129" s="54"/>
      <c r="AA129" s="54"/>
      <c r="AB129" s="54">
        <f>(SUBSIDIO!$J$129*SUBSIDIO!$V$129)*(0.06)/(1-0.06)</f>
        <v>65.339999999999989</v>
      </c>
      <c r="AC129" s="54">
        <f>((SUBSIDIO!$L$129*SUBSIDIO!$W$129)+(SUBSIDIO!$N$129*SUBSIDIO!$X$129))*(0.06)/(1-0.06)</f>
        <v>0</v>
      </c>
      <c r="AD129" s="54">
        <f ca="1">(SUBSIDIO!$J$129*SUBSIDIO!$Y$129)*(0.03)/(1-0.03)</f>
        <v>38.301000914797875</v>
      </c>
      <c r="AE129" s="54">
        <f>((SUBSIDIO!$L$129*SUBSIDIO!$Z$129)+(SUBSIDIO!$N$129*SUBSIDIO!$AA$129))*(0.03)/(1-0.03)</f>
        <v>0</v>
      </c>
      <c r="AF129" s="3" t="s">
        <v>663</v>
      </c>
    </row>
    <row r="130" spans="1:32" ht="11.25" customHeight="1" x14ac:dyDescent="0.25">
      <c r="A130" s="3" t="s">
        <v>21</v>
      </c>
      <c r="B130" s="3" t="s">
        <v>35</v>
      </c>
      <c r="C130" s="3" t="s">
        <v>36</v>
      </c>
      <c r="D130" s="3" t="s">
        <v>46</v>
      </c>
      <c r="E130" s="3" t="s">
        <v>47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60</v>
      </c>
      <c r="K130" s="53">
        <v>60</v>
      </c>
      <c r="L130" s="4">
        <v>0</v>
      </c>
      <c r="M130" s="54">
        <v>0</v>
      </c>
      <c r="N130" s="4">
        <v>0</v>
      </c>
      <c r="O130" s="54">
        <v>0</v>
      </c>
      <c r="P130" s="4">
        <v>1</v>
      </c>
      <c r="Q130" s="3" t="s">
        <v>26</v>
      </c>
      <c r="R130" s="3">
        <v>0</v>
      </c>
      <c r="S130" s="3">
        <v>9</v>
      </c>
      <c r="T130" s="3">
        <v>0</v>
      </c>
      <c r="U130" s="3">
        <v>0</v>
      </c>
      <c r="V130" s="54">
        <f>IF(ISERROR(VLOOKUP($S$130,'TAR FIN'!$A$1:$O$91,15,0)),0,VLOOKUP($S$130,'TAR FIN'!$A$1:$O$91,15,0))*(1-0.06)</f>
        <v>17.060999999999996</v>
      </c>
      <c r="W130" s="54">
        <f>IF(ISERROR(VLOOKUP($T$130,'TAR FIN'!$A$1:$O$91,15,0)),0,VLOOKUP($T$130,'TAR FIN'!$A$1:$O$91,15,0))</f>
        <v>0</v>
      </c>
      <c r="X130" s="54">
        <f>IF(ISERROR(VLOOKUP($U$130,'TAR FIN'!$A$1:$O$91,15,0)),0,VLOOKUP($U$130,'TAR FIN'!$A$1:$O$91,15,0))</f>
        <v>0</v>
      </c>
      <c r="Y130" s="54">
        <f ca="1">('TUSD BE'!$AM$13+'TUSD BF'!$AM$13+'TUSD CVA'!$AM$13)*1*(1-0.03)</f>
        <v>20.639983826307745</v>
      </c>
      <c r="Z130" s="54"/>
      <c r="AA130" s="54"/>
      <c r="AB130" s="54">
        <f>(SUBSIDIO!$J$130*SUBSIDIO!$V$130)*(0.06)/(1-0.06)</f>
        <v>65.339999999999989</v>
      </c>
      <c r="AC130" s="54">
        <f>((SUBSIDIO!$L$130*SUBSIDIO!$W$130)+(SUBSIDIO!$N$130*SUBSIDIO!$X$130))*(0.06)/(1-0.06)</f>
        <v>0</v>
      </c>
      <c r="AD130" s="54">
        <f ca="1">(SUBSIDIO!$J$130*SUBSIDIO!$Y$130)*(0.03)/(1-0.03)</f>
        <v>38.301000914797875</v>
      </c>
      <c r="AE130" s="54">
        <f>((SUBSIDIO!$L$130*SUBSIDIO!$Z$130)+(SUBSIDIO!$N$130*SUBSIDIO!$AA$130))*(0.03)/(1-0.03)</f>
        <v>0</v>
      </c>
      <c r="AF130" s="3" t="s">
        <v>663</v>
      </c>
    </row>
    <row r="131" spans="1:32" ht="11.25" customHeight="1" x14ac:dyDescent="0.25">
      <c r="A131" s="3" t="s">
        <v>21</v>
      </c>
      <c r="B131" s="3" t="s">
        <v>35</v>
      </c>
      <c r="C131" s="3" t="s">
        <v>36</v>
      </c>
      <c r="D131" s="3" t="s">
        <v>46</v>
      </c>
      <c r="E131" s="3" t="s">
        <v>47</v>
      </c>
      <c r="F131" s="3" t="s">
        <v>25</v>
      </c>
      <c r="G131" s="3" t="s">
        <v>25</v>
      </c>
      <c r="H131" s="3" t="s">
        <v>25</v>
      </c>
      <c r="I131" s="6">
        <v>44713</v>
      </c>
      <c r="J131" s="4">
        <v>60</v>
      </c>
      <c r="K131" s="53">
        <v>60</v>
      </c>
      <c r="L131" s="4">
        <v>0</v>
      </c>
      <c r="M131" s="54">
        <v>0</v>
      </c>
      <c r="N131" s="4">
        <v>0</v>
      </c>
      <c r="O131" s="54">
        <v>0</v>
      </c>
      <c r="P131" s="4">
        <v>1</v>
      </c>
      <c r="Q131" s="3" t="s">
        <v>26</v>
      </c>
      <c r="R131" s="3">
        <v>0</v>
      </c>
      <c r="S131" s="3">
        <v>9</v>
      </c>
      <c r="T131" s="3">
        <v>0</v>
      </c>
      <c r="U131" s="3">
        <v>0</v>
      </c>
      <c r="V131" s="54">
        <f>IF(ISERROR(VLOOKUP($S$131,'TAR FIN'!$A$1:$O$91,15,0)),0,VLOOKUP($S$131,'TAR FIN'!$A$1:$O$91,15,0))*(1-0.06)</f>
        <v>17.060999999999996</v>
      </c>
      <c r="W131" s="54">
        <f>IF(ISERROR(VLOOKUP($T$131,'TAR FIN'!$A$1:$O$91,15,0)),0,VLOOKUP($T$131,'TAR FIN'!$A$1:$O$91,15,0))</f>
        <v>0</v>
      </c>
      <c r="X131" s="54">
        <f>IF(ISERROR(VLOOKUP($U$131,'TAR FIN'!$A$1:$O$91,15,0)),0,VLOOKUP($U$131,'TAR FIN'!$A$1:$O$91,15,0))</f>
        <v>0</v>
      </c>
      <c r="Y131" s="54">
        <f ca="1">('TUSD BE'!$AM$13+'TUSD BF'!$AM$13+'TUSD CVA'!$AM$13)*1*(1-0.03)</f>
        <v>20.639983826307745</v>
      </c>
      <c r="Z131" s="54"/>
      <c r="AA131" s="54"/>
      <c r="AB131" s="54">
        <f>(SUBSIDIO!$J$131*SUBSIDIO!$V$131)*(0.06)/(1-0.06)</f>
        <v>65.339999999999989</v>
      </c>
      <c r="AC131" s="54">
        <f>((SUBSIDIO!$L$131*SUBSIDIO!$W$131)+(SUBSIDIO!$N$131*SUBSIDIO!$X$131))*(0.06)/(1-0.06)</f>
        <v>0</v>
      </c>
      <c r="AD131" s="54">
        <f ca="1">(SUBSIDIO!$J$131*SUBSIDIO!$Y$131)*(0.03)/(1-0.03)</f>
        <v>38.301000914797875</v>
      </c>
      <c r="AE131" s="54">
        <f>((SUBSIDIO!$L$131*SUBSIDIO!$Z$131)+(SUBSIDIO!$N$131*SUBSIDIO!$AA$131))*(0.03)/(1-0.03)</f>
        <v>0</v>
      </c>
      <c r="AF131" s="3" t="s">
        <v>663</v>
      </c>
    </row>
    <row r="132" spans="1:32" ht="11.25" customHeight="1" x14ac:dyDescent="0.25">
      <c r="A132" s="3" t="s">
        <v>21</v>
      </c>
      <c r="B132" s="3" t="s">
        <v>35</v>
      </c>
      <c r="C132" s="3" t="s">
        <v>36</v>
      </c>
      <c r="D132" s="3" t="s">
        <v>46</v>
      </c>
      <c r="E132" s="3" t="s">
        <v>47</v>
      </c>
      <c r="F132" s="3" t="s">
        <v>25</v>
      </c>
      <c r="G132" s="3" t="s">
        <v>25</v>
      </c>
      <c r="H132" s="3" t="s">
        <v>25</v>
      </c>
      <c r="I132" s="6">
        <v>44743</v>
      </c>
      <c r="J132" s="4">
        <v>60</v>
      </c>
      <c r="K132" s="53">
        <v>60</v>
      </c>
      <c r="L132" s="4">
        <v>0</v>
      </c>
      <c r="M132" s="54">
        <v>0</v>
      </c>
      <c r="N132" s="4">
        <v>0</v>
      </c>
      <c r="O132" s="54">
        <v>0</v>
      </c>
      <c r="P132" s="4">
        <v>1</v>
      </c>
      <c r="Q132" s="3" t="s">
        <v>26</v>
      </c>
      <c r="R132" s="3">
        <v>0</v>
      </c>
      <c r="S132" s="3">
        <v>9</v>
      </c>
      <c r="T132" s="3">
        <v>0</v>
      </c>
      <c r="U132" s="3">
        <v>0</v>
      </c>
      <c r="V132" s="54">
        <f>IF(ISERROR(VLOOKUP($S$132,'TAR FIN'!$A$1:$O$91,15,0)),0,VLOOKUP($S$132,'TAR FIN'!$A$1:$O$91,15,0))*(1-0.06)</f>
        <v>17.060999999999996</v>
      </c>
      <c r="W132" s="54">
        <f>IF(ISERROR(VLOOKUP($T$132,'TAR FIN'!$A$1:$O$91,15,0)),0,VLOOKUP($T$132,'TAR FIN'!$A$1:$O$91,15,0))</f>
        <v>0</v>
      </c>
      <c r="X132" s="54">
        <f>IF(ISERROR(VLOOKUP($U$132,'TAR FIN'!$A$1:$O$91,15,0)),0,VLOOKUP($U$132,'TAR FIN'!$A$1:$O$91,15,0))</f>
        <v>0</v>
      </c>
      <c r="Y132" s="54">
        <f ca="1">('TUSD BE'!$AM$13+'TUSD BF'!$AM$13+'TUSD CVA'!$AM$13)*1*(1-0.03)</f>
        <v>20.639983826307745</v>
      </c>
      <c r="Z132" s="54"/>
      <c r="AA132" s="54"/>
      <c r="AB132" s="54">
        <f>(SUBSIDIO!$J$132*SUBSIDIO!$V$132)*(0.06)/(1-0.06)</f>
        <v>65.339999999999989</v>
      </c>
      <c r="AC132" s="54">
        <f>((SUBSIDIO!$L$132*SUBSIDIO!$W$132)+(SUBSIDIO!$N$132*SUBSIDIO!$X$132))*(0.06)/(1-0.06)</f>
        <v>0</v>
      </c>
      <c r="AD132" s="54">
        <f ca="1">(SUBSIDIO!$J$132*SUBSIDIO!$Y$132)*(0.03)/(1-0.03)</f>
        <v>38.301000914797875</v>
      </c>
      <c r="AE132" s="54">
        <f>((SUBSIDIO!$L$132*SUBSIDIO!$Z$132)+(SUBSIDIO!$N$132*SUBSIDIO!$AA$132))*(0.03)/(1-0.03)</f>
        <v>0</v>
      </c>
      <c r="AF132" s="3" t="s">
        <v>663</v>
      </c>
    </row>
    <row r="133" spans="1:32" ht="11.25" customHeight="1" x14ac:dyDescent="0.25">
      <c r="A133" s="3" t="s">
        <v>21</v>
      </c>
      <c r="B133" s="3" t="s">
        <v>35</v>
      </c>
      <c r="C133" s="3" t="s">
        <v>36</v>
      </c>
      <c r="D133" s="3" t="s">
        <v>46</v>
      </c>
      <c r="E133" s="3" t="s">
        <v>47</v>
      </c>
      <c r="F133" s="3" t="s">
        <v>25</v>
      </c>
      <c r="G133" s="3" t="s">
        <v>25</v>
      </c>
      <c r="H133" s="3" t="s">
        <v>25</v>
      </c>
      <c r="I133" s="6">
        <v>44774</v>
      </c>
      <c r="J133" s="4">
        <v>60</v>
      </c>
      <c r="K133" s="53">
        <v>60</v>
      </c>
      <c r="L133" s="4">
        <v>0</v>
      </c>
      <c r="M133" s="54">
        <v>0</v>
      </c>
      <c r="N133" s="4">
        <v>0</v>
      </c>
      <c r="O133" s="54">
        <v>0</v>
      </c>
      <c r="P133" s="4">
        <v>1</v>
      </c>
      <c r="Q133" s="3" t="s">
        <v>26</v>
      </c>
      <c r="R133" s="3">
        <v>0</v>
      </c>
      <c r="S133" s="3">
        <v>9</v>
      </c>
      <c r="T133" s="3">
        <v>0</v>
      </c>
      <c r="U133" s="3">
        <v>0</v>
      </c>
      <c r="V133" s="54">
        <f>IF(ISERROR(VLOOKUP($S$133,'TAR FIN'!$A$1:$O$91,15,0)),0,VLOOKUP($S$133,'TAR FIN'!$A$1:$O$91,15,0))*(1-0.06)</f>
        <v>17.060999999999996</v>
      </c>
      <c r="W133" s="54">
        <f>IF(ISERROR(VLOOKUP($T$133,'TAR FIN'!$A$1:$O$91,15,0)),0,VLOOKUP($T$133,'TAR FIN'!$A$1:$O$91,15,0))</f>
        <v>0</v>
      </c>
      <c r="X133" s="54">
        <f>IF(ISERROR(VLOOKUP($U$133,'TAR FIN'!$A$1:$O$91,15,0)),0,VLOOKUP($U$133,'TAR FIN'!$A$1:$O$91,15,0))</f>
        <v>0</v>
      </c>
      <c r="Y133" s="54">
        <f ca="1">('TUSD BE'!$AM$13+'TUSD BF'!$AM$13+'TUSD CVA'!$AM$13)*1*(1-0.03)</f>
        <v>20.639983826307745</v>
      </c>
      <c r="Z133" s="54"/>
      <c r="AA133" s="54"/>
      <c r="AB133" s="54">
        <f>(SUBSIDIO!$J$133*SUBSIDIO!$V$133)*(0.06)/(1-0.06)</f>
        <v>65.339999999999989</v>
      </c>
      <c r="AC133" s="54">
        <f>((SUBSIDIO!$L$133*SUBSIDIO!$W$133)+(SUBSIDIO!$N$133*SUBSIDIO!$X$133))*(0.06)/(1-0.06)</f>
        <v>0</v>
      </c>
      <c r="AD133" s="54">
        <f ca="1">(SUBSIDIO!$J$133*SUBSIDIO!$Y$133)*(0.03)/(1-0.03)</f>
        <v>38.301000914797875</v>
      </c>
      <c r="AE133" s="54">
        <f>((SUBSIDIO!$L$133*SUBSIDIO!$Z$133)+(SUBSIDIO!$N$133*SUBSIDIO!$AA$133))*(0.03)/(1-0.03)</f>
        <v>0</v>
      </c>
      <c r="AF133" s="3" t="s">
        <v>663</v>
      </c>
    </row>
    <row r="134" spans="1:32" ht="11.25" customHeight="1" x14ac:dyDescent="0.25">
      <c r="A134" s="3" t="s">
        <v>21</v>
      </c>
      <c r="B134" s="3" t="s">
        <v>35</v>
      </c>
      <c r="C134" s="3" t="s">
        <v>36</v>
      </c>
      <c r="D134" s="3" t="s">
        <v>46</v>
      </c>
      <c r="E134" s="3" t="s">
        <v>47</v>
      </c>
      <c r="F134" s="3" t="s">
        <v>25</v>
      </c>
      <c r="G134" s="3" t="s">
        <v>25</v>
      </c>
      <c r="H134" s="3" t="s">
        <v>37</v>
      </c>
      <c r="I134" s="6">
        <v>44440</v>
      </c>
      <c r="J134" s="4">
        <v>0</v>
      </c>
      <c r="K134" s="54">
        <v>0</v>
      </c>
      <c r="L134" s="4">
        <v>3.8220000000000001</v>
      </c>
      <c r="M134" s="54">
        <v>3.8220000000000001</v>
      </c>
      <c r="N134" s="4">
        <v>3.8220000000000001</v>
      </c>
      <c r="O134" s="54">
        <v>3.8220000000000001</v>
      </c>
      <c r="P134" s="4">
        <v>0</v>
      </c>
      <c r="Q134" s="3" t="s">
        <v>26</v>
      </c>
      <c r="R134" s="3">
        <v>0</v>
      </c>
      <c r="S134" s="3">
        <v>0</v>
      </c>
      <c r="T134" s="3">
        <v>10</v>
      </c>
      <c r="U134" s="3">
        <v>77</v>
      </c>
      <c r="V134" s="54">
        <f>IF(ISERROR(VLOOKUP($S$134,'TAR FIN'!$A$1:$O$91,15,0)),0,VLOOKUP($S$134,'TAR FIN'!$A$1:$O$91,15,0))</f>
        <v>0</v>
      </c>
      <c r="W134" s="54">
        <f>IF(ISERROR(VLOOKUP($T$134,'TAR FIN'!$A$1:$O$91,15,0)),0,VLOOKUP($T$134,'TAR FIN'!$A$1:$O$91,15,0))*(1-0.06)</f>
        <v>1340.5245999999997</v>
      </c>
      <c r="X134" s="54">
        <f>IF(ISERROR(VLOOKUP($U$134,'TAR FIN'!$A$1:$O$91,15,0)),0,VLOOKUP($U$134,'TAR FIN'!$A$1:$O$91,15,0))*(1-0.06)</f>
        <v>234.29499999999999</v>
      </c>
      <c r="Y134" s="54"/>
      <c r="Z134" s="54">
        <f ca="1">('TUSD BE'!$AM$14+'TUSD BF'!$AM$14+'TUSD CVA'!$AM$14)*1*(1-0.03)</f>
        <v>1644.7541908022699</v>
      </c>
      <c r="AA134" s="54">
        <f>('TE BE'!$AB$5+'TE BF'!$AB$5+'TE CVA'!$AB$5)*1*(1-0.03)</f>
        <v>197.28126009827187</v>
      </c>
      <c r="AB134" s="54">
        <f>(SUBSIDIO!$J$134*SUBSIDIO!$V$134)*(0.06)/(1-0.06)</f>
        <v>0</v>
      </c>
      <c r="AC134" s="54">
        <f>((SUBSIDIO!$L$134*SUBSIDIO!$W$134)+(SUBSIDIO!$N$134*SUBSIDIO!$X$134))*(0.06)/(1-0.06)</f>
        <v>384.18896879999994</v>
      </c>
      <c r="AD134" s="54">
        <f>(SUBSIDIO!$J$134*SUBSIDIO!$Y$134)*(0.03)/(1-0.03)</f>
        <v>0</v>
      </c>
      <c r="AE134" s="54">
        <f ca="1">((SUBSIDIO!$L$134*SUBSIDIO!$Z$134)+(SUBSIDIO!$N$134*SUBSIDIO!$AA$134))*(0.03)/(1-0.03)</f>
        <v>217.73998433016095</v>
      </c>
      <c r="AF134" s="3" t="s">
        <v>663</v>
      </c>
    </row>
    <row r="135" spans="1:32" ht="11.25" customHeight="1" x14ac:dyDescent="0.25">
      <c r="A135" s="3" t="s">
        <v>21</v>
      </c>
      <c r="B135" s="3" t="s">
        <v>35</v>
      </c>
      <c r="C135" s="3" t="s">
        <v>36</v>
      </c>
      <c r="D135" s="3" t="s">
        <v>46</v>
      </c>
      <c r="E135" s="3" t="s">
        <v>47</v>
      </c>
      <c r="F135" s="3" t="s">
        <v>25</v>
      </c>
      <c r="G135" s="3" t="s">
        <v>25</v>
      </c>
      <c r="H135" s="3" t="s">
        <v>37</v>
      </c>
      <c r="I135" s="6">
        <v>44470</v>
      </c>
      <c r="J135" s="4">
        <v>0</v>
      </c>
      <c r="K135" s="54">
        <v>0</v>
      </c>
      <c r="L135" s="4">
        <v>2.3199999999999998</v>
      </c>
      <c r="M135" s="54">
        <v>2.3199999999999998</v>
      </c>
      <c r="N135" s="4">
        <v>2.3199999999999998</v>
      </c>
      <c r="O135" s="54">
        <v>2.3199999999999998</v>
      </c>
      <c r="P135" s="4">
        <v>0</v>
      </c>
      <c r="Q135" s="3" t="s">
        <v>26</v>
      </c>
      <c r="R135" s="3">
        <v>0</v>
      </c>
      <c r="S135" s="3">
        <v>0</v>
      </c>
      <c r="T135" s="3">
        <v>10</v>
      </c>
      <c r="U135" s="3">
        <v>77</v>
      </c>
      <c r="V135" s="54">
        <f>IF(ISERROR(VLOOKUP($S$135,'TAR FIN'!$A$1:$O$91,15,0)),0,VLOOKUP($S$135,'TAR FIN'!$A$1:$O$91,15,0))</f>
        <v>0</v>
      </c>
      <c r="W135" s="54">
        <f>IF(ISERROR(VLOOKUP($T$135,'TAR FIN'!$A$1:$O$91,15,0)),0,VLOOKUP($T$135,'TAR FIN'!$A$1:$O$91,15,0))*(1-0.06)</f>
        <v>1340.5245999999997</v>
      </c>
      <c r="X135" s="54">
        <f>IF(ISERROR(VLOOKUP($U$135,'TAR FIN'!$A$1:$O$91,15,0)),0,VLOOKUP($U$135,'TAR FIN'!$A$1:$O$91,15,0))*(1-0.06)</f>
        <v>234.29499999999999</v>
      </c>
      <c r="Y135" s="54"/>
      <c r="Z135" s="54">
        <f ca="1">('TUSD BE'!$AM$14+'TUSD BF'!$AM$14+'TUSD CVA'!$AM$14)*1*(1-0.03)</f>
        <v>1644.7541908022699</v>
      </c>
      <c r="AA135" s="54">
        <f>('TE BE'!$AB$5+'TE BF'!$AB$5+'TE CVA'!$AB$5)*1*(1-0.03)</f>
        <v>197.28126009827187</v>
      </c>
      <c r="AB135" s="54">
        <f>(SUBSIDIO!$J$135*SUBSIDIO!$V$135)*(0.06)/(1-0.06)</f>
        <v>0</v>
      </c>
      <c r="AC135" s="54">
        <f>((SUBSIDIO!$L$135*SUBSIDIO!$W$135)+(SUBSIDIO!$N$135*SUBSIDIO!$X$135))*(0.06)/(1-0.06)</f>
        <v>233.20732799999993</v>
      </c>
      <c r="AD135" s="54">
        <f>(SUBSIDIO!$J$135*SUBSIDIO!$Y$135)*(0.03)/(1-0.03)</f>
        <v>0</v>
      </c>
      <c r="AE135" s="54">
        <f ca="1">((SUBSIDIO!$L$135*SUBSIDIO!$Z$135)+(SUBSIDIO!$N$135*SUBSIDIO!$AA$135))*(0.03)/(1-0.03)</f>
        <v>132.17079111616258</v>
      </c>
      <c r="AF135" s="3" t="s">
        <v>663</v>
      </c>
    </row>
    <row r="136" spans="1:32" ht="11.25" customHeight="1" x14ac:dyDescent="0.25">
      <c r="A136" s="3" t="s">
        <v>21</v>
      </c>
      <c r="B136" s="3" t="s">
        <v>35</v>
      </c>
      <c r="C136" s="3" t="s">
        <v>36</v>
      </c>
      <c r="D136" s="3" t="s">
        <v>46</v>
      </c>
      <c r="E136" s="3" t="s">
        <v>47</v>
      </c>
      <c r="F136" s="3" t="s">
        <v>25</v>
      </c>
      <c r="G136" s="3" t="s">
        <v>25</v>
      </c>
      <c r="H136" s="3" t="s">
        <v>37</v>
      </c>
      <c r="I136" s="6">
        <v>44501</v>
      </c>
      <c r="J136" s="4">
        <v>0</v>
      </c>
      <c r="K136" s="54">
        <v>0</v>
      </c>
      <c r="L136" s="4">
        <v>2.7789999999999999</v>
      </c>
      <c r="M136" s="54">
        <v>2.7789999999999999</v>
      </c>
      <c r="N136" s="4">
        <v>2.7789999999999999</v>
      </c>
      <c r="O136" s="54">
        <v>2.7789999999999999</v>
      </c>
      <c r="P136" s="4">
        <v>0</v>
      </c>
      <c r="Q136" s="3" t="s">
        <v>26</v>
      </c>
      <c r="R136" s="3">
        <v>0</v>
      </c>
      <c r="S136" s="3">
        <v>0</v>
      </c>
      <c r="T136" s="3">
        <v>10</v>
      </c>
      <c r="U136" s="3">
        <v>77</v>
      </c>
      <c r="V136" s="54">
        <f>IF(ISERROR(VLOOKUP($S$136,'TAR FIN'!$A$1:$O$91,15,0)),0,VLOOKUP($S$136,'TAR FIN'!$A$1:$O$91,15,0))</f>
        <v>0</v>
      </c>
      <c r="W136" s="54">
        <f>IF(ISERROR(VLOOKUP($T$136,'TAR FIN'!$A$1:$O$91,15,0)),0,VLOOKUP($T$136,'TAR FIN'!$A$1:$O$91,15,0))*(1-0.06)</f>
        <v>1340.5245999999997</v>
      </c>
      <c r="X136" s="54">
        <f>IF(ISERROR(VLOOKUP($U$136,'TAR FIN'!$A$1:$O$91,15,0)),0,VLOOKUP($U$136,'TAR FIN'!$A$1:$O$91,15,0))*(1-0.06)</f>
        <v>234.29499999999999</v>
      </c>
      <c r="Y136" s="54"/>
      <c r="Z136" s="54">
        <f ca="1">('TUSD BE'!$AM$14+'TUSD BF'!$AM$14+'TUSD CVA'!$AM$14)*1*(1-0.03)</f>
        <v>1644.7541908022699</v>
      </c>
      <c r="AA136" s="54">
        <f>('TE BE'!$AB$5+'TE BF'!$AB$5+'TE CVA'!$AB$5)*1*(1-0.03)</f>
        <v>197.28126009827187</v>
      </c>
      <c r="AB136" s="54">
        <f>(SUBSIDIO!$J$136*SUBSIDIO!$V$136)*(0.06)/(1-0.06)</f>
        <v>0</v>
      </c>
      <c r="AC136" s="54">
        <f>((SUBSIDIO!$L$136*SUBSIDIO!$W$136)+(SUBSIDIO!$N$136*SUBSIDIO!$X$136))*(0.06)/(1-0.06)</f>
        <v>279.34619159999994</v>
      </c>
      <c r="AD136" s="54">
        <f>(SUBSIDIO!$J$136*SUBSIDIO!$Y$136)*(0.03)/(1-0.03)</f>
        <v>0</v>
      </c>
      <c r="AE136" s="54">
        <f ca="1">((SUBSIDIO!$L$136*SUBSIDIO!$Z$136)+(SUBSIDIO!$N$136*SUBSIDIO!$AA$136))*(0.03)/(1-0.03)</f>
        <v>158.32009849647235</v>
      </c>
      <c r="AF136" s="3" t="s">
        <v>663</v>
      </c>
    </row>
    <row r="137" spans="1:32" ht="11.25" customHeight="1" x14ac:dyDescent="0.25">
      <c r="A137" s="3" t="s">
        <v>21</v>
      </c>
      <c r="B137" s="3" t="s">
        <v>35</v>
      </c>
      <c r="C137" s="3" t="s">
        <v>36</v>
      </c>
      <c r="D137" s="3" t="s">
        <v>46</v>
      </c>
      <c r="E137" s="3" t="s">
        <v>47</v>
      </c>
      <c r="F137" s="3" t="s">
        <v>25</v>
      </c>
      <c r="G137" s="3" t="s">
        <v>25</v>
      </c>
      <c r="H137" s="3" t="s">
        <v>37</v>
      </c>
      <c r="I137" s="6">
        <v>44531</v>
      </c>
      <c r="J137" s="4">
        <v>0</v>
      </c>
      <c r="K137" s="54">
        <v>0</v>
      </c>
      <c r="L137" s="4">
        <v>2.7450000000000001</v>
      </c>
      <c r="M137" s="54">
        <v>2.7450000000000001</v>
      </c>
      <c r="N137" s="4">
        <v>2.7450000000000001</v>
      </c>
      <c r="O137" s="54">
        <v>2.7450000000000001</v>
      </c>
      <c r="P137" s="4">
        <v>0</v>
      </c>
      <c r="Q137" s="3" t="s">
        <v>26</v>
      </c>
      <c r="R137" s="3">
        <v>0</v>
      </c>
      <c r="S137" s="3">
        <v>0</v>
      </c>
      <c r="T137" s="3">
        <v>10</v>
      </c>
      <c r="U137" s="3">
        <v>77</v>
      </c>
      <c r="V137" s="54">
        <f>IF(ISERROR(VLOOKUP($S$137,'TAR FIN'!$A$1:$O$91,15,0)),0,VLOOKUP($S$137,'TAR FIN'!$A$1:$O$91,15,0))</f>
        <v>0</v>
      </c>
      <c r="W137" s="54">
        <f>IF(ISERROR(VLOOKUP($T$137,'TAR FIN'!$A$1:$O$91,15,0)),0,VLOOKUP($T$137,'TAR FIN'!$A$1:$O$91,15,0))*(1-0.06)</f>
        <v>1340.5245999999997</v>
      </c>
      <c r="X137" s="54">
        <f>IF(ISERROR(VLOOKUP($U$137,'TAR FIN'!$A$1:$O$91,15,0)),0,VLOOKUP($U$137,'TAR FIN'!$A$1:$O$91,15,0))*(1-0.06)</f>
        <v>234.29499999999999</v>
      </c>
      <c r="Y137" s="54"/>
      <c r="Z137" s="54">
        <f ca="1">('TUSD BE'!$AM$14+'TUSD BF'!$AM$14+'TUSD CVA'!$AM$14)*1*(1-0.03)</f>
        <v>1644.7541908022699</v>
      </c>
      <c r="AA137" s="54">
        <f>('TE BE'!$AB$5+'TE BF'!$AB$5+'TE CVA'!$AB$5)*1*(1-0.03)</f>
        <v>197.28126009827187</v>
      </c>
      <c r="AB137" s="54">
        <f>(SUBSIDIO!$J$137*SUBSIDIO!$V$137)*(0.06)/(1-0.06)</f>
        <v>0</v>
      </c>
      <c r="AC137" s="54">
        <f>((SUBSIDIO!$L$137*SUBSIDIO!$W$137)+(SUBSIDIO!$N$137*SUBSIDIO!$X$137))*(0.06)/(1-0.06)</f>
        <v>275.92849799999993</v>
      </c>
      <c r="AD137" s="54">
        <f>(SUBSIDIO!$J$137*SUBSIDIO!$Y$137)*(0.03)/(1-0.03)</f>
        <v>0</v>
      </c>
      <c r="AE137" s="54">
        <f ca="1">((SUBSIDIO!$L$137*SUBSIDIO!$Z$137)+(SUBSIDIO!$N$137*SUBSIDIO!$AA$137))*(0.03)/(1-0.03)</f>
        <v>156.38311276459751</v>
      </c>
      <c r="AF137" s="3" t="s">
        <v>663</v>
      </c>
    </row>
    <row r="138" spans="1:32" ht="11.25" customHeight="1" x14ac:dyDescent="0.25">
      <c r="A138" s="3" t="s">
        <v>21</v>
      </c>
      <c r="B138" s="3" t="s">
        <v>35</v>
      </c>
      <c r="C138" s="3" t="s">
        <v>36</v>
      </c>
      <c r="D138" s="3" t="s">
        <v>46</v>
      </c>
      <c r="E138" s="3" t="s">
        <v>47</v>
      </c>
      <c r="F138" s="3" t="s">
        <v>25</v>
      </c>
      <c r="G138" s="3" t="s">
        <v>25</v>
      </c>
      <c r="H138" s="3" t="s">
        <v>37</v>
      </c>
      <c r="I138" s="6">
        <v>44562</v>
      </c>
      <c r="J138" s="4">
        <v>0</v>
      </c>
      <c r="K138" s="54">
        <v>0</v>
      </c>
      <c r="L138" s="4">
        <v>2.41</v>
      </c>
      <c r="M138" s="54">
        <v>2.41</v>
      </c>
      <c r="N138" s="4">
        <v>2.41</v>
      </c>
      <c r="O138" s="54">
        <v>2.41</v>
      </c>
      <c r="P138" s="4">
        <v>0</v>
      </c>
      <c r="Q138" s="3" t="s">
        <v>26</v>
      </c>
      <c r="R138" s="3">
        <v>0</v>
      </c>
      <c r="S138" s="3">
        <v>0</v>
      </c>
      <c r="T138" s="3">
        <v>10</v>
      </c>
      <c r="U138" s="3">
        <v>77</v>
      </c>
      <c r="V138" s="54">
        <f>IF(ISERROR(VLOOKUP($S$138,'TAR FIN'!$A$1:$O$91,15,0)),0,VLOOKUP($S$138,'TAR FIN'!$A$1:$O$91,15,0))</f>
        <v>0</v>
      </c>
      <c r="W138" s="54">
        <f>IF(ISERROR(VLOOKUP($T$138,'TAR FIN'!$A$1:$O$91,15,0)),0,VLOOKUP($T$138,'TAR FIN'!$A$1:$O$91,15,0))*(1-0.06)</f>
        <v>1340.5245999999997</v>
      </c>
      <c r="X138" s="54">
        <f>IF(ISERROR(VLOOKUP($U$138,'TAR FIN'!$A$1:$O$91,15,0)),0,VLOOKUP($U$138,'TAR FIN'!$A$1:$O$91,15,0))*(1-0.06)</f>
        <v>234.29499999999999</v>
      </c>
      <c r="Y138" s="54"/>
      <c r="Z138" s="54">
        <f ca="1">('TUSD BE'!$AM$14+'TUSD BF'!$AM$14+'TUSD CVA'!$AM$14)*1*(1-0.03)</f>
        <v>1644.7541908022699</v>
      </c>
      <c r="AA138" s="54">
        <f>('TE BE'!$AB$5+'TE BF'!$AB$5+'TE CVA'!$AB$5)*1*(1-0.03)</f>
        <v>197.28126009827187</v>
      </c>
      <c r="AB138" s="54">
        <f>(SUBSIDIO!$J$138*SUBSIDIO!$V$138)*(0.06)/(1-0.06)</f>
        <v>0</v>
      </c>
      <c r="AC138" s="54">
        <f>((SUBSIDIO!$L$138*SUBSIDIO!$W$138)+(SUBSIDIO!$N$138*SUBSIDIO!$X$138))*(0.06)/(1-0.06)</f>
        <v>242.25416399999997</v>
      </c>
      <c r="AD138" s="54">
        <f>(SUBSIDIO!$J$138*SUBSIDIO!$Y$138)*(0.03)/(1-0.03)</f>
        <v>0</v>
      </c>
      <c r="AE138" s="54">
        <f ca="1">((SUBSIDIO!$L$138*SUBSIDIO!$Z$138)+(SUBSIDIO!$N$138*SUBSIDIO!$AA$138))*(0.03)/(1-0.03)</f>
        <v>137.29810628877235</v>
      </c>
      <c r="AF138" s="3" t="s">
        <v>663</v>
      </c>
    </row>
    <row r="139" spans="1:32" ht="11.25" customHeight="1" x14ac:dyDescent="0.25">
      <c r="A139" s="3" t="s">
        <v>21</v>
      </c>
      <c r="B139" s="3" t="s">
        <v>35</v>
      </c>
      <c r="C139" s="3" t="s">
        <v>36</v>
      </c>
      <c r="D139" s="3" t="s">
        <v>46</v>
      </c>
      <c r="E139" s="3" t="s">
        <v>47</v>
      </c>
      <c r="F139" s="3" t="s">
        <v>25</v>
      </c>
      <c r="G139" s="3" t="s">
        <v>25</v>
      </c>
      <c r="H139" s="3" t="s">
        <v>37</v>
      </c>
      <c r="I139" s="6">
        <v>44593</v>
      </c>
      <c r="J139" s="4">
        <v>0</v>
      </c>
      <c r="K139" s="54">
        <v>0</v>
      </c>
      <c r="L139" s="4">
        <v>2.5230000000000001</v>
      </c>
      <c r="M139" s="54">
        <v>2.5230000000000001</v>
      </c>
      <c r="N139" s="4">
        <v>2.5230000000000001</v>
      </c>
      <c r="O139" s="54">
        <v>2.5230000000000001</v>
      </c>
      <c r="P139" s="4">
        <v>0</v>
      </c>
      <c r="Q139" s="3" t="s">
        <v>26</v>
      </c>
      <c r="R139" s="3">
        <v>0</v>
      </c>
      <c r="S139" s="3">
        <v>0</v>
      </c>
      <c r="T139" s="3">
        <v>10</v>
      </c>
      <c r="U139" s="3">
        <v>77</v>
      </c>
      <c r="V139" s="54">
        <f>IF(ISERROR(VLOOKUP($S$139,'TAR FIN'!$A$1:$O$91,15,0)),0,VLOOKUP($S$139,'TAR FIN'!$A$1:$O$91,15,0))</f>
        <v>0</v>
      </c>
      <c r="W139" s="54">
        <f>IF(ISERROR(VLOOKUP($T$139,'TAR FIN'!$A$1:$O$91,15,0)),0,VLOOKUP($T$139,'TAR FIN'!$A$1:$O$91,15,0))*(1-0.06)</f>
        <v>1340.5245999999997</v>
      </c>
      <c r="X139" s="54">
        <f>IF(ISERROR(VLOOKUP($U$139,'TAR FIN'!$A$1:$O$91,15,0)),0,VLOOKUP($U$139,'TAR FIN'!$A$1:$O$91,15,0))*(1-0.06)</f>
        <v>234.29499999999999</v>
      </c>
      <c r="Y139" s="54"/>
      <c r="Z139" s="54">
        <f ca="1">('TUSD BE'!$AM$14+'TUSD BF'!$AM$14+'TUSD CVA'!$AM$14)*1*(1-0.03)</f>
        <v>1644.7541908022699</v>
      </c>
      <c r="AA139" s="54">
        <f>('TE BE'!$AB$5+'TE BF'!$AB$5+'TE CVA'!$AB$5)*1*(1-0.03)</f>
        <v>197.28126009827187</v>
      </c>
      <c r="AB139" s="54">
        <f>(SUBSIDIO!$J$139*SUBSIDIO!$V$139)*(0.06)/(1-0.06)</f>
        <v>0</v>
      </c>
      <c r="AC139" s="54">
        <f>((SUBSIDIO!$L$139*SUBSIDIO!$W$139)+(SUBSIDIO!$N$139*SUBSIDIO!$X$139))*(0.06)/(1-0.06)</f>
        <v>253.61296919999998</v>
      </c>
      <c r="AD139" s="54">
        <f>(SUBSIDIO!$J$139*SUBSIDIO!$Y$139)*(0.03)/(1-0.03)</f>
        <v>0</v>
      </c>
      <c r="AE139" s="54">
        <f ca="1">((SUBSIDIO!$L$139*SUBSIDIO!$Z$139)+(SUBSIDIO!$N$139*SUBSIDIO!$AA$139))*(0.03)/(1-0.03)</f>
        <v>143.73573533882683</v>
      </c>
      <c r="AF139" s="3" t="s">
        <v>663</v>
      </c>
    </row>
    <row r="140" spans="1:32" ht="11.25" customHeight="1" x14ac:dyDescent="0.25">
      <c r="A140" s="3" t="s">
        <v>21</v>
      </c>
      <c r="B140" s="3" t="s">
        <v>35</v>
      </c>
      <c r="C140" s="3" t="s">
        <v>36</v>
      </c>
      <c r="D140" s="3" t="s">
        <v>46</v>
      </c>
      <c r="E140" s="3" t="s">
        <v>47</v>
      </c>
      <c r="F140" s="3" t="s">
        <v>25</v>
      </c>
      <c r="G140" s="3" t="s">
        <v>25</v>
      </c>
      <c r="H140" s="3" t="s">
        <v>37</v>
      </c>
      <c r="I140" s="6">
        <v>44621</v>
      </c>
      <c r="J140" s="4">
        <v>0</v>
      </c>
      <c r="K140" s="54">
        <v>0</v>
      </c>
      <c r="L140" s="4">
        <v>2.8180000000000001</v>
      </c>
      <c r="M140" s="54">
        <v>2.8180000000000001</v>
      </c>
      <c r="N140" s="4">
        <v>2.8180000000000001</v>
      </c>
      <c r="O140" s="54">
        <v>2.8180000000000001</v>
      </c>
      <c r="P140" s="4">
        <v>0</v>
      </c>
      <c r="Q140" s="3" t="s">
        <v>26</v>
      </c>
      <c r="R140" s="3">
        <v>0</v>
      </c>
      <c r="S140" s="3">
        <v>0</v>
      </c>
      <c r="T140" s="3">
        <v>10</v>
      </c>
      <c r="U140" s="3">
        <v>77</v>
      </c>
      <c r="V140" s="54">
        <f>IF(ISERROR(VLOOKUP($S$140,'TAR FIN'!$A$1:$O$91,15,0)),0,VLOOKUP($S$140,'TAR FIN'!$A$1:$O$91,15,0))</f>
        <v>0</v>
      </c>
      <c r="W140" s="54">
        <f>IF(ISERROR(VLOOKUP($T$140,'TAR FIN'!$A$1:$O$91,15,0)),0,VLOOKUP($T$140,'TAR FIN'!$A$1:$O$91,15,0))*(1-0.06)</f>
        <v>1340.5245999999997</v>
      </c>
      <c r="X140" s="54">
        <f>IF(ISERROR(VLOOKUP($U$140,'TAR FIN'!$A$1:$O$91,15,0)),0,VLOOKUP($U$140,'TAR FIN'!$A$1:$O$91,15,0))*(1-0.06)</f>
        <v>234.29499999999999</v>
      </c>
      <c r="Y140" s="54"/>
      <c r="Z140" s="54">
        <f ca="1">('TUSD BE'!$AM$14+'TUSD BF'!$AM$14+'TUSD CVA'!$AM$14)*1*(1-0.03)</f>
        <v>1644.7541908022699</v>
      </c>
      <c r="AA140" s="54">
        <f>('TE BE'!$AB$5+'TE BF'!$AB$5+'TE CVA'!$AB$5)*1*(1-0.03)</f>
        <v>197.28126009827187</v>
      </c>
      <c r="AB140" s="54">
        <f>(SUBSIDIO!$J$140*SUBSIDIO!$V$140)*(0.06)/(1-0.06)</f>
        <v>0</v>
      </c>
      <c r="AC140" s="54">
        <f>((SUBSIDIO!$L$140*SUBSIDIO!$W$140)+(SUBSIDIO!$N$140*SUBSIDIO!$X$140))*(0.06)/(1-0.06)</f>
        <v>283.26648719999997</v>
      </c>
      <c r="AD140" s="54">
        <f>(SUBSIDIO!$J$140*SUBSIDIO!$Y$140)*(0.03)/(1-0.03)</f>
        <v>0</v>
      </c>
      <c r="AE140" s="54">
        <f ca="1">((SUBSIDIO!$L$140*SUBSIDIO!$Z$140)+(SUBSIDIO!$N$140*SUBSIDIO!$AA$140))*(0.03)/(1-0.03)</f>
        <v>160.5419350712699</v>
      </c>
      <c r="AF140" s="3" t="s">
        <v>663</v>
      </c>
    </row>
    <row r="141" spans="1:32" ht="11.25" customHeight="1" x14ac:dyDescent="0.25">
      <c r="A141" s="3" t="s">
        <v>21</v>
      </c>
      <c r="B141" s="3" t="s">
        <v>35</v>
      </c>
      <c r="C141" s="3" t="s">
        <v>36</v>
      </c>
      <c r="D141" s="3" t="s">
        <v>46</v>
      </c>
      <c r="E141" s="3" t="s">
        <v>47</v>
      </c>
      <c r="F141" s="3" t="s">
        <v>25</v>
      </c>
      <c r="G141" s="3" t="s">
        <v>25</v>
      </c>
      <c r="H141" s="3" t="s">
        <v>37</v>
      </c>
      <c r="I141" s="6">
        <v>44652</v>
      </c>
      <c r="J141" s="4">
        <v>0</v>
      </c>
      <c r="K141" s="54">
        <v>0</v>
      </c>
      <c r="L141" s="4">
        <v>2.6110000000000002</v>
      </c>
      <c r="M141" s="54">
        <v>2.6110000000000002</v>
      </c>
      <c r="N141" s="4">
        <v>2.6110000000000002</v>
      </c>
      <c r="O141" s="54">
        <v>2.6110000000000002</v>
      </c>
      <c r="P141" s="4">
        <v>0</v>
      </c>
      <c r="Q141" s="3" t="s">
        <v>26</v>
      </c>
      <c r="R141" s="3">
        <v>0</v>
      </c>
      <c r="S141" s="3">
        <v>0</v>
      </c>
      <c r="T141" s="3">
        <v>10</v>
      </c>
      <c r="U141" s="3">
        <v>77</v>
      </c>
      <c r="V141" s="54">
        <f>IF(ISERROR(VLOOKUP($S$141,'TAR FIN'!$A$1:$O$91,15,0)),0,VLOOKUP($S$141,'TAR FIN'!$A$1:$O$91,15,0))</f>
        <v>0</v>
      </c>
      <c r="W141" s="54">
        <f>IF(ISERROR(VLOOKUP($T$141,'TAR FIN'!$A$1:$O$91,15,0)),0,VLOOKUP($T$141,'TAR FIN'!$A$1:$O$91,15,0))*(1-0.06)</f>
        <v>1340.5245999999997</v>
      </c>
      <c r="X141" s="54">
        <f>IF(ISERROR(VLOOKUP($U$141,'TAR FIN'!$A$1:$O$91,15,0)),0,VLOOKUP($U$141,'TAR FIN'!$A$1:$O$91,15,0))*(1-0.06)</f>
        <v>234.29499999999999</v>
      </c>
      <c r="Y141" s="54"/>
      <c r="Z141" s="54">
        <f ca="1">('TUSD BE'!$AM$14+'TUSD BF'!$AM$14+'TUSD CVA'!$AM$14)*1*(1-0.03)</f>
        <v>1644.7541908022699</v>
      </c>
      <c r="AA141" s="54">
        <f>('TE BE'!$AB$5+'TE BF'!$AB$5+'TE CVA'!$AB$5)*1*(1-0.03)</f>
        <v>197.28126009827187</v>
      </c>
      <c r="AB141" s="54">
        <f>(SUBSIDIO!$J$141*SUBSIDIO!$V$141)*(0.06)/(1-0.06)</f>
        <v>0</v>
      </c>
      <c r="AC141" s="54">
        <f>((SUBSIDIO!$L$141*SUBSIDIO!$W$141)+(SUBSIDIO!$N$141*SUBSIDIO!$X$141))*(0.06)/(1-0.06)</f>
        <v>262.45876440000001</v>
      </c>
      <c r="AD141" s="54">
        <f>(SUBSIDIO!$J$141*SUBSIDIO!$Y$141)*(0.03)/(1-0.03)</f>
        <v>0</v>
      </c>
      <c r="AE141" s="54">
        <f ca="1">((SUBSIDIO!$L$141*SUBSIDIO!$Z$141)+(SUBSIDIO!$N$141*SUBSIDIO!$AA$141))*(0.03)/(1-0.03)</f>
        <v>148.74911017426749</v>
      </c>
      <c r="AF141" s="3" t="s">
        <v>663</v>
      </c>
    </row>
    <row r="142" spans="1:32" ht="11.25" customHeight="1" x14ac:dyDescent="0.25">
      <c r="A142" s="3" t="s">
        <v>21</v>
      </c>
      <c r="B142" s="3" t="s">
        <v>35</v>
      </c>
      <c r="C142" s="3" t="s">
        <v>36</v>
      </c>
      <c r="D142" s="3" t="s">
        <v>46</v>
      </c>
      <c r="E142" s="3" t="s">
        <v>47</v>
      </c>
      <c r="F142" s="3" t="s">
        <v>25</v>
      </c>
      <c r="G142" s="3" t="s">
        <v>25</v>
      </c>
      <c r="H142" s="3" t="s">
        <v>37</v>
      </c>
      <c r="I142" s="6">
        <v>44682</v>
      </c>
      <c r="J142" s="4">
        <v>0</v>
      </c>
      <c r="K142" s="54">
        <v>0</v>
      </c>
      <c r="L142" s="4">
        <v>2.778</v>
      </c>
      <c r="M142" s="54">
        <v>2.778</v>
      </c>
      <c r="N142" s="4">
        <v>2.778</v>
      </c>
      <c r="O142" s="54">
        <v>2.778</v>
      </c>
      <c r="P142" s="4">
        <v>0</v>
      </c>
      <c r="Q142" s="3" t="s">
        <v>26</v>
      </c>
      <c r="R142" s="3">
        <v>0</v>
      </c>
      <c r="S142" s="3">
        <v>0</v>
      </c>
      <c r="T142" s="3">
        <v>10</v>
      </c>
      <c r="U142" s="3">
        <v>77</v>
      </c>
      <c r="V142" s="54">
        <f>IF(ISERROR(VLOOKUP($S$142,'TAR FIN'!$A$1:$O$91,15,0)),0,VLOOKUP($S$142,'TAR FIN'!$A$1:$O$91,15,0))</f>
        <v>0</v>
      </c>
      <c r="W142" s="54">
        <f>IF(ISERROR(VLOOKUP($T$142,'TAR FIN'!$A$1:$O$91,15,0)),0,VLOOKUP($T$142,'TAR FIN'!$A$1:$O$91,15,0))*(1-0.06)</f>
        <v>1340.5245999999997</v>
      </c>
      <c r="X142" s="54">
        <f>IF(ISERROR(VLOOKUP($U$142,'TAR FIN'!$A$1:$O$91,15,0)),0,VLOOKUP($U$142,'TAR FIN'!$A$1:$O$91,15,0))*(1-0.06)</f>
        <v>234.29499999999999</v>
      </c>
      <c r="Y142" s="54"/>
      <c r="Z142" s="54">
        <f ca="1">('TUSD BE'!$AM$14+'TUSD BF'!$AM$14+'TUSD CVA'!$AM$14)*1*(1-0.03)</f>
        <v>1644.7541908022699</v>
      </c>
      <c r="AA142" s="54">
        <f>('TE BE'!$AB$5+'TE BF'!$AB$5+'TE CVA'!$AB$5)*1*(1-0.03)</f>
        <v>197.28126009827187</v>
      </c>
      <c r="AB142" s="54">
        <f>(SUBSIDIO!$J$142*SUBSIDIO!$V$142)*(0.06)/(1-0.06)</f>
        <v>0</v>
      </c>
      <c r="AC142" s="54">
        <f>((SUBSIDIO!$L$142*SUBSIDIO!$W$142)+(SUBSIDIO!$N$142*SUBSIDIO!$X$142))*(0.06)/(1-0.06)</f>
        <v>279.24567119999995</v>
      </c>
      <c r="AD142" s="54">
        <f>(SUBSIDIO!$J$142*SUBSIDIO!$Y$142)*(0.03)/(1-0.03)</f>
        <v>0</v>
      </c>
      <c r="AE142" s="54">
        <f ca="1">((SUBSIDIO!$L$142*SUBSIDIO!$Z$142)+(SUBSIDIO!$N$142*SUBSIDIO!$AA$142))*(0.03)/(1-0.03)</f>
        <v>158.26312832788776</v>
      </c>
      <c r="AF142" s="3" t="s">
        <v>663</v>
      </c>
    </row>
    <row r="143" spans="1:32" ht="11.25" customHeight="1" x14ac:dyDescent="0.25">
      <c r="A143" s="3" t="s">
        <v>21</v>
      </c>
      <c r="B143" s="3" t="s">
        <v>35</v>
      </c>
      <c r="C143" s="3" t="s">
        <v>36</v>
      </c>
      <c r="D143" s="3" t="s">
        <v>46</v>
      </c>
      <c r="E143" s="3" t="s">
        <v>47</v>
      </c>
      <c r="F143" s="3" t="s">
        <v>25</v>
      </c>
      <c r="G143" s="3" t="s">
        <v>25</v>
      </c>
      <c r="H143" s="3" t="s">
        <v>37</v>
      </c>
      <c r="I143" s="6">
        <v>44713</v>
      </c>
      <c r="J143" s="4">
        <v>0</v>
      </c>
      <c r="K143" s="54">
        <v>0</v>
      </c>
      <c r="L143" s="4">
        <v>2.7690000000000001</v>
      </c>
      <c r="M143" s="54">
        <v>2.7690000000000001</v>
      </c>
      <c r="N143" s="4">
        <v>2.7690000000000001</v>
      </c>
      <c r="O143" s="54">
        <v>2.7690000000000001</v>
      </c>
      <c r="P143" s="4">
        <v>0</v>
      </c>
      <c r="Q143" s="3" t="s">
        <v>26</v>
      </c>
      <c r="R143" s="3">
        <v>0</v>
      </c>
      <c r="S143" s="3">
        <v>0</v>
      </c>
      <c r="T143" s="3">
        <v>10</v>
      </c>
      <c r="U143" s="3">
        <v>77</v>
      </c>
      <c r="V143" s="54">
        <f>IF(ISERROR(VLOOKUP($S$143,'TAR FIN'!$A$1:$O$91,15,0)),0,VLOOKUP($S$143,'TAR FIN'!$A$1:$O$91,15,0))</f>
        <v>0</v>
      </c>
      <c r="W143" s="54">
        <f>IF(ISERROR(VLOOKUP($T$143,'TAR FIN'!$A$1:$O$91,15,0)),0,VLOOKUP($T$143,'TAR FIN'!$A$1:$O$91,15,0))*(1-0.06)</f>
        <v>1340.5245999999997</v>
      </c>
      <c r="X143" s="54">
        <f>IF(ISERROR(VLOOKUP($U$143,'TAR FIN'!$A$1:$O$91,15,0)),0,VLOOKUP($U$143,'TAR FIN'!$A$1:$O$91,15,0))*(1-0.06)</f>
        <v>234.29499999999999</v>
      </c>
      <c r="Y143" s="54"/>
      <c r="Z143" s="54">
        <f ca="1">('TUSD BE'!$AM$14+'TUSD BF'!$AM$14+'TUSD CVA'!$AM$14)*1*(1-0.03)</f>
        <v>1644.7541908022699</v>
      </c>
      <c r="AA143" s="54">
        <f>('TE BE'!$AB$5+'TE BF'!$AB$5+'TE CVA'!$AB$5)*1*(1-0.03)</f>
        <v>197.28126009827187</v>
      </c>
      <c r="AB143" s="54">
        <f>(SUBSIDIO!$J$143*SUBSIDIO!$V$143)*(0.06)/(1-0.06)</f>
        <v>0</v>
      </c>
      <c r="AC143" s="54">
        <f>((SUBSIDIO!$L$143*SUBSIDIO!$W$143)+(SUBSIDIO!$N$143*SUBSIDIO!$X$143))*(0.06)/(1-0.06)</f>
        <v>278.34098759999995</v>
      </c>
      <c r="AD143" s="54">
        <f>(SUBSIDIO!$J$143*SUBSIDIO!$Y$143)*(0.03)/(1-0.03)</f>
        <v>0</v>
      </c>
      <c r="AE143" s="54">
        <f ca="1">((SUBSIDIO!$L$143*SUBSIDIO!$Z$143)+(SUBSIDIO!$N$143*SUBSIDIO!$AA$143))*(0.03)/(1-0.03)</f>
        <v>157.75039681062682</v>
      </c>
      <c r="AF143" s="3" t="s">
        <v>663</v>
      </c>
    </row>
    <row r="144" spans="1:32" ht="11.25" customHeight="1" x14ac:dyDescent="0.25">
      <c r="A144" s="3" t="s">
        <v>21</v>
      </c>
      <c r="B144" s="3" t="s">
        <v>35</v>
      </c>
      <c r="C144" s="3" t="s">
        <v>36</v>
      </c>
      <c r="D144" s="3" t="s">
        <v>46</v>
      </c>
      <c r="E144" s="3" t="s">
        <v>47</v>
      </c>
      <c r="F144" s="3" t="s">
        <v>25</v>
      </c>
      <c r="G144" s="3" t="s">
        <v>25</v>
      </c>
      <c r="H144" s="3" t="s">
        <v>37</v>
      </c>
      <c r="I144" s="6">
        <v>44743</v>
      </c>
      <c r="J144" s="4">
        <v>0</v>
      </c>
      <c r="K144" s="54">
        <v>0</v>
      </c>
      <c r="L144" s="4">
        <v>2.536</v>
      </c>
      <c r="M144" s="54">
        <v>2.536</v>
      </c>
      <c r="N144" s="4">
        <v>2.536</v>
      </c>
      <c r="O144" s="54">
        <v>2.536</v>
      </c>
      <c r="P144" s="4">
        <v>0</v>
      </c>
      <c r="Q144" s="3" t="s">
        <v>26</v>
      </c>
      <c r="R144" s="3">
        <v>0</v>
      </c>
      <c r="S144" s="3">
        <v>0</v>
      </c>
      <c r="T144" s="3">
        <v>10</v>
      </c>
      <c r="U144" s="3">
        <v>77</v>
      </c>
      <c r="V144" s="54">
        <f>IF(ISERROR(VLOOKUP($S$144,'TAR FIN'!$A$1:$O$91,15,0)),0,VLOOKUP($S$144,'TAR FIN'!$A$1:$O$91,15,0))</f>
        <v>0</v>
      </c>
      <c r="W144" s="54">
        <f>IF(ISERROR(VLOOKUP($T$144,'TAR FIN'!$A$1:$O$91,15,0)),0,VLOOKUP($T$144,'TAR FIN'!$A$1:$O$91,15,0))*(1-0.06)</f>
        <v>1340.5245999999997</v>
      </c>
      <c r="X144" s="54">
        <f>IF(ISERROR(VLOOKUP($U$144,'TAR FIN'!$A$1:$O$91,15,0)),0,VLOOKUP($U$144,'TAR FIN'!$A$1:$O$91,15,0))*(1-0.06)</f>
        <v>234.29499999999999</v>
      </c>
      <c r="Y144" s="54"/>
      <c r="Z144" s="54">
        <f ca="1">('TUSD BE'!$AM$14+'TUSD BF'!$AM$14+'TUSD CVA'!$AM$14)*1*(1-0.03)</f>
        <v>1644.7541908022699</v>
      </c>
      <c r="AA144" s="54">
        <f>('TE BE'!$AB$5+'TE BF'!$AB$5+'TE CVA'!$AB$5)*1*(1-0.03)</f>
        <v>197.28126009827187</v>
      </c>
      <c r="AB144" s="54">
        <f>(SUBSIDIO!$J$144*SUBSIDIO!$V$144)*(0.06)/(1-0.06)</f>
        <v>0</v>
      </c>
      <c r="AC144" s="54">
        <f>((SUBSIDIO!$L$144*SUBSIDIO!$W$144)+(SUBSIDIO!$N$144*SUBSIDIO!$X$144))*(0.06)/(1-0.06)</f>
        <v>254.91973439999995</v>
      </c>
      <c r="AD144" s="54">
        <f>(SUBSIDIO!$J$144*SUBSIDIO!$Y$144)*(0.03)/(1-0.03)</f>
        <v>0</v>
      </c>
      <c r="AE144" s="54">
        <f ca="1">((SUBSIDIO!$L$144*SUBSIDIO!$Z$144)+(SUBSIDIO!$N$144*SUBSIDIO!$AA$144))*(0.03)/(1-0.03)</f>
        <v>144.47634753042601</v>
      </c>
      <c r="AF144" s="3" t="s">
        <v>663</v>
      </c>
    </row>
    <row r="145" spans="1:32" ht="11.25" customHeight="1" x14ac:dyDescent="0.25">
      <c r="A145" s="3" t="s">
        <v>21</v>
      </c>
      <c r="B145" s="3" t="s">
        <v>35</v>
      </c>
      <c r="C145" s="3" t="s">
        <v>36</v>
      </c>
      <c r="D145" s="3" t="s">
        <v>46</v>
      </c>
      <c r="E145" s="3" t="s">
        <v>47</v>
      </c>
      <c r="F145" s="3" t="s">
        <v>25</v>
      </c>
      <c r="G145" s="3" t="s">
        <v>25</v>
      </c>
      <c r="H145" s="3" t="s">
        <v>37</v>
      </c>
      <c r="I145" s="6">
        <v>44774</v>
      </c>
      <c r="J145" s="4">
        <v>0</v>
      </c>
      <c r="K145" s="54">
        <v>0</v>
      </c>
      <c r="L145" s="4">
        <v>2.714</v>
      </c>
      <c r="M145" s="54">
        <v>2.714</v>
      </c>
      <c r="N145" s="4">
        <v>2.714</v>
      </c>
      <c r="O145" s="54">
        <v>2.714</v>
      </c>
      <c r="P145" s="4">
        <v>0</v>
      </c>
      <c r="Q145" s="3" t="s">
        <v>26</v>
      </c>
      <c r="R145" s="3">
        <v>0</v>
      </c>
      <c r="S145" s="3">
        <v>0</v>
      </c>
      <c r="T145" s="3">
        <v>10</v>
      </c>
      <c r="U145" s="3">
        <v>77</v>
      </c>
      <c r="V145" s="54">
        <f>IF(ISERROR(VLOOKUP($S$145,'TAR FIN'!$A$1:$O$91,15,0)),0,VLOOKUP($S$145,'TAR FIN'!$A$1:$O$91,15,0))</f>
        <v>0</v>
      </c>
      <c r="W145" s="54">
        <f>IF(ISERROR(VLOOKUP($T$145,'TAR FIN'!$A$1:$O$91,15,0)),0,VLOOKUP($T$145,'TAR FIN'!$A$1:$O$91,15,0))*(1-0.06)</f>
        <v>1340.5245999999997</v>
      </c>
      <c r="X145" s="54">
        <f>IF(ISERROR(VLOOKUP($U$145,'TAR FIN'!$A$1:$O$91,15,0)),0,VLOOKUP($U$145,'TAR FIN'!$A$1:$O$91,15,0))*(1-0.06)</f>
        <v>234.29499999999999</v>
      </c>
      <c r="Y145" s="54"/>
      <c r="Z145" s="54">
        <f ca="1">('TUSD BE'!$AM$14+'TUSD BF'!$AM$14+'TUSD CVA'!$AM$14)*1*(1-0.03)</f>
        <v>1644.7541908022699</v>
      </c>
      <c r="AA145" s="54">
        <f>('TE BE'!$AB$5+'TE BF'!$AB$5+'TE CVA'!$AB$5)*1*(1-0.03)</f>
        <v>197.28126009827187</v>
      </c>
      <c r="AB145" s="54">
        <f>(SUBSIDIO!$J$145*SUBSIDIO!$V$145)*(0.06)/(1-0.06)</f>
        <v>0</v>
      </c>
      <c r="AC145" s="54">
        <f>((SUBSIDIO!$L$145*SUBSIDIO!$W$145)+(SUBSIDIO!$N$145*SUBSIDIO!$X$145))*(0.06)/(1-0.06)</f>
        <v>272.81236559999996</v>
      </c>
      <c r="AD145" s="54">
        <f>(SUBSIDIO!$J$145*SUBSIDIO!$Y$145)*(0.03)/(1-0.03)</f>
        <v>0</v>
      </c>
      <c r="AE145" s="54">
        <f ca="1">((SUBSIDIO!$L$145*SUBSIDIO!$Z$145)+(SUBSIDIO!$N$145*SUBSIDIO!$AA$145))*(0.03)/(1-0.03)</f>
        <v>154.61703753847644</v>
      </c>
      <c r="AF145" s="3" t="s">
        <v>663</v>
      </c>
    </row>
    <row r="146" spans="1:32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24</v>
      </c>
      <c r="F146" s="3" t="s">
        <v>25</v>
      </c>
      <c r="G146" s="3" t="s">
        <v>25</v>
      </c>
      <c r="H146" s="3" t="s">
        <v>25</v>
      </c>
      <c r="I146" s="6">
        <v>44440</v>
      </c>
      <c r="J146" s="4">
        <v>0</v>
      </c>
      <c r="K146" s="4">
        <v>0</v>
      </c>
      <c r="L146" s="4">
        <v>2544.8980000000001</v>
      </c>
      <c r="M146" s="4">
        <v>2544.8980000000001</v>
      </c>
      <c r="N146" s="4">
        <v>2544.8980000000001</v>
      </c>
      <c r="O146" s="4">
        <v>2544.8980000000001</v>
      </c>
      <c r="P146" s="4">
        <v>11043</v>
      </c>
      <c r="Q146" s="3" t="s">
        <v>26</v>
      </c>
      <c r="R146" s="3">
        <v>0</v>
      </c>
      <c r="S146" s="3">
        <v>0</v>
      </c>
      <c r="T146" s="3">
        <v>23</v>
      </c>
      <c r="U146" s="3">
        <v>53</v>
      </c>
      <c r="V146" s="4">
        <f>IF(ISERROR(VLOOKUP($S$146,'TAR FIN'!$A$1:$O$91,15,0)),0,VLOOKUP($S$146,'TAR FIN'!$A$1:$O$91,15,0))</f>
        <v>0</v>
      </c>
      <c r="W146" s="4">
        <f>IF(ISERROR(VLOOKUP($T$146,'TAR FIN'!$A$1:$O$91,15,0)),0,VLOOKUP($T$146,'TAR FIN'!$A$1:$O$91,15,0))</f>
        <v>312.64999999999998</v>
      </c>
      <c r="X146" s="4">
        <f>IF(ISERROR(VLOOKUP($U$146,'TAR FIN'!$A$1:$O$91,15,0)),0,VLOOKUP($U$146,'TAR FIN'!$A$1:$O$91,15,0))</f>
        <v>249.25</v>
      </c>
      <c r="Y146" s="4"/>
      <c r="Z146" s="4">
        <f ca="1">('TUSD BE'!$AM$23+'TUSD BF'!$AM$23+'TUSD CVA'!$AM$23)*1</f>
        <v>387.73720067118109</v>
      </c>
      <c r="AA146" s="4">
        <f>('TE BE'!$AB$13+'TE BF'!$AB$13+'TE CVA'!$AB$13)*1</f>
        <v>203.38274236935246</v>
      </c>
      <c r="AB146" s="4">
        <f t="shared" ref="AB146:AB193" si="14">(J146-K146)*V146</f>
        <v>0</v>
      </c>
      <c r="AC146" s="4">
        <f t="shared" ref="AC146" si="15">(L146-M146)*W146+(N146-O146)*X146</f>
        <v>0</v>
      </c>
      <c r="AD146" s="4">
        <f t="shared" ref="AD146:AD193" si="16">(J146-K146)*Y146</f>
        <v>0</v>
      </c>
      <c r="AE146" s="4">
        <f t="shared" ref="AE146" ca="1" si="17">(L146-M146)*Z146+(N146-O146)*AA146</f>
        <v>0</v>
      </c>
    </row>
    <row r="147" spans="1:32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29</v>
      </c>
      <c r="F147" s="3" t="s">
        <v>25</v>
      </c>
      <c r="G147" s="3" t="s">
        <v>25</v>
      </c>
      <c r="H147" s="3" t="s">
        <v>25</v>
      </c>
      <c r="I147" s="6">
        <v>44440</v>
      </c>
      <c r="J147" s="4">
        <v>0</v>
      </c>
      <c r="K147" s="4">
        <v>0</v>
      </c>
      <c r="L147" s="4">
        <v>11.91</v>
      </c>
      <c r="M147" s="4">
        <v>11.91</v>
      </c>
      <c r="N147" s="4">
        <v>11.91</v>
      </c>
      <c r="O147" s="4">
        <v>11.91</v>
      </c>
      <c r="P147" s="4">
        <v>13</v>
      </c>
      <c r="Q147" s="3" t="s">
        <v>26</v>
      </c>
      <c r="R147" s="3">
        <v>0</v>
      </c>
      <c r="S147" s="3">
        <v>0</v>
      </c>
      <c r="T147" s="3">
        <v>21</v>
      </c>
      <c r="U147" s="3">
        <v>36</v>
      </c>
      <c r="V147" s="4">
        <f>IF(ISERROR(VLOOKUP($S$147,'TAR FIN'!$A$1:$O$91,15,0)),0,VLOOKUP($S$147,'TAR FIN'!$A$1:$O$91,15,0))</f>
        <v>0</v>
      </c>
      <c r="W147" s="4">
        <f>IF(ISERROR(VLOOKUP($T$147,'TAR FIN'!$A$1:$O$91,15,0)),0,VLOOKUP($T$147,'TAR FIN'!$A$1:$O$91,15,0))</f>
        <v>85.82</v>
      </c>
      <c r="X147" s="4">
        <f>IF(ISERROR(VLOOKUP($U$147,'TAR FIN'!$A$1:$O$91,15,0)),0,VLOOKUP($U$147,'TAR FIN'!$A$1:$O$91,15,0))</f>
        <v>87.24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47" s="4">
        <f>('TE BE'!$AB$14+'TE BF'!$AB$14+'TE CVA'!$AB$14)*(1-CUSTOS!$M$34)</f>
        <v>71.183959829273348</v>
      </c>
      <c r="AB147" s="4">
        <f t="shared" si="14"/>
        <v>0</v>
      </c>
      <c r="AC147" s="4">
        <f>(L147-M147)*(W147+X147)+($W$186+$X$186-$W$147-$X$147)*(L147)</f>
        <v>3827.7548999999999</v>
      </c>
      <c r="AD147" s="4">
        <f t="shared" si="16"/>
        <v>0</v>
      </c>
      <c r="AE147" s="4">
        <f ca="1">(L147-M147)*(Z147+AA147)+($Z$186+$AA$186-$Z$147-$AA$147)*(L147)</f>
        <v>3740.6300002890075</v>
      </c>
      <c r="AF147" s="3" t="s">
        <v>666</v>
      </c>
    </row>
    <row r="148" spans="1:32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29</v>
      </c>
      <c r="F148" s="3" t="s">
        <v>25</v>
      </c>
      <c r="G148" s="3" t="s">
        <v>25</v>
      </c>
      <c r="H148" s="3" t="s">
        <v>25</v>
      </c>
      <c r="I148" s="6">
        <v>44470</v>
      </c>
      <c r="J148" s="4">
        <v>0</v>
      </c>
      <c r="K148" s="4">
        <v>0</v>
      </c>
      <c r="L148" s="4">
        <v>12.12</v>
      </c>
      <c r="M148" s="4">
        <v>12.12</v>
      </c>
      <c r="N148" s="4">
        <v>12.12</v>
      </c>
      <c r="O148" s="4">
        <v>12.12</v>
      </c>
      <c r="P148" s="4">
        <v>14</v>
      </c>
      <c r="Q148" s="3" t="s">
        <v>26</v>
      </c>
      <c r="R148" s="3">
        <v>0</v>
      </c>
      <c r="S148" s="3">
        <v>0</v>
      </c>
      <c r="T148" s="3">
        <v>21</v>
      </c>
      <c r="U148" s="3">
        <v>36</v>
      </c>
      <c r="V148" s="4">
        <f>IF(ISERROR(VLOOKUP($S$148,'TAR FIN'!$A$1:$O$91,15,0)),0,VLOOKUP($S$148,'TAR FIN'!$A$1:$O$91,15,0))</f>
        <v>0</v>
      </c>
      <c r="W148" s="4">
        <f>IF(ISERROR(VLOOKUP($T$148,'TAR FIN'!$A$1:$O$91,15,0)),0,VLOOKUP($T$148,'TAR FIN'!$A$1:$O$91,15,0))</f>
        <v>85.82</v>
      </c>
      <c r="X148" s="4">
        <f>IF(ISERROR(VLOOKUP($U$148,'TAR FIN'!$A$1:$O$91,15,0)),0,VLOOKUP($U$148,'TAR FIN'!$A$1:$O$91,15,0))</f>
        <v>87.24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48" s="4">
        <f>('TE BE'!$AB$14+'TE BF'!$AB$14+'TE CVA'!$AB$14)*(1-CUSTOS!$M$34)</f>
        <v>71.183959829273348</v>
      </c>
      <c r="AB148" s="4">
        <f t="shared" si="14"/>
        <v>0</v>
      </c>
      <c r="AC148" s="4">
        <f>(L148-M148)*(W148+X148)+($W$186+$X$186-$W$148-$X$148)*(L148)</f>
        <v>3895.2467999999994</v>
      </c>
      <c r="AD148" s="4">
        <f t="shared" si="16"/>
        <v>0</v>
      </c>
      <c r="AE148" s="4">
        <f ca="1">(L148-M148)*(Z148+AA148)+($Z$186+$AA$186-$Z$148-$AA$148)*(L148)</f>
        <v>3806.5856929893171</v>
      </c>
      <c r="AF148" s="3" t="s">
        <v>666</v>
      </c>
    </row>
    <row r="149" spans="1:32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29</v>
      </c>
      <c r="F149" s="3" t="s">
        <v>25</v>
      </c>
      <c r="G149" s="3" t="s">
        <v>25</v>
      </c>
      <c r="H149" s="3" t="s">
        <v>25</v>
      </c>
      <c r="I149" s="6">
        <v>44501</v>
      </c>
      <c r="J149" s="4">
        <v>0</v>
      </c>
      <c r="K149" s="4">
        <v>0</v>
      </c>
      <c r="L149" s="4">
        <v>12.3</v>
      </c>
      <c r="M149" s="4">
        <v>12.3</v>
      </c>
      <c r="N149" s="4">
        <v>12.3</v>
      </c>
      <c r="O149" s="4">
        <v>12.3</v>
      </c>
      <c r="P149" s="4">
        <v>11</v>
      </c>
      <c r="Q149" s="3" t="s">
        <v>26</v>
      </c>
      <c r="R149" s="3">
        <v>0</v>
      </c>
      <c r="S149" s="3">
        <v>0</v>
      </c>
      <c r="T149" s="3">
        <v>21</v>
      </c>
      <c r="U149" s="3">
        <v>36</v>
      </c>
      <c r="V149" s="4">
        <f>IF(ISERROR(VLOOKUP($S$149,'TAR FIN'!$A$1:$O$91,15,0)),0,VLOOKUP($S$149,'TAR FIN'!$A$1:$O$91,15,0))</f>
        <v>0</v>
      </c>
      <c r="W149" s="4">
        <f>IF(ISERROR(VLOOKUP($T$149,'TAR FIN'!$A$1:$O$91,15,0)),0,VLOOKUP($T$149,'TAR FIN'!$A$1:$O$91,15,0))</f>
        <v>85.82</v>
      </c>
      <c r="X149" s="4">
        <f>IF(ISERROR(VLOOKUP($U$149,'TAR FIN'!$A$1:$O$91,15,0)),0,VLOOKUP($U$149,'TAR FIN'!$A$1:$O$91,15,0))</f>
        <v>87.24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49" s="4">
        <f>('TE BE'!$AB$14+'TE BF'!$AB$14+'TE CVA'!$AB$14)*(1-CUSTOS!$M$34)</f>
        <v>71.183959829273348</v>
      </c>
      <c r="AB149" s="4">
        <f t="shared" si="14"/>
        <v>0</v>
      </c>
      <c r="AC149" s="4">
        <f>(L149-M149)*(W149+X149)+($W$186+$X$186-$W$149-$X$149)*(L149)</f>
        <v>3953.0970000000002</v>
      </c>
      <c r="AD149" s="4">
        <f t="shared" si="16"/>
        <v>0</v>
      </c>
      <c r="AE149" s="4">
        <f ca="1">(L149-M149)*(Z149+AA149)+($Z$186+$AA$186-$Z$149-$AA$149)*(L149)</f>
        <v>3863.1191438752976</v>
      </c>
      <c r="AF149" s="3" t="s">
        <v>666</v>
      </c>
    </row>
    <row r="150" spans="1:32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29</v>
      </c>
      <c r="F150" s="3" t="s">
        <v>25</v>
      </c>
      <c r="G150" s="3" t="s">
        <v>25</v>
      </c>
      <c r="H150" s="3" t="s">
        <v>25</v>
      </c>
      <c r="I150" s="6">
        <v>44531</v>
      </c>
      <c r="J150" s="4">
        <v>0</v>
      </c>
      <c r="K150" s="4">
        <v>0</v>
      </c>
      <c r="L150" s="4">
        <v>12.24</v>
      </c>
      <c r="M150" s="4">
        <v>12.24</v>
      </c>
      <c r="N150" s="4">
        <v>12.24</v>
      </c>
      <c r="O150" s="4">
        <v>12.24</v>
      </c>
      <c r="P150" s="4">
        <v>9</v>
      </c>
      <c r="Q150" s="3" t="s">
        <v>26</v>
      </c>
      <c r="R150" s="3">
        <v>0</v>
      </c>
      <c r="S150" s="3">
        <v>0</v>
      </c>
      <c r="T150" s="3">
        <v>21</v>
      </c>
      <c r="U150" s="3">
        <v>36</v>
      </c>
      <c r="V150" s="4">
        <f>IF(ISERROR(VLOOKUP($S$150,'TAR FIN'!$A$1:$O$91,15,0)),0,VLOOKUP($S$150,'TAR FIN'!$A$1:$O$91,15,0))</f>
        <v>0</v>
      </c>
      <c r="W150" s="4">
        <f>IF(ISERROR(VLOOKUP($T$150,'TAR FIN'!$A$1:$O$91,15,0)),0,VLOOKUP($T$150,'TAR FIN'!$A$1:$O$91,15,0))</f>
        <v>85.82</v>
      </c>
      <c r="X150" s="4">
        <f>IF(ISERROR(VLOOKUP($U$150,'TAR FIN'!$A$1:$O$91,15,0)),0,VLOOKUP($U$150,'TAR FIN'!$A$1:$O$91,15,0))</f>
        <v>87.24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0" s="4">
        <f>('TE BE'!$AB$14+'TE BF'!$AB$14+'TE CVA'!$AB$14)*(1-CUSTOS!$M$34)</f>
        <v>71.183959829273348</v>
      </c>
      <c r="AB150" s="4">
        <f t="shared" si="14"/>
        <v>0</v>
      </c>
      <c r="AC150" s="4">
        <f>(L150-M150)*(W150+X150)+($W$186+$X$186-$W$150-$X$150)*(L150)</f>
        <v>3933.8136</v>
      </c>
      <c r="AD150" s="4">
        <f t="shared" si="16"/>
        <v>0</v>
      </c>
      <c r="AE150" s="4">
        <f ca="1">(L150-M150)*(Z150+AA150)+($Z$186+$AA$186-$Z$150-$AA$150)*(L150)</f>
        <v>3844.2746602466373</v>
      </c>
      <c r="AF150" s="3" t="s">
        <v>666</v>
      </c>
    </row>
    <row r="151" spans="1:32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29</v>
      </c>
      <c r="F151" s="3" t="s">
        <v>25</v>
      </c>
      <c r="G151" s="3" t="s">
        <v>25</v>
      </c>
      <c r="H151" s="3" t="s">
        <v>25</v>
      </c>
      <c r="I151" s="6">
        <v>44562</v>
      </c>
      <c r="J151" s="4">
        <v>0</v>
      </c>
      <c r="K151" s="4">
        <v>0</v>
      </c>
      <c r="L151" s="4">
        <v>13.32</v>
      </c>
      <c r="M151" s="4">
        <v>13.32</v>
      </c>
      <c r="N151" s="4">
        <v>13.32</v>
      </c>
      <c r="O151" s="4">
        <v>13.32</v>
      </c>
      <c r="P151" s="4">
        <v>9</v>
      </c>
      <c r="Q151" s="3" t="s">
        <v>26</v>
      </c>
      <c r="R151" s="3">
        <v>0</v>
      </c>
      <c r="S151" s="3">
        <v>0</v>
      </c>
      <c r="T151" s="3">
        <v>21</v>
      </c>
      <c r="U151" s="3">
        <v>36</v>
      </c>
      <c r="V151" s="4">
        <f>IF(ISERROR(VLOOKUP($S$151,'TAR FIN'!$A$1:$O$91,15,0)),0,VLOOKUP($S$151,'TAR FIN'!$A$1:$O$91,15,0))</f>
        <v>0</v>
      </c>
      <c r="W151" s="4">
        <f>IF(ISERROR(VLOOKUP($T$151,'TAR FIN'!$A$1:$O$91,15,0)),0,VLOOKUP($T$151,'TAR FIN'!$A$1:$O$91,15,0))</f>
        <v>85.82</v>
      </c>
      <c r="X151" s="4">
        <f>IF(ISERROR(VLOOKUP($U$151,'TAR FIN'!$A$1:$O$91,15,0)),0,VLOOKUP($U$151,'TAR FIN'!$A$1:$O$91,15,0))</f>
        <v>87.24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1" s="4">
        <f>('TE BE'!$AB$14+'TE BF'!$AB$14+'TE CVA'!$AB$14)*(1-CUSTOS!$M$34)</f>
        <v>71.183959829273348</v>
      </c>
      <c r="AB151" s="4">
        <f t="shared" si="14"/>
        <v>0</v>
      </c>
      <c r="AC151" s="4">
        <f>(L151-M151)*(W151+X151)+($W$186+$X$186-$W$151-$X$151)*(L151)</f>
        <v>4280.9147999999996</v>
      </c>
      <c r="AD151" s="4">
        <f t="shared" si="16"/>
        <v>0</v>
      </c>
      <c r="AE151" s="4">
        <f ca="1">(L151-M151)*(Z151+AA151)+($Z$186+$AA$186-$Z$151-$AA$151)*(L151)</f>
        <v>4183.4753655625173</v>
      </c>
      <c r="AF151" s="3" t="s">
        <v>666</v>
      </c>
    </row>
    <row r="152" spans="1:32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29</v>
      </c>
      <c r="F152" s="3" t="s">
        <v>25</v>
      </c>
      <c r="G152" s="3" t="s">
        <v>25</v>
      </c>
      <c r="H152" s="3" t="s">
        <v>25</v>
      </c>
      <c r="I152" s="6">
        <v>44593</v>
      </c>
      <c r="J152" s="4">
        <v>0</v>
      </c>
      <c r="K152" s="4">
        <v>0</v>
      </c>
      <c r="L152" s="4">
        <v>16.02</v>
      </c>
      <c r="M152" s="4">
        <v>16.02</v>
      </c>
      <c r="N152" s="4">
        <v>16.02</v>
      </c>
      <c r="O152" s="4">
        <v>16.02</v>
      </c>
      <c r="P152" s="4">
        <v>10</v>
      </c>
      <c r="Q152" s="3" t="s">
        <v>26</v>
      </c>
      <c r="R152" s="3">
        <v>0</v>
      </c>
      <c r="S152" s="3">
        <v>0</v>
      </c>
      <c r="T152" s="3">
        <v>21</v>
      </c>
      <c r="U152" s="3">
        <v>36</v>
      </c>
      <c r="V152" s="4">
        <f>IF(ISERROR(VLOOKUP($S$152,'TAR FIN'!$A$1:$O$91,15,0)),0,VLOOKUP($S$152,'TAR FIN'!$A$1:$O$91,15,0))</f>
        <v>0</v>
      </c>
      <c r="W152" s="4">
        <f>IF(ISERROR(VLOOKUP($T$152,'TAR FIN'!$A$1:$O$91,15,0)),0,VLOOKUP($T$152,'TAR FIN'!$A$1:$O$91,15,0))</f>
        <v>85.82</v>
      </c>
      <c r="X152" s="4">
        <f>IF(ISERROR(VLOOKUP($U$152,'TAR FIN'!$A$1:$O$91,15,0)),0,VLOOKUP($U$152,'TAR FIN'!$A$1:$O$91,15,0))</f>
        <v>87.24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2" s="4">
        <f>('TE BE'!$AB$14+'TE BF'!$AB$14+'TE CVA'!$AB$14)*(1-CUSTOS!$M$34)</f>
        <v>71.183959829273348</v>
      </c>
      <c r="AB152" s="4">
        <f t="shared" si="14"/>
        <v>0</v>
      </c>
      <c r="AC152" s="4">
        <f>(L152-M152)*(W152+X152)+($W$186+$X$186-$W$152-$X$152)*(L152)</f>
        <v>5148.6677999999993</v>
      </c>
      <c r="AD152" s="4">
        <f t="shared" si="16"/>
        <v>0</v>
      </c>
      <c r="AE152" s="4">
        <f ca="1">(L152-M152)*(Z152+AA152)+($Z$186+$AA$186-$Z$152-$AA$152)*(L152)</f>
        <v>5031.4771288522161</v>
      </c>
      <c r="AF152" s="3" t="s">
        <v>666</v>
      </c>
    </row>
    <row r="153" spans="1:32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29</v>
      </c>
      <c r="F153" s="3" t="s">
        <v>25</v>
      </c>
      <c r="G153" s="3" t="s">
        <v>25</v>
      </c>
      <c r="H153" s="3" t="s">
        <v>25</v>
      </c>
      <c r="I153" s="6">
        <v>44621</v>
      </c>
      <c r="J153" s="4">
        <v>0</v>
      </c>
      <c r="K153" s="4">
        <v>0</v>
      </c>
      <c r="L153" s="4">
        <v>16.68</v>
      </c>
      <c r="M153" s="4">
        <v>16.68</v>
      </c>
      <c r="N153" s="4">
        <v>16.68</v>
      </c>
      <c r="O153" s="4">
        <v>16.68</v>
      </c>
      <c r="P153" s="4">
        <v>11</v>
      </c>
      <c r="Q153" s="3" t="s">
        <v>26</v>
      </c>
      <c r="R153" s="3">
        <v>0</v>
      </c>
      <c r="S153" s="3">
        <v>0</v>
      </c>
      <c r="T153" s="3">
        <v>21</v>
      </c>
      <c r="U153" s="3">
        <v>36</v>
      </c>
      <c r="V153" s="4">
        <f>IF(ISERROR(VLOOKUP($S$153,'TAR FIN'!$A$1:$O$91,15,0)),0,VLOOKUP($S$153,'TAR FIN'!$A$1:$O$91,15,0))</f>
        <v>0</v>
      </c>
      <c r="W153" s="4">
        <f>IF(ISERROR(VLOOKUP($T$153,'TAR FIN'!$A$1:$O$91,15,0)),0,VLOOKUP($T$153,'TAR FIN'!$A$1:$O$91,15,0))</f>
        <v>85.82</v>
      </c>
      <c r="X153" s="4">
        <f>IF(ISERROR(VLOOKUP($U$153,'TAR FIN'!$A$1:$O$91,15,0)),0,VLOOKUP($U$153,'TAR FIN'!$A$1:$O$91,15,0))</f>
        <v>87.24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3" s="4">
        <f>('TE BE'!$AB$14+'TE BF'!$AB$14+'TE CVA'!$AB$14)*(1-CUSTOS!$M$34)</f>
        <v>71.183959829273348</v>
      </c>
      <c r="AB153" s="4">
        <f t="shared" si="14"/>
        <v>0</v>
      </c>
      <c r="AC153" s="4">
        <f>(L153-M153)*(W153+X153)+($W$186+$X$186-$W$153-$X$153)*(L153)</f>
        <v>5360.7851999999993</v>
      </c>
      <c r="AD153" s="4">
        <f t="shared" si="16"/>
        <v>0</v>
      </c>
      <c r="AE153" s="4">
        <f ca="1">(L153-M153)*(Z153+AA153)+($Z$186+$AA$186-$Z$153-$AA$153)*(L153)</f>
        <v>5238.7664487674765</v>
      </c>
      <c r="AF153" s="3" t="s">
        <v>666</v>
      </c>
    </row>
    <row r="154" spans="1:32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29</v>
      </c>
      <c r="F154" s="3" t="s">
        <v>25</v>
      </c>
      <c r="G154" s="3" t="s">
        <v>25</v>
      </c>
      <c r="H154" s="3" t="s">
        <v>25</v>
      </c>
      <c r="I154" s="6">
        <v>44652</v>
      </c>
      <c r="J154" s="4">
        <v>0</v>
      </c>
      <c r="K154" s="4">
        <v>0</v>
      </c>
      <c r="L154" s="4">
        <v>16.829999999999998</v>
      </c>
      <c r="M154" s="4">
        <v>16.829999999999998</v>
      </c>
      <c r="N154" s="4">
        <v>16.829999999999998</v>
      </c>
      <c r="O154" s="4">
        <v>16.829999999999998</v>
      </c>
      <c r="P154" s="4">
        <v>13</v>
      </c>
      <c r="Q154" s="3" t="s">
        <v>26</v>
      </c>
      <c r="R154" s="3">
        <v>0</v>
      </c>
      <c r="S154" s="3">
        <v>0</v>
      </c>
      <c r="T154" s="3">
        <v>21</v>
      </c>
      <c r="U154" s="3">
        <v>36</v>
      </c>
      <c r="V154" s="4">
        <f>IF(ISERROR(VLOOKUP($S$154,'TAR FIN'!$A$1:$O$91,15,0)),0,VLOOKUP($S$154,'TAR FIN'!$A$1:$O$91,15,0))</f>
        <v>0</v>
      </c>
      <c r="W154" s="4">
        <f>IF(ISERROR(VLOOKUP($T$154,'TAR FIN'!$A$1:$O$91,15,0)),0,VLOOKUP($T$154,'TAR FIN'!$A$1:$O$91,15,0))</f>
        <v>85.82</v>
      </c>
      <c r="X154" s="4">
        <f>IF(ISERROR(VLOOKUP($U$154,'TAR FIN'!$A$1:$O$91,15,0)),0,VLOOKUP($U$154,'TAR FIN'!$A$1:$O$91,15,0))</f>
        <v>87.24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4" s="4">
        <f>('TE BE'!$AB$14+'TE BF'!$AB$14+'TE CVA'!$AB$14)*(1-CUSTOS!$M$34)</f>
        <v>71.183959829273348</v>
      </c>
      <c r="AB154" s="4">
        <f t="shared" si="14"/>
        <v>0</v>
      </c>
      <c r="AC154" s="4">
        <f>(L154-M154)*(W154+X154)+($W$186+$X$186-$W$154-$X$154)*(L154)</f>
        <v>5408.9936999999991</v>
      </c>
      <c r="AD154" s="4">
        <f t="shared" si="16"/>
        <v>0</v>
      </c>
      <c r="AE154" s="4">
        <f ca="1">(L154-M154)*(Z154+AA154)+($Z$186+$AA$186-$Z$154-$AA$154)*(L154)</f>
        <v>5285.8776578391253</v>
      </c>
      <c r="AF154" s="3" t="s">
        <v>666</v>
      </c>
    </row>
    <row r="155" spans="1:32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29</v>
      </c>
      <c r="F155" s="3" t="s">
        <v>25</v>
      </c>
      <c r="G155" s="3" t="s">
        <v>25</v>
      </c>
      <c r="H155" s="3" t="s">
        <v>25</v>
      </c>
      <c r="I155" s="6">
        <v>44682</v>
      </c>
      <c r="J155" s="4">
        <v>0</v>
      </c>
      <c r="K155" s="4">
        <v>0</v>
      </c>
      <c r="L155" s="4">
        <v>16.8</v>
      </c>
      <c r="M155" s="4">
        <v>16.8</v>
      </c>
      <c r="N155" s="4">
        <v>16.8</v>
      </c>
      <c r="O155" s="4">
        <v>16.8</v>
      </c>
      <c r="P155" s="4">
        <v>15</v>
      </c>
      <c r="Q155" s="3" t="s">
        <v>26</v>
      </c>
      <c r="R155" s="3">
        <v>0</v>
      </c>
      <c r="S155" s="3">
        <v>0</v>
      </c>
      <c r="T155" s="3">
        <v>21</v>
      </c>
      <c r="U155" s="3">
        <v>36</v>
      </c>
      <c r="V155" s="4">
        <f>IF(ISERROR(VLOOKUP($S$155,'TAR FIN'!$A$1:$O$91,15,0)),0,VLOOKUP($S$155,'TAR FIN'!$A$1:$O$91,15,0))</f>
        <v>0</v>
      </c>
      <c r="W155" s="4">
        <f>IF(ISERROR(VLOOKUP($T$155,'TAR FIN'!$A$1:$O$91,15,0)),0,VLOOKUP($T$155,'TAR FIN'!$A$1:$O$91,15,0))</f>
        <v>85.82</v>
      </c>
      <c r="X155" s="4">
        <f>IF(ISERROR(VLOOKUP($U$155,'TAR FIN'!$A$1:$O$91,15,0)),0,VLOOKUP($U$155,'TAR FIN'!$A$1:$O$91,15,0))</f>
        <v>87.24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5" s="4">
        <f>('TE BE'!$AB$14+'TE BF'!$AB$14+'TE CVA'!$AB$14)*(1-CUSTOS!$M$34)</f>
        <v>71.183959829273348</v>
      </c>
      <c r="AB155" s="4">
        <f t="shared" si="14"/>
        <v>0</v>
      </c>
      <c r="AC155" s="4">
        <f>(L155-M155)*(W155+X155)+($W$186+$X$186-$W$155-$X$155)*(L155)</f>
        <v>5399.3519999999999</v>
      </c>
      <c r="AD155" s="4">
        <f t="shared" si="16"/>
        <v>0</v>
      </c>
      <c r="AE155" s="4">
        <f ca="1">(L155-M155)*(Z155+AA155)+($Z$186+$AA$186-$Z$155-$AA$155)*(L155)</f>
        <v>5276.4554160247962</v>
      </c>
      <c r="AF155" s="3" t="s">
        <v>666</v>
      </c>
    </row>
    <row r="156" spans="1:32" ht="11.25" customHeight="1" x14ac:dyDescent="0.25">
      <c r="A156" s="3" t="s">
        <v>28</v>
      </c>
      <c r="B156" s="3" t="s">
        <v>22</v>
      </c>
      <c r="C156" s="3" t="s">
        <v>23</v>
      </c>
      <c r="D156" s="3" t="s">
        <v>24</v>
      </c>
      <c r="E156" s="3" t="s">
        <v>29</v>
      </c>
      <c r="F156" s="3" t="s">
        <v>25</v>
      </c>
      <c r="G156" s="3" t="s">
        <v>25</v>
      </c>
      <c r="H156" s="3" t="s">
        <v>25</v>
      </c>
      <c r="I156" s="6">
        <v>44682</v>
      </c>
      <c r="J156" s="4">
        <v>0</v>
      </c>
      <c r="K156" s="4">
        <v>0</v>
      </c>
      <c r="L156" s="4">
        <v>0.03</v>
      </c>
      <c r="M156" s="4">
        <v>1.0500000000000001E-2</v>
      </c>
      <c r="N156" s="4">
        <v>0.03</v>
      </c>
      <c r="O156" s="4">
        <v>1.0500000000000001E-2</v>
      </c>
      <c r="P156" s="4">
        <v>0</v>
      </c>
      <c r="Q156" s="3" t="s">
        <v>26</v>
      </c>
      <c r="R156" s="3">
        <v>0</v>
      </c>
      <c r="S156" s="3">
        <v>0</v>
      </c>
      <c r="T156" s="3">
        <v>21</v>
      </c>
      <c r="U156" s="3">
        <v>36</v>
      </c>
      <c r="V156" s="4">
        <f>IF(ISERROR(VLOOKUP($S$156,'TAR FIN'!$A$1:$O$91,15,0)),0,VLOOKUP($S$156,'TAR FIN'!$A$1:$O$91,15,0))</f>
        <v>0</v>
      </c>
      <c r="W156" s="4">
        <f>IF(ISERROR(VLOOKUP($T$156,'TAR FIN'!$A$1:$O$91,15,0)),0,VLOOKUP($T$156,'TAR FIN'!$A$1:$O$91,15,0))</f>
        <v>85.82</v>
      </c>
      <c r="X156" s="4">
        <f>IF(ISERROR(VLOOKUP($U$156,'TAR FIN'!$A$1:$O$91,15,0)),0,VLOOKUP($U$156,'TAR FIN'!$A$1:$O$91,15,0))</f>
        <v>87.24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6" s="4">
        <f>('TE BE'!$AB$14+'TE BF'!$AB$14+'TE CVA'!$AB$14)*(1-CUSTOS!$M$34)</f>
        <v>71.183959829273348</v>
      </c>
      <c r="AB156" s="4">
        <f t="shared" si="14"/>
        <v>0</v>
      </c>
      <c r="AC156" s="4">
        <f>(L156-M156)*(W156+X156)+($W$186+$X$186-$W$156-$X$156)*(L156)</f>
        <v>13.016369999999998</v>
      </c>
      <c r="AD156" s="4">
        <f t="shared" si="16"/>
        <v>0</v>
      </c>
      <c r="AE156" s="4">
        <f ca="1">(L156-M156)*(Z156+AA156)+($Z$186+$AA$186-$Z$156-$AA$156)*(L156)</f>
        <v>12.72002644934549</v>
      </c>
      <c r="AF156" s="3" t="s">
        <v>666</v>
      </c>
    </row>
    <row r="157" spans="1:32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29</v>
      </c>
      <c r="F157" s="3" t="s">
        <v>25</v>
      </c>
      <c r="G157" s="3" t="s">
        <v>25</v>
      </c>
      <c r="H157" s="3" t="s">
        <v>25</v>
      </c>
      <c r="I157" s="6">
        <v>44713</v>
      </c>
      <c r="J157" s="4">
        <v>0</v>
      </c>
      <c r="K157" s="4">
        <v>0</v>
      </c>
      <c r="L157" s="4">
        <v>15.21</v>
      </c>
      <c r="M157" s="4">
        <v>15.21</v>
      </c>
      <c r="N157" s="4">
        <v>15.21</v>
      </c>
      <c r="O157" s="4">
        <v>15.21</v>
      </c>
      <c r="P157" s="4">
        <v>17</v>
      </c>
      <c r="Q157" s="3" t="s">
        <v>26</v>
      </c>
      <c r="R157" s="3">
        <v>0</v>
      </c>
      <c r="S157" s="3">
        <v>0</v>
      </c>
      <c r="T157" s="3">
        <v>21</v>
      </c>
      <c r="U157" s="3">
        <v>36</v>
      </c>
      <c r="V157" s="4">
        <f>IF(ISERROR(VLOOKUP($S$157,'TAR FIN'!$A$1:$O$91,15,0)),0,VLOOKUP($S$157,'TAR FIN'!$A$1:$O$91,15,0))</f>
        <v>0</v>
      </c>
      <c r="W157" s="4">
        <f>IF(ISERROR(VLOOKUP($T$157,'TAR FIN'!$A$1:$O$91,15,0)),0,VLOOKUP($T$157,'TAR FIN'!$A$1:$O$91,15,0))</f>
        <v>85.82</v>
      </c>
      <c r="X157" s="4">
        <f>IF(ISERROR(VLOOKUP($U$157,'TAR FIN'!$A$1:$O$91,15,0)),0,VLOOKUP($U$157,'TAR FIN'!$A$1:$O$91,15,0))</f>
        <v>87.24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7" s="4">
        <f>('TE BE'!$AB$14+'TE BF'!$AB$14+'TE CVA'!$AB$14)*(1-CUSTOS!$M$34)</f>
        <v>71.183959829273348</v>
      </c>
      <c r="AB157" s="4">
        <f t="shared" si="14"/>
        <v>0</v>
      </c>
      <c r="AC157" s="4">
        <f>(L157-M157)*(W157+X157)+($W$186+$X$186-$W$157-$X$157)*(L157)</f>
        <v>4888.3419000000004</v>
      </c>
      <c r="AD157" s="4">
        <f t="shared" si="16"/>
        <v>0</v>
      </c>
      <c r="AE157" s="4">
        <f ca="1">(L157-M157)*(Z157+AA157)+($Z$186+$AA$186-$Z$157-$AA$157)*(L157)</f>
        <v>4777.0765998653069</v>
      </c>
      <c r="AF157" s="3" t="s">
        <v>666</v>
      </c>
    </row>
    <row r="158" spans="1:32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29</v>
      </c>
      <c r="F158" s="3" t="s">
        <v>25</v>
      </c>
      <c r="G158" s="3" t="s">
        <v>25</v>
      </c>
      <c r="H158" s="3" t="s">
        <v>25</v>
      </c>
      <c r="I158" s="6">
        <v>44743</v>
      </c>
      <c r="J158" s="4">
        <v>0</v>
      </c>
      <c r="K158" s="4">
        <v>0</v>
      </c>
      <c r="L158" s="4">
        <v>14.97</v>
      </c>
      <c r="M158" s="4">
        <v>14.97</v>
      </c>
      <c r="N158" s="4">
        <v>14.97</v>
      </c>
      <c r="O158" s="4">
        <v>14.97</v>
      </c>
      <c r="P158" s="4">
        <v>19</v>
      </c>
      <c r="Q158" s="3" t="s">
        <v>26</v>
      </c>
      <c r="R158" s="3">
        <v>0</v>
      </c>
      <c r="S158" s="3">
        <v>0</v>
      </c>
      <c r="T158" s="3">
        <v>21</v>
      </c>
      <c r="U158" s="3">
        <v>36</v>
      </c>
      <c r="V158" s="4">
        <f>IF(ISERROR(VLOOKUP($S$158,'TAR FIN'!$A$1:$O$91,15,0)),0,VLOOKUP($S$158,'TAR FIN'!$A$1:$O$91,15,0))</f>
        <v>0</v>
      </c>
      <c r="W158" s="4">
        <f>IF(ISERROR(VLOOKUP($T$158,'TAR FIN'!$A$1:$O$91,15,0)),0,VLOOKUP($T$158,'TAR FIN'!$A$1:$O$91,15,0))</f>
        <v>85.82</v>
      </c>
      <c r="X158" s="4">
        <f>IF(ISERROR(VLOOKUP($U$158,'TAR FIN'!$A$1:$O$91,15,0)),0,VLOOKUP($U$158,'TAR FIN'!$A$1:$O$91,15,0))</f>
        <v>87.24</v>
      </c>
      <c r="Y158" s="4"/>
      <c r="Z158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8" s="4">
        <f>('TE BE'!$AB$14+'TE BF'!$AB$14+'TE CVA'!$AB$14)*(1-CUSTOS!$M$34)</f>
        <v>71.183959829273348</v>
      </c>
      <c r="AB158" s="4">
        <f t="shared" si="14"/>
        <v>0</v>
      </c>
      <c r="AC158" s="4">
        <f>(L158-M158)*(W158+X158)+($W$186+$X$186-$W$158-$X$158)*(L158)</f>
        <v>4811.2083000000002</v>
      </c>
      <c r="AD158" s="4">
        <f t="shared" si="16"/>
        <v>0</v>
      </c>
      <c r="AE158" s="4">
        <f ca="1">(L158-M158)*(Z158+AA158)+($Z$186+$AA$186-$Z$158-$AA$158)*(L158)</f>
        <v>4701.6986653506665</v>
      </c>
      <c r="AF158" s="3" t="s">
        <v>666</v>
      </c>
    </row>
    <row r="159" spans="1:32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29</v>
      </c>
      <c r="F159" s="3" t="s">
        <v>25</v>
      </c>
      <c r="G159" s="3" t="s">
        <v>25</v>
      </c>
      <c r="H159" s="3" t="s">
        <v>25</v>
      </c>
      <c r="I159" s="6">
        <v>44774</v>
      </c>
      <c r="J159" s="4">
        <v>0</v>
      </c>
      <c r="K159" s="4">
        <v>0</v>
      </c>
      <c r="L159" s="4">
        <v>16.2</v>
      </c>
      <c r="M159" s="4">
        <v>16.2</v>
      </c>
      <c r="N159" s="4">
        <v>16.2</v>
      </c>
      <c r="O159" s="4">
        <v>16.2</v>
      </c>
      <c r="P159" s="4">
        <v>17</v>
      </c>
      <c r="Q159" s="3" t="s">
        <v>26</v>
      </c>
      <c r="R159" s="3">
        <v>0</v>
      </c>
      <c r="S159" s="3">
        <v>0</v>
      </c>
      <c r="T159" s="3">
        <v>21</v>
      </c>
      <c r="U159" s="3">
        <v>36</v>
      </c>
      <c r="V159" s="4">
        <f>IF(ISERROR(VLOOKUP($S$159,'TAR FIN'!$A$1:$O$91,15,0)),0,VLOOKUP($S$159,'TAR FIN'!$A$1:$O$91,15,0))</f>
        <v>0</v>
      </c>
      <c r="W159" s="4">
        <f>IF(ISERROR(VLOOKUP($T$159,'TAR FIN'!$A$1:$O$91,15,0)),0,VLOOKUP($T$159,'TAR FIN'!$A$1:$O$91,15,0))</f>
        <v>85.82</v>
      </c>
      <c r="X159" s="4">
        <f>IF(ISERROR(VLOOKUP($U$159,'TAR FIN'!$A$1:$O$91,15,0)),0,VLOOKUP($U$159,'TAR FIN'!$A$1:$O$91,15,0))</f>
        <v>87.24</v>
      </c>
      <c r="Y159" s="4"/>
      <c r="Z159" s="4">
        <f ca="1">('TUSD BE'!$AM$24+'TUSD BF'!$AM$24+'TUSD CVA'!$AM$24-('TUSD BE'!$P$24+'TUSD BF'!$P$24+'TUSD CVA'!$P$24)-('TUSD BE'!$Q$24+'TUSD BF'!$Q$24+'TUSD CVA'!$Q$24)-('TUSD BE'!$R$24+'TUSD BF'!$R$24+'TUSD CVA'!$R$24))*(1-CUSTOS!$M$34)</f>
        <v>97.933200940752158</v>
      </c>
      <c r="AA159" s="4">
        <f>('TE BE'!$AB$14+'TE BF'!$AB$14+'TE CVA'!$AB$14)*(1-CUSTOS!$M$34)</f>
        <v>71.183959829273348</v>
      </c>
      <c r="AB159" s="4">
        <f t="shared" si="14"/>
        <v>0</v>
      </c>
      <c r="AC159" s="4">
        <f>(L159-M159)*(W159+X159)+($W$186+$X$186-$W$159-$X$159)*(L159)</f>
        <v>5206.5179999999991</v>
      </c>
      <c r="AD159" s="4">
        <f t="shared" si="16"/>
        <v>0</v>
      </c>
      <c r="AE159" s="4">
        <f ca="1">(L159-M159)*(Z159+AA159)+($Z$186+$AA$186-$Z$159-$AA$159)*(L159)</f>
        <v>5088.0105797381966</v>
      </c>
      <c r="AF159" s="3" t="s">
        <v>666</v>
      </c>
    </row>
    <row r="160" spans="1:32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30</v>
      </c>
      <c r="F160" s="3" t="s">
        <v>25</v>
      </c>
      <c r="G160" s="3" t="s">
        <v>25</v>
      </c>
      <c r="H160" s="3" t="s">
        <v>25</v>
      </c>
      <c r="I160" s="6">
        <v>44440</v>
      </c>
      <c r="J160" s="4">
        <v>0</v>
      </c>
      <c r="K160" s="4">
        <v>0</v>
      </c>
      <c r="L160" s="4">
        <v>25.515000000000001</v>
      </c>
      <c r="M160" s="4">
        <v>25.515000000000001</v>
      </c>
      <c r="N160" s="4">
        <v>25.515000000000001</v>
      </c>
      <c r="O160" s="4">
        <v>25.515000000000001</v>
      </c>
      <c r="P160" s="4">
        <v>49</v>
      </c>
      <c r="Q160" s="3" t="s">
        <v>26</v>
      </c>
      <c r="R160" s="3">
        <v>0</v>
      </c>
      <c r="S160" s="3">
        <v>0</v>
      </c>
      <c r="T160" s="3">
        <v>17</v>
      </c>
      <c r="U160" s="3">
        <v>48</v>
      </c>
      <c r="V160" s="4">
        <f>IF(ISERROR(VLOOKUP($S$160,'TAR FIN'!$A$1:$O$91,15,0)),0,VLOOKUP($S$160,'TAR FIN'!$A$1:$O$91,15,0))</f>
        <v>0</v>
      </c>
      <c r="W160" s="4">
        <f>IF(ISERROR(VLOOKUP($T$160,'TAR FIN'!$A$1:$O$91,15,0)),0,VLOOKUP($T$160,'TAR FIN'!$A$1:$O$91,15,0))</f>
        <v>147.12</v>
      </c>
      <c r="X160" s="4">
        <f>IF(ISERROR(VLOOKUP($U$160,'TAR FIN'!$A$1:$O$91,15,0)),0,VLOOKUP($U$160,'TAR FIN'!$A$1:$O$91,15,0))</f>
        <v>149.55000000000001</v>
      </c>
      <c r="Y160" s="4"/>
      <c r="Z160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0" s="4">
        <f>('TE BE'!$AB$15+'TE BF'!$AB$15+'TE CVA'!$AB$15)*(1-CUSTOS!$M$35)</f>
        <v>122.02964542161146</v>
      </c>
      <c r="AB160" s="4">
        <f t="shared" si="14"/>
        <v>0</v>
      </c>
      <c r="AC160" s="4">
        <f>(L160-M160)*(W160+X160)+($W$186+$X$186-$W$160-$X$160)*(L160)</f>
        <v>5046.3566999999994</v>
      </c>
      <c r="AD160" s="4">
        <f t="shared" si="16"/>
        <v>0</v>
      </c>
      <c r="AE160" s="4">
        <f ca="1">(L160-M160)*(Z160+AA160)+($Z$186+$AA$186-$Z$160-$AA$160)*(L160)</f>
        <v>4931.456408053944</v>
      </c>
      <c r="AF160" s="3" t="s">
        <v>666</v>
      </c>
    </row>
    <row r="161" spans="1:32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30</v>
      </c>
      <c r="F161" s="3" t="s">
        <v>25</v>
      </c>
      <c r="G161" s="3" t="s">
        <v>25</v>
      </c>
      <c r="H161" s="3" t="s">
        <v>25</v>
      </c>
      <c r="I161" s="6">
        <v>44470</v>
      </c>
      <c r="J161" s="4">
        <v>0</v>
      </c>
      <c r="K161" s="4">
        <v>0</v>
      </c>
      <c r="L161" s="4">
        <v>25.896000000000001</v>
      </c>
      <c r="M161" s="4">
        <v>25.896000000000001</v>
      </c>
      <c r="N161" s="4">
        <v>25.896000000000001</v>
      </c>
      <c r="O161" s="4">
        <v>25.896000000000001</v>
      </c>
      <c r="P161" s="4">
        <v>45</v>
      </c>
      <c r="Q161" s="3" t="s">
        <v>26</v>
      </c>
      <c r="R161" s="3">
        <v>0</v>
      </c>
      <c r="S161" s="3">
        <v>0</v>
      </c>
      <c r="T161" s="3">
        <v>17</v>
      </c>
      <c r="U161" s="3">
        <v>48</v>
      </c>
      <c r="V161" s="4">
        <f>IF(ISERROR(VLOOKUP($S$161,'TAR FIN'!$A$1:$O$91,15,0)),0,VLOOKUP($S$161,'TAR FIN'!$A$1:$O$91,15,0))</f>
        <v>0</v>
      </c>
      <c r="W161" s="4">
        <f>IF(ISERROR(VLOOKUP($T$161,'TAR FIN'!$A$1:$O$91,15,0)),0,VLOOKUP($T$161,'TAR FIN'!$A$1:$O$91,15,0))</f>
        <v>147.12</v>
      </c>
      <c r="X161" s="4">
        <f>IF(ISERROR(VLOOKUP($U$161,'TAR FIN'!$A$1:$O$91,15,0)),0,VLOOKUP($U$161,'TAR FIN'!$A$1:$O$91,15,0))</f>
        <v>149.55000000000001</v>
      </c>
      <c r="Y161" s="4"/>
      <c r="Z161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1" s="4">
        <f>('TE BE'!$AB$15+'TE BF'!$AB$15+'TE CVA'!$AB$15)*(1-CUSTOS!$M$35)</f>
        <v>122.02964542161146</v>
      </c>
      <c r="AB161" s="4">
        <f t="shared" si="14"/>
        <v>0</v>
      </c>
      <c r="AC161" s="4">
        <f>(L161-M161)*(W161+X161)+($W$186+$X$186-$W$161-$X$161)*(L161)</f>
        <v>5121.7108799999996</v>
      </c>
      <c r="AD161" s="4">
        <f t="shared" si="16"/>
        <v>0</v>
      </c>
      <c r="AE161" s="4">
        <f ca="1">(L161-M161)*(Z161+AA161)+($Z$186+$AA$186-$Z$161-$AA$161)*(L161)</f>
        <v>5005.0948517720926</v>
      </c>
      <c r="AF161" s="3" t="s">
        <v>666</v>
      </c>
    </row>
    <row r="162" spans="1:32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30</v>
      </c>
      <c r="F162" s="3" t="s">
        <v>25</v>
      </c>
      <c r="G162" s="3" t="s">
        <v>25</v>
      </c>
      <c r="H162" s="3" t="s">
        <v>25</v>
      </c>
      <c r="I162" s="6">
        <v>44501</v>
      </c>
      <c r="J162" s="4">
        <v>0</v>
      </c>
      <c r="K162" s="4">
        <v>0</v>
      </c>
      <c r="L162" s="4">
        <v>26.738</v>
      </c>
      <c r="M162" s="4">
        <v>26.738</v>
      </c>
      <c r="N162" s="4">
        <v>26.738</v>
      </c>
      <c r="O162" s="4">
        <v>26.738</v>
      </c>
      <c r="P162" s="4">
        <v>51</v>
      </c>
      <c r="Q162" s="3" t="s">
        <v>26</v>
      </c>
      <c r="R162" s="3">
        <v>0</v>
      </c>
      <c r="S162" s="3">
        <v>0</v>
      </c>
      <c r="T162" s="3">
        <v>17</v>
      </c>
      <c r="U162" s="3">
        <v>48</v>
      </c>
      <c r="V162" s="4">
        <f>IF(ISERROR(VLOOKUP($S$162,'TAR FIN'!$A$1:$O$91,15,0)),0,VLOOKUP($S$162,'TAR FIN'!$A$1:$O$91,15,0))</f>
        <v>0</v>
      </c>
      <c r="W162" s="4">
        <f>IF(ISERROR(VLOOKUP($T$162,'TAR FIN'!$A$1:$O$91,15,0)),0,VLOOKUP($T$162,'TAR FIN'!$A$1:$O$91,15,0))</f>
        <v>147.12</v>
      </c>
      <c r="X162" s="4">
        <f>IF(ISERROR(VLOOKUP($U$162,'TAR FIN'!$A$1:$O$91,15,0)),0,VLOOKUP($U$162,'TAR FIN'!$A$1:$O$91,15,0))</f>
        <v>149.55000000000001</v>
      </c>
      <c r="Y162" s="4"/>
      <c r="Z162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2" s="4">
        <f>('TE BE'!$AB$15+'TE BF'!$AB$15+'TE CVA'!$AB$15)*(1-CUSTOS!$M$35)</f>
        <v>122.02964542161146</v>
      </c>
      <c r="AB162" s="4">
        <f t="shared" si="14"/>
        <v>0</v>
      </c>
      <c r="AC162" s="4">
        <f>(L162-M162)*(W162+X162)+($W$186+$X$186-$W$162-$X$162)*(L162)</f>
        <v>5288.2416399999993</v>
      </c>
      <c r="AD162" s="4">
        <f t="shared" si="16"/>
        <v>0</v>
      </c>
      <c r="AE162" s="4">
        <f ca="1">(L162-M162)*(Z162+AA162)+($Z$186+$AA$186-$Z$162-$AA$162)*(L162)</f>
        <v>5167.8338796216485</v>
      </c>
      <c r="AF162" s="3" t="s">
        <v>666</v>
      </c>
    </row>
    <row r="163" spans="1:32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30</v>
      </c>
      <c r="F163" s="3" t="s">
        <v>25</v>
      </c>
      <c r="G163" s="3" t="s">
        <v>25</v>
      </c>
      <c r="H163" s="3" t="s">
        <v>25</v>
      </c>
      <c r="I163" s="6">
        <v>44531</v>
      </c>
      <c r="J163" s="4">
        <v>0</v>
      </c>
      <c r="K163" s="4">
        <v>0</v>
      </c>
      <c r="L163" s="4">
        <v>26.849</v>
      </c>
      <c r="M163" s="4">
        <v>26.849</v>
      </c>
      <c r="N163" s="4">
        <v>26.849</v>
      </c>
      <c r="O163" s="4">
        <v>26.849</v>
      </c>
      <c r="P163" s="4">
        <v>41</v>
      </c>
      <c r="Q163" s="3" t="s">
        <v>26</v>
      </c>
      <c r="R163" s="3">
        <v>0</v>
      </c>
      <c r="S163" s="3">
        <v>0</v>
      </c>
      <c r="T163" s="3">
        <v>17</v>
      </c>
      <c r="U163" s="3">
        <v>48</v>
      </c>
      <c r="V163" s="4">
        <f>IF(ISERROR(VLOOKUP($S$163,'TAR FIN'!$A$1:$O$91,15,0)),0,VLOOKUP($S$163,'TAR FIN'!$A$1:$O$91,15,0))</f>
        <v>0</v>
      </c>
      <c r="W163" s="4">
        <f>IF(ISERROR(VLOOKUP($T$163,'TAR FIN'!$A$1:$O$91,15,0)),0,VLOOKUP($T$163,'TAR FIN'!$A$1:$O$91,15,0))</f>
        <v>147.12</v>
      </c>
      <c r="X163" s="4">
        <f>IF(ISERROR(VLOOKUP($U$163,'TAR FIN'!$A$1:$O$91,15,0)),0,VLOOKUP($U$163,'TAR FIN'!$A$1:$O$91,15,0))</f>
        <v>149.55000000000001</v>
      </c>
      <c r="Y163" s="4"/>
      <c r="Z163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3" s="4">
        <f>('TE BE'!$AB$15+'TE BF'!$AB$15+'TE CVA'!$AB$15)*(1-CUSTOS!$M$35)</f>
        <v>122.02964542161146</v>
      </c>
      <c r="AB163" s="4">
        <f t="shared" si="14"/>
        <v>0</v>
      </c>
      <c r="AC163" s="4">
        <f>(L163-M163)*(W163+X163)+($W$186+$X$186-$W$163-$X$163)*(L163)</f>
        <v>5310.1952199999996</v>
      </c>
      <c r="AD163" s="4">
        <f t="shared" si="16"/>
        <v>0</v>
      </c>
      <c r="AE163" s="4">
        <f ca="1">(L163-M163)*(Z163+AA163)+($Z$186+$AA$186-$Z$163-$AA$163)*(L163)</f>
        <v>5189.287599445046</v>
      </c>
      <c r="AF163" s="3" t="s">
        <v>666</v>
      </c>
    </row>
    <row r="164" spans="1:32" ht="11.25" customHeight="1" x14ac:dyDescent="0.25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30</v>
      </c>
      <c r="F164" s="3" t="s">
        <v>25</v>
      </c>
      <c r="G164" s="3" t="s">
        <v>25</v>
      </c>
      <c r="H164" s="3" t="s">
        <v>25</v>
      </c>
      <c r="I164" s="6">
        <v>44562</v>
      </c>
      <c r="J164" s="4">
        <v>0</v>
      </c>
      <c r="K164" s="4">
        <v>0</v>
      </c>
      <c r="L164" s="4">
        <v>29.689</v>
      </c>
      <c r="M164" s="4">
        <v>29.689</v>
      </c>
      <c r="N164" s="4">
        <v>29.689</v>
      </c>
      <c r="O164" s="4">
        <v>29.689</v>
      </c>
      <c r="P164" s="4">
        <v>32</v>
      </c>
      <c r="Q164" s="3" t="s">
        <v>26</v>
      </c>
      <c r="R164" s="3">
        <v>0</v>
      </c>
      <c r="S164" s="3">
        <v>0</v>
      </c>
      <c r="T164" s="3">
        <v>17</v>
      </c>
      <c r="U164" s="3">
        <v>48</v>
      </c>
      <c r="V164" s="4">
        <f>IF(ISERROR(VLOOKUP($S$164,'TAR FIN'!$A$1:$O$91,15,0)),0,VLOOKUP($S$164,'TAR FIN'!$A$1:$O$91,15,0))</f>
        <v>0</v>
      </c>
      <c r="W164" s="4">
        <f>IF(ISERROR(VLOOKUP($T$164,'TAR FIN'!$A$1:$O$91,15,0)),0,VLOOKUP($T$164,'TAR FIN'!$A$1:$O$91,15,0))</f>
        <v>147.12</v>
      </c>
      <c r="X164" s="4">
        <f>IF(ISERROR(VLOOKUP($U$164,'TAR FIN'!$A$1:$O$91,15,0)),0,VLOOKUP($U$164,'TAR FIN'!$A$1:$O$91,15,0))</f>
        <v>149.55000000000001</v>
      </c>
      <c r="Y164" s="4"/>
      <c r="Z164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4" s="4">
        <f>('TE BE'!$AB$15+'TE BF'!$AB$15+'TE CVA'!$AB$15)*(1-CUSTOS!$M$35)</f>
        <v>122.02964542161146</v>
      </c>
      <c r="AB164" s="4">
        <f t="shared" si="14"/>
        <v>0</v>
      </c>
      <c r="AC164" s="4">
        <f>(L164-M164)*(W164+X164)+($W$186+$X$186-$W$164-$X$164)*(L164)</f>
        <v>5871.8904199999988</v>
      </c>
      <c r="AD164" s="4">
        <f t="shared" si="16"/>
        <v>0</v>
      </c>
      <c r="AE164" s="4">
        <f ca="1">(L164-M164)*(Z164+AA164)+($Z$186+$AA$186-$Z$164-$AA$164)*(L164)</f>
        <v>5738.1935841157574</v>
      </c>
      <c r="AF164" s="3" t="s">
        <v>666</v>
      </c>
    </row>
    <row r="165" spans="1:32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30</v>
      </c>
      <c r="F165" s="3" t="s">
        <v>25</v>
      </c>
      <c r="G165" s="3" t="s">
        <v>25</v>
      </c>
      <c r="H165" s="3" t="s">
        <v>25</v>
      </c>
      <c r="I165" s="6">
        <v>44593</v>
      </c>
      <c r="J165" s="4">
        <v>0</v>
      </c>
      <c r="K165" s="4">
        <v>0</v>
      </c>
      <c r="L165" s="4">
        <v>35.854999999999997</v>
      </c>
      <c r="M165" s="4">
        <v>35.854999999999997</v>
      </c>
      <c r="N165" s="4">
        <v>35.854999999999997</v>
      </c>
      <c r="O165" s="4">
        <v>35.854999999999997</v>
      </c>
      <c r="P165" s="4">
        <v>37</v>
      </c>
      <c r="Q165" s="3" t="s">
        <v>26</v>
      </c>
      <c r="R165" s="3">
        <v>0</v>
      </c>
      <c r="S165" s="3">
        <v>0</v>
      </c>
      <c r="T165" s="3">
        <v>17</v>
      </c>
      <c r="U165" s="3">
        <v>48</v>
      </c>
      <c r="V165" s="4">
        <f>IF(ISERROR(VLOOKUP($S$165,'TAR FIN'!$A$1:$O$91,15,0)),0,VLOOKUP($S$165,'TAR FIN'!$A$1:$O$91,15,0))</f>
        <v>0</v>
      </c>
      <c r="W165" s="4">
        <f>IF(ISERROR(VLOOKUP($T$165,'TAR FIN'!$A$1:$O$91,15,0)),0,VLOOKUP($T$165,'TAR FIN'!$A$1:$O$91,15,0))</f>
        <v>147.12</v>
      </c>
      <c r="X165" s="4">
        <f>IF(ISERROR(VLOOKUP($U$165,'TAR FIN'!$A$1:$O$91,15,0)),0,VLOOKUP($U$165,'TAR FIN'!$A$1:$O$91,15,0))</f>
        <v>149.55000000000001</v>
      </c>
      <c r="Y165" s="4"/>
      <c r="Z165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5" s="4">
        <f>('TE BE'!$AB$15+'TE BF'!$AB$15+'TE CVA'!$AB$15)*(1-CUSTOS!$M$35)</f>
        <v>122.02964542161146</v>
      </c>
      <c r="AB165" s="4">
        <f t="shared" si="14"/>
        <v>0</v>
      </c>
      <c r="AC165" s="4">
        <f>(L165-M165)*(W165+X165)+($W$186+$X$186-$W$165-$X$165)*(L165)</f>
        <v>7091.401899999998</v>
      </c>
      <c r="AD165" s="4">
        <f t="shared" si="16"/>
        <v>0</v>
      </c>
      <c r="AE165" s="4">
        <f ca="1">(L165-M165)*(Z165+AA165)+($Z$186+$AA$186-$Z$165-$AA$165)*(L165)</f>
        <v>6929.9380564677313</v>
      </c>
      <c r="AF165" s="3" t="s">
        <v>666</v>
      </c>
    </row>
    <row r="166" spans="1:32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30</v>
      </c>
      <c r="F166" s="3" t="s">
        <v>25</v>
      </c>
      <c r="G166" s="3" t="s">
        <v>25</v>
      </c>
      <c r="H166" s="3" t="s">
        <v>25</v>
      </c>
      <c r="I166" s="6">
        <v>44621</v>
      </c>
      <c r="J166" s="4">
        <v>0</v>
      </c>
      <c r="K166" s="4">
        <v>0</v>
      </c>
      <c r="L166" s="4">
        <v>37.210999999999999</v>
      </c>
      <c r="M166" s="4">
        <v>37.210999999999999</v>
      </c>
      <c r="N166" s="4">
        <v>37.210999999999999</v>
      </c>
      <c r="O166" s="4">
        <v>37.210999999999999</v>
      </c>
      <c r="P166" s="4">
        <v>42</v>
      </c>
      <c r="Q166" s="3" t="s">
        <v>26</v>
      </c>
      <c r="R166" s="3">
        <v>0</v>
      </c>
      <c r="S166" s="3">
        <v>0</v>
      </c>
      <c r="T166" s="3">
        <v>17</v>
      </c>
      <c r="U166" s="3">
        <v>48</v>
      </c>
      <c r="V166" s="4">
        <f>IF(ISERROR(VLOOKUP($S$166,'TAR FIN'!$A$1:$O$91,15,0)),0,VLOOKUP($S$166,'TAR FIN'!$A$1:$O$91,15,0))</f>
        <v>0</v>
      </c>
      <c r="W166" s="4">
        <f>IF(ISERROR(VLOOKUP($T$166,'TAR FIN'!$A$1:$O$91,15,0)),0,VLOOKUP($T$166,'TAR FIN'!$A$1:$O$91,15,0))</f>
        <v>147.12</v>
      </c>
      <c r="X166" s="4">
        <f>IF(ISERROR(VLOOKUP($U$166,'TAR FIN'!$A$1:$O$91,15,0)),0,VLOOKUP($U$166,'TAR FIN'!$A$1:$O$91,15,0))</f>
        <v>149.55000000000001</v>
      </c>
      <c r="Y166" s="4"/>
      <c r="Z166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6" s="4">
        <f>('TE BE'!$AB$15+'TE BF'!$AB$15+'TE CVA'!$AB$15)*(1-CUSTOS!$M$35)</f>
        <v>122.02964542161146</v>
      </c>
      <c r="AB166" s="4">
        <f t="shared" si="14"/>
        <v>0</v>
      </c>
      <c r="AC166" s="4">
        <f>(L166-M166)*(W166+X166)+($W$186+$X$186-$W$166-$X$166)*(L166)</f>
        <v>7359.5915799999984</v>
      </c>
      <c r="AD166" s="4">
        <f t="shared" si="16"/>
        <v>0</v>
      </c>
      <c r="AE166" s="4">
        <f ca="1">(L166-M166)*(Z166+AA166)+($Z$186+$AA$186-$Z$166-$AA$166)*(L166)</f>
        <v>7192.0213364724796</v>
      </c>
      <c r="AF166" s="3" t="s">
        <v>666</v>
      </c>
    </row>
    <row r="167" spans="1:32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30</v>
      </c>
      <c r="F167" s="3" t="s">
        <v>25</v>
      </c>
      <c r="G167" s="3" t="s">
        <v>25</v>
      </c>
      <c r="H167" s="3" t="s">
        <v>25</v>
      </c>
      <c r="I167" s="6">
        <v>44652</v>
      </c>
      <c r="J167" s="4">
        <v>0</v>
      </c>
      <c r="K167" s="4">
        <v>0</v>
      </c>
      <c r="L167" s="4">
        <v>36.758000000000003</v>
      </c>
      <c r="M167" s="4">
        <v>36.758000000000003</v>
      </c>
      <c r="N167" s="4">
        <v>36.758000000000003</v>
      </c>
      <c r="O167" s="4">
        <v>36.758000000000003</v>
      </c>
      <c r="P167" s="4">
        <v>65</v>
      </c>
      <c r="Q167" s="3" t="s">
        <v>26</v>
      </c>
      <c r="R167" s="3">
        <v>0</v>
      </c>
      <c r="S167" s="3">
        <v>0</v>
      </c>
      <c r="T167" s="3">
        <v>17</v>
      </c>
      <c r="U167" s="3">
        <v>48</v>
      </c>
      <c r="V167" s="4">
        <f>IF(ISERROR(VLOOKUP($S$167,'TAR FIN'!$A$1:$O$91,15,0)),0,VLOOKUP($S$167,'TAR FIN'!$A$1:$O$91,15,0))</f>
        <v>0</v>
      </c>
      <c r="W167" s="4">
        <f>IF(ISERROR(VLOOKUP($T$167,'TAR FIN'!$A$1:$O$91,15,0)),0,VLOOKUP($T$167,'TAR FIN'!$A$1:$O$91,15,0))</f>
        <v>147.12</v>
      </c>
      <c r="X167" s="4">
        <f>IF(ISERROR(VLOOKUP($U$167,'TAR FIN'!$A$1:$O$91,15,0)),0,VLOOKUP($U$167,'TAR FIN'!$A$1:$O$91,15,0))</f>
        <v>149.55000000000001</v>
      </c>
      <c r="Y167" s="4"/>
      <c r="Z167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7" s="4">
        <f>('TE BE'!$AB$15+'TE BF'!$AB$15+'TE CVA'!$AB$15)*(1-CUSTOS!$M$35)</f>
        <v>122.02964542161146</v>
      </c>
      <c r="AB167" s="4">
        <f t="shared" si="14"/>
        <v>0</v>
      </c>
      <c r="AC167" s="4">
        <f>(L167-M167)*(W167+X167)+($W$186+$X$186-$W$167-$X$167)*(L167)</f>
        <v>7269.9972399999997</v>
      </c>
      <c r="AD167" s="4">
        <f t="shared" si="16"/>
        <v>0</v>
      </c>
      <c r="AE167" s="4">
        <f ca="1">(L167-M167)*(Z167+AA167)+($Z$186+$AA$186-$Z$167-$AA$167)*(L167)</f>
        <v>7104.4669663823979</v>
      </c>
      <c r="AF167" s="3" t="s">
        <v>666</v>
      </c>
    </row>
    <row r="168" spans="1:32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30</v>
      </c>
      <c r="F168" s="3" t="s">
        <v>25</v>
      </c>
      <c r="G168" s="3" t="s">
        <v>25</v>
      </c>
      <c r="H168" s="3" t="s">
        <v>25</v>
      </c>
      <c r="I168" s="6">
        <v>44682</v>
      </c>
      <c r="J168" s="4">
        <v>0</v>
      </c>
      <c r="K168" s="4">
        <v>0</v>
      </c>
      <c r="L168" s="4">
        <v>36.078000000000003</v>
      </c>
      <c r="M168" s="4">
        <v>36.078000000000003</v>
      </c>
      <c r="N168" s="4">
        <v>36.078000000000003</v>
      </c>
      <c r="O168" s="4">
        <v>36.078000000000003</v>
      </c>
      <c r="P168" s="4">
        <v>88</v>
      </c>
      <c r="Q168" s="3" t="s">
        <v>26</v>
      </c>
      <c r="R168" s="3">
        <v>0</v>
      </c>
      <c r="S168" s="3">
        <v>0</v>
      </c>
      <c r="T168" s="3">
        <v>17</v>
      </c>
      <c r="U168" s="3">
        <v>48</v>
      </c>
      <c r="V168" s="4">
        <f>IF(ISERROR(VLOOKUP($S$168,'TAR FIN'!$A$1:$O$91,15,0)),0,VLOOKUP($S$168,'TAR FIN'!$A$1:$O$91,15,0))</f>
        <v>0</v>
      </c>
      <c r="W168" s="4">
        <f>IF(ISERROR(VLOOKUP($T$168,'TAR FIN'!$A$1:$O$91,15,0)),0,VLOOKUP($T$168,'TAR FIN'!$A$1:$O$91,15,0))</f>
        <v>147.12</v>
      </c>
      <c r="X168" s="4">
        <f>IF(ISERROR(VLOOKUP($U$168,'TAR FIN'!$A$1:$O$91,15,0)),0,VLOOKUP($U$168,'TAR FIN'!$A$1:$O$91,15,0))</f>
        <v>149.55000000000001</v>
      </c>
      <c r="Y168" s="4"/>
      <c r="Z168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8" s="4">
        <f>('TE BE'!$AB$15+'TE BF'!$AB$15+'TE CVA'!$AB$15)*(1-CUSTOS!$M$35)</f>
        <v>122.02964542161146</v>
      </c>
      <c r="AB168" s="4">
        <f t="shared" si="14"/>
        <v>0</v>
      </c>
      <c r="AC168" s="4">
        <f>(L168-M168)*(W168+X168)+($W$186+$X$186-$W$168-$X$168)*(L168)</f>
        <v>7135.50684</v>
      </c>
      <c r="AD168" s="4">
        <f t="shared" si="16"/>
        <v>0</v>
      </c>
      <c r="AE168" s="4">
        <f ca="1">(L168-M168)*(Z168+AA168)+($Z$186+$AA$186-$Z$168-$AA$168)*(L168)</f>
        <v>6973.0387728696933</v>
      </c>
      <c r="AF168" s="3" t="s">
        <v>666</v>
      </c>
    </row>
    <row r="169" spans="1:32" ht="11.25" customHeight="1" x14ac:dyDescent="0.25">
      <c r="A169" s="3" t="s">
        <v>28</v>
      </c>
      <c r="B169" s="3" t="s">
        <v>22</v>
      </c>
      <c r="C169" s="3" t="s">
        <v>23</v>
      </c>
      <c r="D169" s="3" t="s">
        <v>24</v>
      </c>
      <c r="E169" s="3" t="s">
        <v>30</v>
      </c>
      <c r="F169" s="3" t="s">
        <v>25</v>
      </c>
      <c r="G169" s="3" t="s">
        <v>25</v>
      </c>
      <c r="H169" s="3" t="s">
        <v>25</v>
      </c>
      <c r="I169" s="6">
        <v>44682</v>
      </c>
      <c r="J169" s="4">
        <v>0</v>
      </c>
      <c r="K169" s="4">
        <v>0</v>
      </c>
      <c r="L169" s="4">
        <v>7.0000000000000007E-2</v>
      </c>
      <c r="M169" s="4">
        <v>4.2000000000000003E-2</v>
      </c>
      <c r="N169" s="4">
        <v>7.0000000000000007E-2</v>
      </c>
      <c r="O169" s="4">
        <v>4.2000000000000003E-2</v>
      </c>
      <c r="P169" s="4">
        <v>0</v>
      </c>
      <c r="Q169" s="3" t="s">
        <v>26</v>
      </c>
      <c r="R169" s="3">
        <v>0</v>
      </c>
      <c r="S169" s="3">
        <v>0</v>
      </c>
      <c r="T169" s="3">
        <v>17</v>
      </c>
      <c r="U169" s="3">
        <v>48</v>
      </c>
      <c r="V169" s="4">
        <f>IF(ISERROR(VLOOKUP($S$169,'TAR FIN'!$A$1:$O$91,15,0)),0,VLOOKUP($S$169,'TAR FIN'!$A$1:$O$91,15,0))</f>
        <v>0</v>
      </c>
      <c r="W169" s="4">
        <f>IF(ISERROR(VLOOKUP($T$169,'TAR FIN'!$A$1:$O$91,15,0)),0,VLOOKUP($T$169,'TAR FIN'!$A$1:$O$91,15,0))</f>
        <v>147.12</v>
      </c>
      <c r="X169" s="4">
        <f>IF(ISERROR(VLOOKUP($U$169,'TAR FIN'!$A$1:$O$91,15,0)),0,VLOOKUP($U$169,'TAR FIN'!$A$1:$O$91,15,0))</f>
        <v>149.55000000000001</v>
      </c>
      <c r="Y169" s="4"/>
      <c r="Z169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69" s="4">
        <f>('TE BE'!$AB$15+'TE BF'!$AB$15+'TE CVA'!$AB$15)*(1-CUSTOS!$M$35)</f>
        <v>122.02964542161146</v>
      </c>
      <c r="AB169" s="4">
        <f t="shared" si="14"/>
        <v>0</v>
      </c>
      <c r="AC169" s="4">
        <f>(L169-M169)*(W169+X169)+($W$186+$X$186-$W$169-$X$169)*(L169)</f>
        <v>22.151360000000004</v>
      </c>
      <c r="AD169" s="4">
        <f t="shared" si="16"/>
        <v>0</v>
      </c>
      <c r="AE169" s="4">
        <f ca="1">(L169-M169)*(Z169+AA169)+($Z$186+$AA$186-$Z$169-$AA$169)*(L169)</f>
        <v>21.646996578563268</v>
      </c>
      <c r="AF169" s="3" t="s">
        <v>666</v>
      </c>
    </row>
    <row r="170" spans="1:32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30</v>
      </c>
      <c r="F170" s="3" t="s">
        <v>25</v>
      </c>
      <c r="G170" s="3" t="s">
        <v>25</v>
      </c>
      <c r="H170" s="3" t="s">
        <v>25</v>
      </c>
      <c r="I170" s="6">
        <v>44713</v>
      </c>
      <c r="J170" s="4">
        <v>0</v>
      </c>
      <c r="K170" s="4">
        <v>0</v>
      </c>
      <c r="L170" s="4">
        <v>32.643999999999998</v>
      </c>
      <c r="M170" s="4">
        <v>32.643999999999998</v>
      </c>
      <c r="N170" s="4">
        <v>32.643999999999998</v>
      </c>
      <c r="O170" s="4">
        <v>32.643999999999998</v>
      </c>
      <c r="P170" s="4">
        <v>62</v>
      </c>
      <c r="Q170" s="3" t="s">
        <v>26</v>
      </c>
      <c r="R170" s="3">
        <v>0</v>
      </c>
      <c r="S170" s="3">
        <v>0</v>
      </c>
      <c r="T170" s="3">
        <v>17</v>
      </c>
      <c r="U170" s="3">
        <v>48</v>
      </c>
      <c r="V170" s="4">
        <f>IF(ISERROR(VLOOKUP($S$170,'TAR FIN'!$A$1:$O$91,15,0)),0,VLOOKUP($S$170,'TAR FIN'!$A$1:$O$91,15,0))</f>
        <v>0</v>
      </c>
      <c r="W170" s="4">
        <f>IF(ISERROR(VLOOKUP($T$170,'TAR FIN'!$A$1:$O$91,15,0)),0,VLOOKUP($T$170,'TAR FIN'!$A$1:$O$91,15,0))</f>
        <v>147.12</v>
      </c>
      <c r="X170" s="4">
        <f>IF(ISERROR(VLOOKUP($U$170,'TAR FIN'!$A$1:$O$91,15,0)),0,VLOOKUP($U$170,'TAR FIN'!$A$1:$O$91,15,0))</f>
        <v>149.55000000000001</v>
      </c>
      <c r="Y170" s="4"/>
      <c r="Z170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70" s="4">
        <f>('TE BE'!$AB$15+'TE BF'!$AB$15+'TE CVA'!$AB$15)*(1-CUSTOS!$M$35)</f>
        <v>122.02964542161146</v>
      </c>
      <c r="AB170" s="4">
        <f t="shared" si="14"/>
        <v>0</v>
      </c>
      <c r="AC170" s="4">
        <f>(L170-M170)*(W170+X170)+($W$186+$X$186-$W$170-$X$170)*(L170)</f>
        <v>6456.3303199999991</v>
      </c>
      <c r="AD170" s="4">
        <f t="shared" si="16"/>
        <v>0</v>
      </c>
      <c r="AE170" s="4">
        <f ca="1">(L170-M170)*(Z170+AA170)+($Z$186+$AA$186-$Z$170-$AA$170)*(L170)</f>
        <v>6309.3263956305291</v>
      </c>
      <c r="AF170" s="3" t="s">
        <v>666</v>
      </c>
    </row>
    <row r="171" spans="1:32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30</v>
      </c>
      <c r="F171" s="3" t="s">
        <v>25</v>
      </c>
      <c r="G171" s="3" t="s">
        <v>25</v>
      </c>
      <c r="H171" s="3" t="s">
        <v>25</v>
      </c>
      <c r="I171" s="6">
        <v>44743</v>
      </c>
      <c r="J171" s="4">
        <v>0</v>
      </c>
      <c r="K171" s="4">
        <v>0</v>
      </c>
      <c r="L171" s="4">
        <v>32.027999999999999</v>
      </c>
      <c r="M171" s="4">
        <v>32.027999999999999</v>
      </c>
      <c r="N171" s="4">
        <v>32.027999999999999</v>
      </c>
      <c r="O171" s="4">
        <v>32.027999999999999</v>
      </c>
      <c r="P171" s="4">
        <v>66</v>
      </c>
      <c r="Q171" s="3" t="s">
        <v>26</v>
      </c>
      <c r="R171" s="3">
        <v>0</v>
      </c>
      <c r="S171" s="3">
        <v>0</v>
      </c>
      <c r="T171" s="3">
        <v>17</v>
      </c>
      <c r="U171" s="3">
        <v>48</v>
      </c>
      <c r="V171" s="4">
        <f>IF(ISERROR(VLOOKUP($S$171,'TAR FIN'!$A$1:$O$91,15,0)),0,VLOOKUP($S$171,'TAR FIN'!$A$1:$O$91,15,0))</f>
        <v>0</v>
      </c>
      <c r="W171" s="4">
        <f>IF(ISERROR(VLOOKUP($T$171,'TAR FIN'!$A$1:$O$91,15,0)),0,VLOOKUP($T$171,'TAR FIN'!$A$1:$O$91,15,0))</f>
        <v>147.12</v>
      </c>
      <c r="X171" s="4">
        <f>IF(ISERROR(VLOOKUP($U$171,'TAR FIN'!$A$1:$O$91,15,0)),0,VLOOKUP($U$171,'TAR FIN'!$A$1:$O$91,15,0))</f>
        <v>149.55000000000001</v>
      </c>
      <c r="Y171" s="4"/>
      <c r="Z171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71" s="4">
        <f>('TE BE'!$AB$15+'TE BF'!$AB$15+'TE CVA'!$AB$15)*(1-CUSTOS!$M$35)</f>
        <v>122.02964542161146</v>
      </c>
      <c r="AB171" s="4">
        <f t="shared" si="14"/>
        <v>0</v>
      </c>
      <c r="AC171" s="4">
        <f>(L171-M171)*(W171+X171)+($W$186+$X$186-$W$171-$X$171)*(L171)</f>
        <v>6334.4978399999991</v>
      </c>
      <c r="AD171" s="4">
        <f t="shared" si="16"/>
        <v>0</v>
      </c>
      <c r="AE171" s="4">
        <f ca="1">(L171-M171)*(Z171+AA171)+($Z$186+$AA$186-$Z$171-$AA$171)*(L171)</f>
        <v>6190.2679144484309</v>
      </c>
      <c r="AF171" s="3" t="s">
        <v>666</v>
      </c>
    </row>
    <row r="172" spans="1:32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30</v>
      </c>
      <c r="F172" s="3" t="s">
        <v>25</v>
      </c>
      <c r="G172" s="3" t="s">
        <v>25</v>
      </c>
      <c r="H172" s="3" t="s">
        <v>25</v>
      </c>
      <c r="I172" s="6">
        <v>44774</v>
      </c>
      <c r="J172" s="4">
        <v>0</v>
      </c>
      <c r="K172" s="4">
        <v>0</v>
      </c>
      <c r="L172" s="4">
        <v>36.630000000000003</v>
      </c>
      <c r="M172" s="4">
        <v>36.630000000000003</v>
      </c>
      <c r="N172" s="4">
        <v>36.630000000000003</v>
      </c>
      <c r="O172" s="4">
        <v>36.630000000000003</v>
      </c>
      <c r="P172" s="4">
        <v>60</v>
      </c>
      <c r="Q172" s="3" t="s">
        <v>26</v>
      </c>
      <c r="R172" s="3">
        <v>0</v>
      </c>
      <c r="S172" s="3">
        <v>0</v>
      </c>
      <c r="T172" s="3">
        <v>17</v>
      </c>
      <c r="U172" s="3">
        <v>48</v>
      </c>
      <c r="V172" s="4">
        <f>IF(ISERROR(VLOOKUP($S$172,'TAR FIN'!$A$1:$O$91,15,0)),0,VLOOKUP($S$172,'TAR FIN'!$A$1:$O$91,15,0))</f>
        <v>0</v>
      </c>
      <c r="W172" s="4">
        <f>IF(ISERROR(VLOOKUP($T$172,'TAR FIN'!$A$1:$O$91,15,0)),0,VLOOKUP($T$172,'TAR FIN'!$A$1:$O$91,15,0))</f>
        <v>147.12</v>
      </c>
      <c r="X172" s="4">
        <f>IF(ISERROR(VLOOKUP($U$172,'TAR FIN'!$A$1:$O$91,15,0)),0,VLOOKUP($U$172,'TAR FIN'!$A$1:$O$91,15,0))</f>
        <v>149.55000000000001</v>
      </c>
      <c r="Y172" s="4"/>
      <c r="Z172" s="4">
        <f ca="1">('TUSD BE'!$AM$25+'TUSD BF'!$AM$25+'TUSD CVA'!$AM$25-('TUSD BE'!$P$25+'TUSD BF'!$P$25+'TUSD CVA'!$P$25)-('TUSD BE'!$Q$25+'TUSD BF'!$Q$25+'TUSD CVA'!$Q$25)-('TUSD BE'!$R$25+'TUSD BF'!$R$25+'TUSD CVA'!$R$25))*(1-CUSTOS!$M$35)</f>
        <v>167.88548732700369</v>
      </c>
      <c r="AA172" s="4">
        <f>('TE BE'!$AB$15+'TE BF'!$AB$15+'TE CVA'!$AB$15)*(1-CUSTOS!$M$35)</f>
        <v>122.02964542161146</v>
      </c>
      <c r="AB172" s="4">
        <f t="shared" si="14"/>
        <v>0</v>
      </c>
      <c r="AC172" s="4">
        <f>(L172-M172)*(W172+X172)+($W$186+$X$186-$W$172-$X$172)*(L172)</f>
        <v>7244.6813999999995</v>
      </c>
      <c r="AD172" s="4">
        <f t="shared" si="16"/>
        <v>0</v>
      </c>
      <c r="AE172" s="4">
        <f ca="1">(L172-M172)*(Z172+AA172)+($Z$186+$AA$186-$Z$172-$AA$172)*(L172)</f>
        <v>7079.7275417211831</v>
      </c>
      <c r="AF172" s="3" t="s">
        <v>666</v>
      </c>
    </row>
    <row r="173" spans="1:32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31</v>
      </c>
      <c r="F173" s="3" t="s">
        <v>25</v>
      </c>
      <c r="G173" s="3" t="s">
        <v>25</v>
      </c>
      <c r="H173" s="3" t="s">
        <v>25</v>
      </c>
      <c r="I173" s="6">
        <v>44440</v>
      </c>
      <c r="J173" s="4">
        <v>0</v>
      </c>
      <c r="K173" s="4">
        <v>0</v>
      </c>
      <c r="L173" s="4">
        <v>30.728999999999999</v>
      </c>
      <c r="M173" s="4">
        <v>30.728999999999999</v>
      </c>
      <c r="N173" s="4">
        <v>30.728999999999999</v>
      </c>
      <c r="O173" s="4">
        <v>30.728999999999999</v>
      </c>
      <c r="P173" s="4">
        <v>178</v>
      </c>
      <c r="Q173" s="3" t="s">
        <v>26</v>
      </c>
      <c r="R173" s="3">
        <v>0</v>
      </c>
      <c r="S173" s="3">
        <v>0</v>
      </c>
      <c r="T173" s="3">
        <v>18</v>
      </c>
      <c r="U173" s="3">
        <v>55</v>
      </c>
      <c r="V173" s="4">
        <f>IF(ISERROR(VLOOKUP($S$173,'TAR FIN'!$A$1:$O$91,15,0)),0,VLOOKUP($S$173,'TAR FIN'!$A$1:$O$91,15,0))</f>
        <v>0</v>
      </c>
      <c r="W173" s="4">
        <f>IF(ISERROR(VLOOKUP($T$173,'TAR FIN'!$A$1:$O$91,15,0)),0,VLOOKUP($T$173,'TAR FIN'!$A$1:$O$91,15,0))</f>
        <v>220.68</v>
      </c>
      <c r="X173" s="4">
        <f>IF(ISERROR(VLOOKUP($U$173,'TAR FIN'!$A$1:$O$91,15,0)),0,VLOOKUP($U$173,'TAR FIN'!$A$1:$O$91,15,0))</f>
        <v>224.33</v>
      </c>
      <c r="Y173" s="4"/>
      <c r="Z173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3" s="4">
        <f>('TE BE'!$AB$16+'TE BF'!$AB$16+'TE CVA'!$AB$16)*(1-CUSTOS!$M$36)</f>
        <v>183.04446813241722</v>
      </c>
      <c r="AB173" s="4">
        <f t="shared" si="14"/>
        <v>0</v>
      </c>
      <c r="AC173" s="4">
        <f>(L173-M173)*(W173+X173)+($W$186+$X$186-$W$173-$X$173)*(L173)</f>
        <v>1519.241759999999</v>
      </c>
      <c r="AD173" s="4">
        <f t="shared" si="16"/>
        <v>0</v>
      </c>
      <c r="AE173" s="4">
        <f ca="1">(L173-M173)*(Z173+AA173)+($Z$186+$AA$186-$Z$173-$AA$173)*(L173)</f>
        <v>1484.8003523720317</v>
      </c>
      <c r="AF173" s="3" t="s">
        <v>666</v>
      </c>
    </row>
    <row r="174" spans="1:32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31</v>
      </c>
      <c r="F174" s="3" t="s">
        <v>25</v>
      </c>
      <c r="G174" s="3" t="s">
        <v>25</v>
      </c>
      <c r="H174" s="3" t="s">
        <v>25</v>
      </c>
      <c r="I174" s="6">
        <v>44470</v>
      </c>
      <c r="J174" s="4">
        <v>0</v>
      </c>
      <c r="K174" s="4">
        <v>0</v>
      </c>
      <c r="L174" s="4">
        <v>31.2</v>
      </c>
      <c r="M174" s="4">
        <v>31.2</v>
      </c>
      <c r="N174" s="4">
        <v>31.2</v>
      </c>
      <c r="O174" s="4">
        <v>31.2</v>
      </c>
      <c r="P174" s="4">
        <v>172</v>
      </c>
      <c r="Q174" s="3" t="s">
        <v>26</v>
      </c>
      <c r="R174" s="3">
        <v>0</v>
      </c>
      <c r="S174" s="3">
        <v>0</v>
      </c>
      <c r="T174" s="3">
        <v>18</v>
      </c>
      <c r="U174" s="3">
        <v>55</v>
      </c>
      <c r="V174" s="4">
        <f>IF(ISERROR(VLOOKUP($S$174,'TAR FIN'!$A$1:$O$91,15,0)),0,VLOOKUP($S$174,'TAR FIN'!$A$1:$O$91,15,0))</f>
        <v>0</v>
      </c>
      <c r="W174" s="4">
        <f>IF(ISERROR(VLOOKUP($T$174,'TAR FIN'!$A$1:$O$91,15,0)),0,VLOOKUP($T$174,'TAR FIN'!$A$1:$O$91,15,0))</f>
        <v>220.68</v>
      </c>
      <c r="X174" s="4">
        <f>IF(ISERROR(VLOOKUP($U$174,'TAR FIN'!$A$1:$O$91,15,0)),0,VLOOKUP($U$174,'TAR FIN'!$A$1:$O$91,15,0))</f>
        <v>224.33</v>
      </c>
      <c r="Y174" s="4"/>
      <c r="Z174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4" s="4">
        <f>('TE BE'!$AB$16+'TE BF'!$AB$16+'TE CVA'!$AB$16)*(1-CUSTOS!$M$36)</f>
        <v>183.04446813241722</v>
      </c>
      <c r="AB174" s="4">
        <f t="shared" si="14"/>
        <v>0</v>
      </c>
      <c r="AC174" s="4">
        <f>(L174-M174)*(W174+X174)+($W$186+$X$186-$W$174-$X$174)*(L174)</f>
        <v>1542.5279999999991</v>
      </c>
      <c r="AD174" s="4">
        <f t="shared" si="16"/>
        <v>0</v>
      </c>
      <c r="AE174" s="4">
        <f ca="1">(L174-M174)*(Z174+AA174)+($Z$186+$AA$186-$Z$174-$AA$174)*(L174)</f>
        <v>1507.558690292798</v>
      </c>
      <c r="AF174" s="3" t="s">
        <v>666</v>
      </c>
    </row>
    <row r="175" spans="1:32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31</v>
      </c>
      <c r="F175" s="3" t="s">
        <v>25</v>
      </c>
      <c r="G175" s="3" t="s">
        <v>25</v>
      </c>
      <c r="H175" s="3" t="s">
        <v>25</v>
      </c>
      <c r="I175" s="6">
        <v>44501</v>
      </c>
      <c r="J175" s="4">
        <v>0</v>
      </c>
      <c r="K175" s="4">
        <v>0</v>
      </c>
      <c r="L175" s="4">
        <v>32.558</v>
      </c>
      <c r="M175" s="4">
        <v>32.558</v>
      </c>
      <c r="N175" s="4">
        <v>32.558</v>
      </c>
      <c r="O175" s="4">
        <v>32.558</v>
      </c>
      <c r="P175" s="4">
        <v>175</v>
      </c>
      <c r="Q175" s="3" t="s">
        <v>26</v>
      </c>
      <c r="R175" s="3">
        <v>0</v>
      </c>
      <c r="S175" s="3">
        <v>0</v>
      </c>
      <c r="T175" s="3">
        <v>18</v>
      </c>
      <c r="U175" s="3">
        <v>55</v>
      </c>
      <c r="V175" s="4">
        <f>IF(ISERROR(VLOOKUP($S$175,'TAR FIN'!$A$1:$O$91,15,0)),0,VLOOKUP($S$175,'TAR FIN'!$A$1:$O$91,15,0))</f>
        <v>0</v>
      </c>
      <c r="W175" s="4">
        <f>IF(ISERROR(VLOOKUP($T$175,'TAR FIN'!$A$1:$O$91,15,0)),0,VLOOKUP($T$175,'TAR FIN'!$A$1:$O$91,15,0))</f>
        <v>220.68</v>
      </c>
      <c r="X175" s="4">
        <f>IF(ISERROR(VLOOKUP($U$175,'TAR FIN'!$A$1:$O$91,15,0)),0,VLOOKUP($U$175,'TAR FIN'!$A$1:$O$91,15,0))</f>
        <v>224.33</v>
      </c>
      <c r="Y175" s="4"/>
      <c r="Z175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5" s="4">
        <f>('TE BE'!$AB$16+'TE BF'!$AB$16+'TE CVA'!$AB$16)*(1-CUSTOS!$M$36)</f>
        <v>183.04446813241722</v>
      </c>
      <c r="AB175" s="4">
        <f t="shared" si="14"/>
        <v>0</v>
      </c>
      <c r="AC175" s="4">
        <f>(L175-M175)*(W175+X175)+($W$186+$X$186-$W$175-$X$175)*(L175)</f>
        <v>1609.6675199999991</v>
      </c>
      <c r="AD175" s="4">
        <f t="shared" si="16"/>
        <v>0</v>
      </c>
      <c r="AE175" s="4">
        <f ca="1">(L175-M175)*(Z175+AA175)+($Z$186+$AA$186-$Z$175-$AA$175)*(L175)</f>
        <v>1573.1761486715679</v>
      </c>
      <c r="AF175" s="3" t="s">
        <v>666</v>
      </c>
    </row>
    <row r="176" spans="1:32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31</v>
      </c>
      <c r="F176" s="3" t="s">
        <v>25</v>
      </c>
      <c r="G176" s="3" t="s">
        <v>25</v>
      </c>
      <c r="H176" s="3" t="s">
        <v>25</v>
      </c>
      <c r="I176" s="6">
        <v>44531</v>
      </c>
      <c r="J176" s="4">
        <v>0</v>
      </c>
      <c r="K176" s="4">
        <v>0</v>
      </c>
      <c r="L176" s="4">
        <v>33.174999999999997</v>
      </c>
      <c r="M176" s="4">
        <v>33.174999999999997</v>
      </c>
      <c r="N176" s="4">
        <v>33.174999999999997</v>
      </c>
      <c r="O176" s="4">
        <v>33.174999999999997</v>
      </c>
      <c r="P176" s="4">
        <v>170</v>
      </c>
      <c r="Q176" s="3" t="s">
        <v>26</v>
      </c>
      <c r="R176" s="3">
        <v>0</v>
      </c>
      <c r="S176" s="3">
        <v>0</v>
      </c>
      <c r="T176" s="3">
        <v>18</v>
      </c>
      <c r="U176" s="3">
        <v>55</v>
      </c>
      <c r="V176" s="4">
        <f>IF(ISERROR(VLOOKUP($S$176,'TAR FIN'!$A$1:$O$91,15,0)),0,VLOOKUP($S$176,'TAR FIN'!$A$1:$O$91,15,0))</f>
        <v>0</v>
      </c>
      <c r="W176" s="4">
        <f>IF(ISERROR(VLOOKUP($T$176,'TAR FIN'!$A$1:$O$91,15,0)),0,VLOOKUP($T$176,'TAR FIN'!$A$1:$O$91,15,0))</f>
        <v>220.68</v>
      </c>
      <c r="X176" s="4">
        <f>IF(ISERROR(VLOOKUP($U$176,'TAR FIN'!$A$1:$O$91,15,0)),0,VLOOKUP($U$176,'TAR FIN'!$A$1:$O$91,15,0))</f>
        <v>224.33</v>
      </c>
      <c r="Y176" s="4"/>
      <c r="Z176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6" s="4">
        <f>('TE BE'!$AB$16+'TE BF'!$AB$16+'TE CVA'!$AB$16)*(1-CUSTOS!$M$36)</f>
        <v>183.04446813241722</v>
      </c>
      <c r="AB176" s="4">
        <f t="shared" si="14"/>
        <v>0</v>
      </c>
      <c r="AC176" s="4">
        <f>(L176-M176)*(W176+X176)+($W$186+$X$186-$W$176-$X$176)*(L176)</f>
        <v>1640.1719999999989</v>
      </c>
      <c r="AD176" s="4">
        <f t="shared" si="16"/>
        <v>0</v>
      </c>
      <c r="AE176" s="4">
        <f ca="1">(L176-M176)*(Z176+AA176)+($Z$186+$AA$186-$Z$176-$AA$176)*(L176)</f>
        <v>1602.9890881558836</v>
      </c>
      <c r="AF176" s="3" t="s">
        <v>666</v>
      </c>
    </row>
    <row r="177" spans="1:32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31</v>
      </c>
      <c r="F177" s="3" t="s">
        <v>25</v>
      </c>
      <c r="G177" s="3" t="s">
        <v>25</v>
      </c>
      <c r="H177" s="3" t="s">
        <v>25</v>
      </c>
      <c r="I177" s="6">
        <v>44562</v>
      </c>
      <c r="J177" s="4">
        <v>0</v>
      </c>
      <c r="K177" s="4">
        <v>0</v>
      </c>
      <c r="L177" s="4">
        <v>40.127000000000002</v>
      </c>
      <c r="M177" s="4">
        <v>40.127000000000002</v>
      </c>
      <c r="N177" s="4">
        <v>40.127000000000002</v>
      </c>
      <c r="O177" s="4">
        <v>40.127000000000002</v>
      </c>
      <c r="P177" s="4">
        <v>154</v>
      </c>
      <c r="Q177" s="3" t="s">
        <v>26</v>
      </c>
      <c r="R177" s="3">
        <v>0</v>
      </c>
      <c r="S177" s="3">
        <v>0</v>
      </c>
      <c r="T177" s="3">
        <v>18</v>
      </c>
      <c r="U177" s="3">
        <v>55</v>
      </c>
      <c r="V177" s="4">
        <f>IF(ISERROR(VLOOKUP($S$177,'TAR FIN'!$A$1:$O$91,15,0)),0,VLOOKUP($S$177,'TAR FIN'!$A$1:$O$91,15,0))</f>
        <v>0</v>
      </c>
      <c r="W177" s="4">
        <f>IF(ISERROR(VLOOKUP($T$177,'TAR FIN'!$A$1:$O$91,15,0)),0,VLOOKUP($T$177,'TAR FIN'!$A$1:$O$91,15,0))</f>
        <v>220.68</v>
      </c>
      <c r="X177" s="4">
        <f>IF(ISERROR(VLOOKUP($U$177,'TAR FIN'!$A$1:$O$91,15,0)),0,VLOOKUP($U$177,'TAR FIN'!$A$1:$O$91,15,0))</f>
        <v>224.33</v>
      </c>
      <c r="Y177" s="4"/>
      <c r="Z177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7" s="4">
        <f>('TE BE'!$AB$16+'TE BF'!$AB$16+'TE CVA'!$AB$16)*(1-CUSTOS!$M$36)</f>
        <v>183.04446813241722</v>
      </c>
      <c r="AB177" s="4">
        <f t="shared" si="14"/>
        <v>0</v>
      </c>
      <c r="AC177" s="4">
        <f>(L177-M177)*(W177+X177)+($W$186+$X$186-$W$177-$X$177)*(L177)</f>
        <v>1983.8788799999988</v>
      </c>
      <c r="AD177" s="4">
        <f t="shared" si="16"/>
        <v>0</v>
      </c>
      <c r="AE177" s="4">
        <f ca="1">(L177-M177)*(Z177+AA177)+($Z$186+$AA$186-$Z$177-$AA$177)*(L177)</f>
        <v>1938.9040886339458</v>
      </c>
      <c r="AF177" s="3" t="s">
        <v>666</v>
      </c>
    </row>
    <row r="178" spans="1:32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31</v>
      </c>
      <c r="F178" s="3" t="s">
        <v>25</v>
      </c>
      <c r="G178" s="3" t="s">
        <v>25</v>
      </c>
      <c r="H178" s="3" t="s">
        <v>25</v>
      </c>
      <c r="I178" s="6">
        <v>44593</v>
      </c>
      <c r="J178" s="4">
        <v>0</v>
      </c>
      <c r="K178" s="4">
        <v>0</v>
      </c>
      <c r="L178" s="4">
        <v>48.387</v>
      </c>
      <c r="M178" s="4">
        <v>48.387</v>
      </c>
      <c r="N178" s="4">
        <v>48.387</v>
      </c>
      <c r="O178" s="4">
        <v>48.387</v>
      </c>
      <c r="P178" s="4">
        <v>172</v>
      </c>
      <c r="Q178" s="3" t="s">
        <v>26</v>
      </c>
      <c r="R178" s="3">
        <v>0</v>
      </c>
      <c r="S178" s="3">
        <v>0</v>
      </c>
      <c r="T178" s="3">
        <v>18</v>
      </c>
      <c r="U178" s="3">
        <v>55</v>
      </c>
      <c r="V178" s="4">
        <f>IF(ISERROR(VLOOKUP($S$178,'TAR FIN'!$A$1:$O$91,15,0)),0,VLOOKUP($S$178,'TAR FIN'!$A$1:$O$91,15,0))</f>
        <v>0</v>
      </c>
      <c r="W178" s="4">
        <f>IF(ISERROR(VLOOKUP($T$178,'TAR FIN'!$A$1:$O$91,15,0)),0,VLOOKUP($T$178,'TAR FIN'!$A$1:$O$91,15,0))</f>
        <v>220.68</v>
      </c>
      <c r="X178" s="4">
        <f>IF(ISERROR(VLOOKUP($U$178,'TAR FIN'!$A$1:$O$91,15,0)),0,VLOOKUP($U$178,'TAR FIN'!$A$1:$O$91,15,0))</f>
        <v>224.33</v>
      </c>
      <c r="Y178" s="4"/>
      <c r="Z178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8" s="4">
        <f>('TE BE'!$AB$16+'TE BF'!$AB$16+'TE CVA'!$AB$16)*(1-CUSTOS!$M$36)</f>
        <v>183.04446813241722</v>
      </c>
      <c r="AB178" s="4">
        <f t="shared" si="14"/>
        <v>0</v>
      </c>
      <c r="AC178" s="4">
        <f>(L178-M178)*(W178+X178)+($W$186+$X$186-$W$178-$X$178)*(L178)</f>
        <v>2392.2532799999985</v>
      </c>
      <c r="AD178" s="4">
        <f t="shared" si="16"/>
        <v>0</v>
      </c>
      <c r="AE178" s="4">
        <f ca="1">(L178-M178)*(Z178+AA178)+($Z$186+$AA$186-$Z$178-$AA$178)*(L178)</f>
        <v>2338.0205880512058</v>
      </c>
      <c r="AF178" s="3" t="s">
        <v>666</v>
      </c>
    </row>
    <row r="179" spans="1:32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31</v>
      </c>
      <c r="F179" s="3" t="s">
        <v>25</v>
      </c>
      <c r="G179" s="3" t="s">
        <v>25</v>
      </c>
      <c r="H179" s="3" t="s">
        <v>25</v>
      </c>
      <c r="I179" s="6">
        <v>44621</v>
      </c>
      <c r="J179" s="4">
        <v>0</v>
      </c>
      <c r="K179" s="4">
        <v>0</v>
      </c>
      <c r="L179" s="4">
        <v>48.087000000000003</v>
      </c>
      <c r="M179" s="4">
        <v>48.087000000000003</v>
      </c>
      <c r="N179" s="4">
        <v>48.087000000000003</v>
      </c>
      <c r="O179" s="4">
        <v>48.087000000000003</v>
      </c>
      <c r="P179" s="4">
        <v>204</v>
      </c>
      <c r="Q179" s="3" t="s">
        <v>26</v>
      </c>
      <c r="R179" s="3">
        <v>0</v>
      </c>
      <c r="S179" s="3">
        <v>0</v>
      </c>
      <c r="T179" s="3">
        <v>18</v>
      </c>
      <c r="U179" s="3">
        <v>55</v>
      </c>
      <c r="V179" s="4">
        <f>IF(ISERROR(VLOOKUP($S$179,'TAR FIN'!$A$1:$O$91,15,0)),0,VLOOKUP($S$179,'TAR FIN'!$A$1:$O$91,15,0))</f>
        <v>0</v>
      </c>
      <c r="W179" s="4">
        <f>IF(ISERROR(VLOOKUP($T$179,'TAR FIN'!$A$1:$O$91,15,0)),0,VLOOKUP($T$179,'TAR FIN'!$A$1:$O$91,15,0))</f>
        <v>220.68</v>
      </c>
      <c r="X179" s="4">
        <f>IF(ISERROR(VLOOKUP($U$179,'TAR FIN'!$A$1:$O$91,15,0)),0,VLOOKUP($U$179,'TAR FIN'!$A$1:$O$91,15,0))</f>
        <v>224.33</v>
      </c>
      <c r="Y179" s="4"/>
      <c r="Z179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79" s="4">
        <f>('TE BE'!$AB$16+'TE BF'!$AB$16+'TE CVA'!$AB$16)*(1-CUSTOS!$M$36)</f>
        <v>183.04446813241722</v>
      </c>
      <c r="AB179" s="4">
        <f t="shared" si="14"/>
        <v>0</v>
      </c>
      <c r="AC179" s="4">
        <f>(L179-M179)*(W179+X179)+($W$186+$X$186-$W$179-$X$179)*(L179)</f>
        <v>2377.4212799999987</v>
      </c>
      <c r="AD179" s="4">
        <f t="shared" si="16"/>
        <v>0</v>
      </c>
      <c r="AE179" s="4">
        <f ca="1">(L179-M179)*(Z179+AA179)+($Z$186+$AA$186-$Z$179-$AA$179)*(L179)</f>
        <v>2323.5248314137752</v>
      </c>
      <c r="AF179" s="3" t="s">
        <v>666</v>
      </c>
    </row>
    <row r="180" spans="1:32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31</v>
      </c>
      <c r="F180" s="3" t="s">
        <v>25</v>
      </c>
      <c r="G180" s="3" t="s">
        <v>25</v>
      </c>
      <c r="H180" s="3" t="s">
        <v>25</v>
      </c>
      <c r="I180" s="6">
        <v>44652</v>
      </c>
      <c r="J180" s="4">
        <v>0</v>
      </c>
      <c r="K180" s="4">
        <v>0</v>
      </c>
      <c r="L180" s="4">
        <v>44.235999999999997</v>
      </c>
      <c r="M180" s="4">
        <v>44.235999999999997</v>
      </c>
      <c r="N180" s="4">
        <v>44.235999999999997</v>
      </c>
      <c r="O180" s="4">
        <v>44.235999999999997</v>
      </c>
      <c r="P180" s="4">
        <v>242</v>
      </c>
      <c r="Q180" s="3" t="s">
        <v>26</v>
      </c>
      <c r="R180" s="3">
        <v>0</v>
      </c>
      <c r="S180" s="3">
        <v>0</v>
      </c>
      <c r="T180" s="3">
        <v>18</v>
      </c>
      <c r="U180" s="3">
        <v>55</v>
      </c>
      <c r="V180" s="4">
        <f>IF(ISERROR(VLOOKUP($S$180,'TAR FIN'!$A$1:$O$91,15,0)),0,VLOOKUP($S$180,'TAR FIN'!$A$1:$O$91,15,0))</f>
        <v>0</v>
      </c>
      <c r="W180" s="4">
        <f>IF(ISERROR(VLOOKUP($T$180,'TAR FIN'!$A$1:$O$91,15,0)),0,VLOOKUP($T$180,'TAR FIN'!$A$1:$O$91,15,0))</f>
        <v>220.68</v>
      </c>
      <c r="X180" s="4">
        <f>IF(ISERROR(VLOOKUP($U$180,'TAR FIN'!$A$1:$O$91,15,0)),0,VLOOKUP($U$180,'TAR FIN'!$A$1:$O$91,15,0))</f>
        <v>224.33</v>
      </c>
      <c r="Y180" s="4"/>
      <c r="Z180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0" s="4">
        <f>('TE BE'!$AB$16+'TE BF'!$AB$16+'TE CVA'!$AB$16)*(1-CUSTOS!$M$36)</f>
        <v>183.04446813241722</v>
      </c>
      <c r="AB180" s="4">
        <f t="shared" si="14"/>
        <v>0</v>
      </c>
      <c r="AC180" s="4">
        <f>(L180-M180)*(W180+X180)+($W$186+$X$186-$W$180-$X$180)*(L180)</f>
        <v>2187.0278399999984</v>
      </c>
      <c r="AD180" s="4">
        <f t="shared" si="16"/>
        <v>0</v>
      </c>
      <c r="AE180" s="4">
        <f ca="1">(L180-M180)*(Z180+AA180)+($Z$186+$AA$186-$Z$180-$AA$180)*(L180)</f>
        <v>2137.4476353779555</v>
      </c>
      <c r="AF180" s="3" t="s">
        <v>666</v>
      </c>
    </row>
    <row r="181" spans="1:32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31</v>
      </c>
      <c r="F181" s="3" t="s">
        <v>25</v>
      </c>
      <c r="G181" s="3" t="s">
        <v>25</v>
      </c>
      <c r="H181" s="3" t="s">
        <v>25</v>
      </c>
      <c r="I181" s="6">
        <v>44682</v>
      </c>
      <c r="J181" s="4">
        <v>0</v>
      </c>
      <c r="K181" s="4">
        <v>0</v>
      </c>
      <c r="L181" s="4">
        <v>39.134999999999998</v>
      </c>
      <c r="M181" s="4">
        <v>39.134999999999998</v>
      </c>
      <c r="N181" s="4">
        <v>39.134999999999998</v>
      </c>
      <c r="O181" s="4">
        <v>39.134999999999998</v>
      </c>
      <c r="P181" s="4">
        <v>259</v>
      </c>
      <c r="Q181" s="3" t="s">
        <v>26</v>
      </c>
      <c r="R181" s="3">
        <v>0</v>
      </c>
      <c r="S181" s="3">
        <v>0</v>
      </c>
      <c r="T181" s="3">
        <v>18</v>
      </c>
      <c r="U181" s="3">
        <v>55</v>
      </c>
      <c r="V181" s="4">
        <f>IF(ISERROR(VLOOKUP($S$181,'TAR FIN'!$A$1:$O$91,15,0)),0,VLOOKUP($S$181,'TAR FIN'!$A$1:$O$91,15,0))</f>
        <v>0</v>
      </c>
      <c r="W181" s="4">
        <f>IF(ISERROR(VLOOKUP($T$181,'TAR FIN'!$A$1:$O$91,15,0)),0,VLOOKUP($T$181,'TAR FIN'!$A$1:$O$91,15,0))</f>
        <v>220.68</v>
      </c>
      <c r="X181" s="4">
        <f>IF(ISERROR(VLOOKUP($U$181,'TAR FIN'!$A$1:$O$91,15,0)),0,VLOOKUP($U$181,'TAR FIN'!$A$1:$O$91,15,0))</f>
        <v>224.33</v>
      </c>
      <c r="Y181" s="4"/>
      <c r="Z181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1" s="4">
        <f>('TE BE'!$AB$16+'TE BF'!$AB$16+'TE CVA'!$AB$16)*(1-CUSTOS!$M$36)</f>
        <v>183.04446813241722</v>
      </c>
      <c r="AB181" s="4">
        <f t="shared" si="14"/>
        <v>0</v>
      </c>
      <c r="AC181" s="4">
        <f>(L181-M181)*(W181+X181)+($W$186+$X$186-$W$181-$X$181)*(L181)</f>
        <v>1934.8343999999986</v>
      </c>
      <c r="AD181" s="4">
        <f t="shared" si="16"/>
        <v>0</v>
      </c>
      <c r="AE181" s="4">
        <f ca="1">(L181-M181)*(Z181+AA181)+($Z$186+$AA$186-$Z$181-$AA$181)*(L181)</f>
        <v>1890.9714533528413</v>
      </c>
      <c r="AF181" s="3" t="s">
        <v>666</v>
      </c>
    </row>
    <row r="182" spans="1:32" ht="11.25" customHeight="1" x14ac:dyDescent="0.25">
      <c r="A182" s="3" t="s">
        <v>28</v>
      </c>
      <c r="B182" s="3" t="s">
        <v>22</v>
      </c>
      <c r="C182" s="3" t="s">
        <v>23</v>
      </c>
      <c r="D182" s="3" t="s">
        <v>24</v>
      </c>
      <c r="E182" s="3" t="s">
        <v>31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0</v>
      </c>
      <c r="K182" s="4">
        <v>0</v>
      </c>
      <c r="L182" s="4">
        <v>3.3000000000000002E-2</v>
      </c>
      <c r="M182" s="4">
        <v>2.9700000000000001E-2</v>
      </c>
      <c r="N182" s="4">
        <v>3.3000000000000002E-2</v>
      </c>
      <c r="O182" s="4">
        <v>2.9700000000000001E-2</v>
      </c>
      <c r="P182" s="4">
        <v>1</v>
      </c>
      <c r="Q182" s="3" t="s">
        <v>26</v>
      </c>
      <c r="R182" s="3">
        <v>0</v>
      </c>
      <c r="S182" s="3">
        <v>0</v>
      </c>
      <c r="T182" s="3">
        <v>18</v>
      </c>
      <c r="U182" s="3">
        <v>55</v>
      </c>
      <c r="V182" s="4">
        <f>IF(ISERROR(VLOOKUP($S$182,'TAR FIN'!$A$1:$O$91,15,0)),0,VLOOKUP($S$182,'TAR FIN'!$A$1:$O$91,15,0))</f>
        <v>0</v>
      </c>
      <c r="W182" s="4">
        <f>IF(ISERROR(VLOOKUP($T$182,'TAR FIN'!$A$1:$O$91,15,0)),0,VLOOKUP($T$182,'TAR FIN'!$A$1:$O$91,15,0))</f>
        <v>220.68</v>
      </c>
      <c r="X182" s="4">
        <f>IF(ISERROR(VLOOKUP($U$182,'TAR FIN'!$A$1:$O$91,15,0)),0,VLOOKUP($U$182,'TAR FIN'!$A$1:$O$91,15,0))</f>
        <v>224.33</v>
      </c>
      <c r="Y182" s="4"/>
      <c r="Z182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2" s="4">
        <f>('TE BE'!$AB$16+'TE BF'!$AB$16+'TE CVA'!$AB$16)*(1-CUSTOS!$M$36)</f>
        <v>183.04446813241722</v>
      </c>
      <c r="AB182" s="4">
        <f t="shared" si="14"/>
        <v>0</v>
      </c>
      <c r="AC182" s="4">
        <f>(L182-M182)*(W182+X182)+($W$186+$X$186-$W$182-$X$182)*(L182)</f>
        <v>3.1000529999999991</v>
      </c>
      <c r="AD182" s="4">
        <f t="shared" si="16"/>
        <v>0</v>
      </c>
      <c r="AE182" s="4">
        <f ca="1">(L182-M182)*(Z182+AA182)+($Z$186+$AA$186-$Z$182-$AA$182)*(L182)</f>
        <v>3.0296131372230279</v>
      </c>
      <c r="AF182" s="3" t="s">
        <v>666</v>
      </c>
    </row>
    <row r="183" spans="1:32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31</v>
      </c>
      <c r="F183" s="3" t="s">
        <v>25</v>
      </c>
      <c r="G183" s="3" t="s">
        <v>25</v>
      </c>
      <c r="H183" s="3" t="s">
        <v>25</v>
      </c>
      <c r="I183" s="6">
        <v>44713</v>
      </c>
      <c r="J183" s="4">
        <v>0</v>
      </c>
      <c r="K183" s="4">
        <v>0</v>
      </c>
      <c r="L183" s="4">
        <v>39.506</v>
      </c>
      <c r="M183" s="4">
        <v>39.506</v>
      </c>
      <c r="N183" s="4">
        <v>39.506</v>
      </c>
      <c r="O183" s="4">
        <v>39.506</v>
      </c>
      <c r="P183" s="4">
        <v>198</v>
      </c>
      <c r="Q183" s="3" t="s">
        <v>26</v>
      </c>
      <c r="R183" s="3">
        <v>0</v>
      </c>
      <c r="S183" s="3">
        <v>0</v>
      </c>
      <c r="T183" s="3">
        <v>18</v>
      </c>
      <c r="U183" s="3">
        <v>55</v>
      </c>
      <c r="V183" s="4">
        <f>IF(ISERROR(VLOOKUP($S$183,'TAR FIN'!$A$1:$O$91,15,0)),0,VLOOKUP($S$183,'TAR FIN'!$A$1:$O$91,15,0))</f>
        <v>0</v>
      </c>
      <c r="W183" s="4">
        <f>IF(ISERROR(VLOOKUP($T$183,'TAR FIN'!$A$1:$O$91,15,0)),0,VLOOKUP($T$183,'TAR FIN'!$A$1:$O$91,15,0))</f>
        <v>220.68</v>
      </c>
      <c r="X183" s="4">
        <f>IF(ISERROR(VLOOKUP($U$183,'TAR FIN'!$A$1:$O$91,15,0)),0,VLOOKUP($U$183,'TAR FIN'!$A$1:$O$91,15,0))</f>
        <v>224.33</v>
      </c>
      <c r="Y183" s="4"/>
      <c r="Z183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3" s="4">
        <f>('TE BE'!$AB$16+'TE BF'!$AB$16+'TE CVA'!$AB$16)*(1-CUSTOS!$M$36)</f>
        <v>183.04446813241722</v>
      </c>
      <c r="AB183" s="4">
        <f t="shared" si="14"/>
        <v>0</v>
      </c>
      <c r="AC183" s="4">
        <f>(L183-M183)*(W183+X183)+($W$186+$X$186-$W$183-$X$183)*(L183)</f>
        <v>1953.1766399999988</v>
      </c>
      <c r="AD183" s="4">
        <f t="shared" si="16"/>
        <v>0</v>
      </c>
      <c r="AE183" s="4">
        <f ca="1">(L183-M183)*(Z183+AA183)+($Z$186+$AA$186-$Z$183-$AA$183)*(L183)</f>
        <v>1908.897872394464</v>
      </c>
      <c r="AF183" s="3" t="s">
        <v>666</v>
      </c>
    </row>
    <row r="184" spans="1:32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31</v>
      </c>
      <c r="F184" s="3" t="s">
        <v>25</v>
      </c>
      <c r="G184" s="3" t="s">
        <v>25</v>
      </c>
      <c r="H184" s="3" t="s">
        <v>25</v>
      </c>
      <c r="I184" s="6">
        <v>44743</v>
      </c>
      <c r="J184" s="4">
        <v>0</v>
      </c>
      <c r="K184" s="4">
        <v>0</v>
      </c>
      <c r="L184" s="4">
        <v>37.194000000000003</v>
      </c>
      <c r="M184" s="4">
        <v>37.194000000000003</v>
      </c>
      <c r="N184" s="4">
        <v>37.194000000000003</v>
      </c>
      <c r="O184" s="4">
        <v>37.194000000000003</v>
      </c>
      <c r="P184" s="4">
        <v>198</v>
      </c>
      <c r="Q184" s="3" t="s">
        <v>26</v>
      </c>
      <c r="R184" s="3">
        <v>0</v>
      </c>
      <c r="S184" s="3">
        <v>0</v>
      </c>
      <c r="T184" s="3">
        <v>18</v>
      </c>
      <c r="U184" s="3">
        <v>55</v>
      </c>
      <c r="V184" s="4">
        <f>IF(ISERROR(VLOOKUP($S$184,'TAR FIN'!$A$1:$O$91,15,0)),0,VLOOKUP($S$184,'TAR FIN'!$A$1:$O$91,15,0))</f>
        <v>0</v>
      </c>
      <c r="W184" s="4">
        <f>IF(ISERROR(VLOOKUP($T$184,'TAR FIN'!$A$1:$O$91,15,0)),0,VLOOKUP($T$184,'TAR FIN'!$A$1:$O$91,15,0))</f>
        <v>220.68</v>
      </c>
      <c r="X184" s="4">
        <f>IF(ISERROR(VLOOKUP($U$184,'TAR FIN'!$A$1:$O$91,15,0)),0,VLOOKUP($U$184,'TAR FIN'!$A$1:$O$91,15,0))</f>
        <v>224.33</v>
      </c>
      <c r="Y184" s="4"/>
      <c r="Z184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4" s="4">
        <f>('TE BE'!$AB$16+'TE BF'!$AB$16+'TE CVA'!$AB$16)*(1-CUSTOS!$M$36)</f>
        <v>183.04446813241722</v>
      </c>
      <c r="AB184" s="4">
        <f t="shared" si="14"/>
        <v>0</v>
      </c>
      <c r="AC184" s="4">
        <f>(L184-M184)*(W184+X184)+($W$186+$X$186-$W$184-$X$184)*(L184)</f>
        <v>1838.871359999999</v>
      </c>
      <c r="AD184" s="4">
        <f t="shared" si="16"/>
        <v>0</v>
      </c>
      <c r="AE184" s="4">
        <f ca="1">(L184-M184)*(Z184+AA184)+($Z$186+$AA$186-$Z$184-$AA$184)*(L184)</f>
        <v>1797.1839079086647</v>
      </c>
      <c r="AF184" s="3" t="s">
        <v>666</v>
      </c>
    </row>
    <row r="185" spans="1:32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31</v>
      </c>
      <c r="F185" s="3" t="s">
        <v>25</v>
      </c>
      <c r="G185" s="3" t="s">
        <v>25</v>
      </c>
      <c r="H185" s="3" t="s">
        <v>25</v>
      </c>
      <c r="I185" s="6">
        <v>44774</v>
      </c>
      <c r="J185" s="4">
        <v>0</v>
      </c>
      <c r="K185" s="4">
        <v>0</v>
      </c>
      <c r="L185" s="4">
        <v>41.235999999999997</v>
      </c>
      <c r="M185" s="4">
        <v>41.235999999999997</v>
      </c>
      <c r="N185" s="4">
        <v>41.235999999999997</v>
      </c>
      <c r="O185" s="4">
        <v>41.235999999999997</v>
      </c>
      <c r="P185" s="4">
        <v>222</v>
      </c>
      <c r="Q185" s="3" t="s">
        <v>26</v>
      </c>
      <c r="R185" s="3">
        <v>0</v>
      </c>
      <c r="S185" s="3">
        <v>0</v>
      </c>
      <c r="T185" s="3">
        <v>18</v>
      </c>
      <c r="U185" s="3">
        <v>55</v>
      </c>
      <c r="V185" s="4">
        <f>IF(ISERROR(VLOOKUP($S$185,'TAR FIN'!$A$1:$O$91,15,0)),0,VLOOKUP($S$185,'TAR FIN'!$A$1:$O$91,15,0))</f>
        <v>0</v>
      </c>
      <c r="W185" s="4">
        <f>IF(ISERROR(VLOOKUP($T$185,'TAR FIN'!$A$1:$O$91,15,0)),0,VLOOKUP($T$185,'TAR FIN'!$A$1:$O$91,15,0))</f>
        <v>220.68</v>
      </c>
      <c r="X185" s="4">
        <f>IF(ISERROR(VLOOKUP($U$185,'TAR FIN'!$A$1:$O$91,15,0)),0,VLOOKUP($U$185,'TAR FIN'!$A$1:$O$91,15,0))</f>
        <v>224.33</v>
      </c>
      <c r="Y185" s="4"/>
      <c r="Z185" s="4">
        <f ca="1">('TUSD BE'!$AM$26+'TUSD BF'!$AM$26+'TUSD CVA'!$AM$26-('TUSD BE'!$P$26+'TUSD BF'!$P$26+'TUSD CVA'!$P$26)-('TUSD BE'!$Q$26+'TUSD BF'!$Q$26+'TUSD CVA'!$Q$26)-('TUSD BE'!$R$26+'TUSD BF'!$R$26+'TUSD CVA'!$R$26))*(1-CUSTOS!$M$36)</f>
        <v>251.82823099050557</v>
      </c>
      <c r="AA185" s="4">
        <f>('TE BE'!$AB$16+'TE BF'!$AB$16+'TE CVA'!$AB$16)*(1-CUSTOS!$M$36)</f>
        <v>183.04446813241722</v>
      </c>
      <c r="AB185" s="4">
        <f t="shared" si="14"/>
        <v>0</v>
      </c>
      <c r="AC185" s="4">
        <f>(L185-M185)*(W185+X185)+($W$186+$X$186-$W$185-$X$185)*(L185)</f>
        <v>2038.7078399999987</v>
      </c>
      <c r="AD185" s="4">
        <f t="shared" si="16"/>
        <v>0</v>
      </c>
      <c r="AE185" s="4">
        <f ca="1">(L185-M185)*(Z185+AA185)+($Z$186+$AA$186-$Z$185-$AA$185)*(L185)</f>
        <v>1992.4900690036479</v>
      </c>
      <c r="AF185" s="3" t="s">
        <v>666</v>
      </c>
    </row>
    <row r="186" spans="1:32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32</v>
      </c>
      <c r="F186" s="3" t="s">
        <v>25</v>
      </c>
      <c r="G186" s="3" t="s">
        <v>25</v>
      </c>
      <c r="H186" s="3" t="s">
        <v>25</v>
      </c>
      <c r="I186" s="6">
        <v>44440</v>
      </c>
      <c r="J186" s="4">
        <v>0</v>
      </c>
      <c r="K186" s="4">
        <v>0</v>
      </c>
      <c r="L186" s="4">
        <v>16.521999999999998</v>
      </c>
      <c r="M186" s="4">
        <v>16.521999999999998</v>
      </c>
      <c r="N186" s="4">
        <v>16.521999999999998</v>
      </c>
      <c r="O186" s="4">
        <v>16.521999999999998</v>
      </c>
      <c r="P186" s="4">
        <v>157</v>
      </c>
      <c r="Q186" s="3" t="s">
        <v>26</v>
      </c>
      <c r="R186" s="3">
        <v>0</v>
      </c>
      <c r="S186" s="3">
        <v>0</v>
      </c>
      <c r="T186" s="3">
        <v>44</v>
      </c>
      <c r="U186" s="3">
        <v>60</v>
      </c>
      <c r="V186" s="4">
        <f>IF(ISERROR(VLOOKUP($S$186,'TAR FIN'!$A$1:$O$91,15,0)),0,VLOOKUP($S$186,'TAR FIN'!$A$1:$O$91,15,0))</f>
        <v>0</v>
      </c>
      <c r="W186" s="4">
        <f>IF(ISERROR(VLOOKUP($T$186,'TAR FIN'!$A$1:$O$91,15,0)),0,VLOOKUP($T$186,'TAR FIN'!$A$1:$O$91,15,0))</f>
        <v>245.2</v>
      </c>
      <c r="X186" s="4">
        <f>IF(ISERROR(VLOOKUP($U$186,'TAR FIN'!$A$1:$O$91,15,0)),0,VLOOKUP($U$186,'TAR FIN'!$A$1:$O$91,15,0))</f>
        <v>249.25</v>
      </c>
      <c r="Y186" s="4"/>
      <c r="Z186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86" s="4">
        <f>('TE BE'!$AB$17+'TE BF'!$AB$17+'TE CVA'!$AB$17)*(1-CUSTOS!$M$37)</f>
        <v>203.38274236935246</v>
      </c>
      <c r="AB186" s="4">
        <f t="shared" si="14"/>
        <v>0</v>
      </c>
      <c r="AC186" s="4">
        <f>(L186-M186)*(W186+X186)+($W$186+$X$186-$W$186-$X$186)*(L186)</f>
        <v>0</v>
      </c>
      <c r="AD186" s="4">
        <f t="shared" si="16"/>
        <v>0</v>
      </c>
      <c r="AE186" s="4">
        <f ca="1">(L186-M186)*(Z186+AA186)+($Z$186+$AA$186-$Z$186-$AA$186)*(L186)</f>
        <v>0</v>
      </c>
      <c r="AF186" s="3" t="s">
        <v>666</v>
      </c>
    </row>
    <row r="187" spans="1:32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32</v>
      </c>
      <c r="F187" s="3" t="s">
        <v>25</v>
      </c>
      <c r="G187" s="3" t="s">
        <v>25</v>
      </c>
      <c r="H187" s="3" t="s">
        <v>25</v>
      </c>
      <c r="I187" s="6">
        <v>44470</v>
      </c>
      <c r="J187" s="4">
        <v>0</v>
      </c>
      <c r="K187" s="4">
        <v>0</v>
      </c>
      <c r="L187" s="4">
        <v>17.109000000000002</v>
      </c>
      <c r="M187" s="4">
        <v>17.109000000000002</v>
      </c>
      <c r="N187" s="4">
        <v>17.109000000000002</v>
      </c>
      <c r="O187" s="4">
        <v>17.109000000000002</v>
      </c>
      <c r="P187" s="4">
        <v>171</v>
      </c>
      <c r="Q187" s="3" t="s">
        <v>26</v>
      </c>
      <c r="R187" s="3">
        <v>0</v>
      </c>
      <c r="S187" s="3">
        <v>0</v>
      </c>
      <c r="T187" s="3">
        <v>44</v>
      </c>
      <c r="U187" s="3">
        <v>60</v>
      </c>
      <c r="V187" s="4">
        <f>IF(ISERROR(VLOOKUP($S$187,'TAR FIN'!$A$1:$O$91,15,0)),0,VLOOKUP($S$187,'TAR FIN'!$A$1:$O$91,15,0))</f>
        <v>0</v>
      </c>
      <c r="W187" s="4">
        <f>IF(ISERROR(VLOOKUP($T$187,'TAR FIN'!$A$1:$O$91,15,0)),0,VLOOKUP($T$187,'TAR FIN'!$A$1:$O$91,15,0))</f>
        <v>245.2</v>
      </c>
      <c r="X187" s="4">
        <f>IF(ISERROR(VLOOKUP($U$187,'TAR FIN'!$A$1:$O$91,15,0)),0,VLOOKUP($U$187,'TAR FIN'!$A$1:$O$91,15,0))</f>
        <v>249.25</v>
      </c>
      <c r="Y187" s="4"/>
      <c r="Z187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87" s="4">
        <f>('TE BE'!$AB$17+'TE BF'!$AB$17+'TE CVA'!$AB$17)*(1-CUSTOS!$M$37)</f>
        <v>203.38274236935246</v>
      </c>
      <c r="AB187" s="4">
        <f t="shared" si="14"/>
        <v>0</v>
      </c>
      <c r="AC187" s="4">
        <f>(L187-M187)*(W187+X187)+($W$186+$X$186-$W$187-$X$187)*(L187)</f>
        <v>0</v>
      </c>
      <c r="AD187" s="4">
        <f t="shared" si="16"/>
        <v>0</v>
      </c>
      <c r="AE187" s="4">
        <f ca="1">(L187-M187)*(Z187+AA187)+($Z$186+$AA$186-$Z$187-$AA$187)*(L187)</f>
        <v>0</v>
      </c>
      <c r="AF187" s="3" t="s">
        <v>666</v>
      </c>
    </row>
    <row r="188" spans="1:32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32</v>
      </c>
      <c r="F188" s="3" t="s">
        <v>25</v>
      </c>
      <c r="G188" s="3" t="s">
        <v>25</v>
      </c>
      <c r="H188" s="3" t="s">
        <v>25</v>
      </c>
      <c r="I188" s="6">
        <v>44501</v>
      </c>
      <c r="J188" s="4">
        <v>0</v>
      </c>
      <c r="K188" s="4">
        <v>0</v>
      </c>
      <c r="L188" s="4">
        <v>18.899000000000001</v>
      </c>
      <c r="M188" s="4">
        <v>18.899000000000001</v>
      </c>
      <c r="N188" s="4">
        <v>18.899000000000001</v>
      </c>
      <c r="O188" s="4">
        <v>18.899000000000001</v>
      </c>
      <c r="P188" s="4">
        <v>173</v>
      </c>
      <c r="Q188" s="3" t="s">
        <v>26</v>
      </c>
      <c r="R188" s="3">
        <v>0</v>
      </c>
      <c r="S188" s="3">
        <v>0</v>
      </c>
      <c r="T188" s="3">
        <v>44</v>
      </c>
      <c r="U188" s="3">
        <v>60</v>
      </c>
      <c r="V188" s="4">
        <f>IF(ISERROR(VLOOKUP($S$188,'TAR FIN'!$A$1:$O$91,15,0)),0,VLOOKUP($S$188,'TAR FIN'!$A$1:$O$91,15,0))</f>
        <v>0</v>
      </c>
      <c r="W188" s="4">
        <f>IF(ISERROR(VLOOKUP($T$188,'TAR FIN'!$A$1:$O$91,15,0)),0,VLOOKUP($T$188,'TAR FIN'!$A$1:$O$91,15,0))</f>
        <v>245.2</v>
      </c>
      <c r="X188" s="4">
        <f>IF(ISERROR(VLOOKUP($U$188,'TAR FIN'!$A$1:$O$91,15,0)),0,VLOOKUP($U$188,'TAR FIN'!$A$1:$O$91,15,0))</f>
        <v>249.25</v>
      </c>
      <c r="Y188" s="4"/>
      <c r="Z188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88" s="4">
        <f>('TE BE'!$AB$17+'TE BF'!$AB$17+'TE CVA'!$AB$17)*(1-CUSTOS!$M$37)</f>
        <v>203.38274236935246</v>
      </c>
      <c r="AB188" s="4">
        <f t="shared" si="14"/>
        <v>0</v>
      </c>
      <c r="AC188" s="4">
        <f>(L188-M188)*(W188+X188)+($W$186+$X$186-$W$188-$X$188)*(L188)</f>
        <v>0</v>
      </c>
      <c r="AD188" s="4">
        <f t="shared" si="16"/>
        <v>0</v>
      </c>
      <c r="AE188" s="4">
        <f ca="1">(L188-M188)*(Z188+AA188)+($Z$186+$AA$186-$Z$188-$AA$188)*(L188)</f>
        <v>0</v>
      </c>
      <c r="AF188" s="3" t="s">
        <v>666</v>
      </c>
    </row>
    <row r="189" spans="1:32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32</v>
      </c>
      <c r="F189" s="3" t="s">
        <v>25</v>
      </c>
      <c r="G189" s="3" t="s">
        <v>25</v>
      </c>
      <c r="H189" s="3" t="s">
        <v>25</v>
      </c>
      <c r="I189" s="6">
        <v>44531</v>
      </c>
      <c r="J189" s="4">
        <v>0</v>
      </c>
      <c r="K189" s="4">
        <v>0</v>
      </c>
      <c r="L189" s="4">
        <v>21.431000000000001</v>
      </c>
      <c r="M189" s="4">
        <v>21.431000000000001</v>
      </c>
      <c r="N189" s="4">
        <v>21.431000000000001</v>
      </c>
      <c r="O189" s="4">
        <v>21.431000000000001</v>
      </c>
      <c r="P189" s="4">
        <v>188</v>
      </c>
      <c r="Q189" s="3" t="s">
        <v>26</v>
      </c>
      <c r="R189" s="3">
        <v>0</v>
      </c>
      <c r="S189" s="3">
        <v>0</v>
      </c>
      <c r="T189" s="3">
        <v>44</v>
      </c>
      <c r="U189" s="3">
        <v>60</v>
      </c>
      <c r="V189" s="4">
        <f>IF(ISERROR(VLOOKUP($S$189,'TAR FIN'!$A$1:$O$91,15,0)),0,VLOOKUP($S$189,'TAR FIN'!$A$1:$O$91,15,0))</f>
        <v>0</v>
      </c>
      <c r="W189" s="4">
        <f>IF(ISERROR(VLOOKUP($T$189,'TAR FIN'!$A$1:$O$91,15,0)),0,VLOOKUP($T$189,'TAR FIN'!$A$1:$O$91,15,0))</f>
        <v>245.2</v>
      </c>
      <c r="X189" s="4">
        <f>IF(ISERROR(VLOOKUP($U$189,'TAR FIN'!$A$1:$O$91,15,0)),0,VLOOKUP($U$189,'TAR FIN'!$A$1:$O$91,15,0))</f>
        <v>249.25</v>
      </c>
      <c r="Y189" s="4"/>
      <c r="Z189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89" s="4">
        <f>('TE BE'!$AB$17+'TE BF'!$AB$17+'TE CVA'!$AB$17)*(1-CUSTOS!$M$37)</f>
        <v>203.38274236935246</v>
      </c>
      <c r="AB189" s="4">
        <f t="shared" si="14"/>
        <v>0</v>
      </c>
      <c r="AC189" s="4">
        <f>(L189-M189)*(W189+X189)+($W$186+$X$186-$W$189-$X$189)*(L189)</f>
        <v>0</v>
      </c>
      <c r="AD189" s="4">
        <f t="shared" si="16"/>
        <v>0</v>
      </c>
      <c r="AE189" s="4">
        <f ca="1">(L189-M189)*(Z189+AA189)+($Z$186+$AA$186-$Z$189-$AA$189)*(L189)</f>
        <v>0</v>
      </c>
      <c r="AF189" s="3" t="s">
        <v>666</v>
      </c>
    </row>
    <row r="190" spans="1:32" ht="11.25" customHeight="1" x14ac:dyDescent="0.25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32</v>
      </c>
      <c r="F190" s="3" t="s">
        <v>25</v>
      </c>
      <c r="G190" s="3" t="s">
        <v>25</v>
      </c>
      <c r="H190" s="3" t="s">
        <v>25</v>
      </c>
      <c r="I190" s="6">
        <v>44562</v>
      </c>
      <c r="J190" s="4">
        <v>0</v>
      </c>
      <c r="K190" s="4">
        <v>0</v>
      </c>
      <c r="L190" s="4">
        <v>33.978999999999999</v>
      </c>
      <c r="M190" s="4">
        <v>33.978999999999999</v>
      </c>
      <c r="N190" s="4">
        <v>33.978999999999999</v>
      </c>
      <c r="O190" s="4">
        <v>33.978999999999999</v>
      </c>
      <c r="P190" s="4">
        <v>248</v>
      </c>
      <c r="Q190" s="3" t="s">
        <v>26</v>
      </c>
      <c r="R190" s="3">
        <v>0</v>
      </c>
      <c r="S190" s="3">
        <v>0</v>
      </c>
      <c r="T190" s="3">
        <v>44</v>
      </c>
      <c r="U190" s="3">
        <v>60</v>
      </c>
      <c r="V190" s="4">
        <f>IF(ISERROR(VLOOKUP($S$190,'TAR FIN'!$A$1:$O$91,15,0)),0,VLOOKUP($S$190,'TAR FIN'!$A$1:$O$91,15,0))</f>
        <v>0</v>
      </c>
      <c r="W190" s="4">
        <f>IF(ISERROR(VLOOKUP($T$190,'TAR FIN'!$A$1:$O$91,15,0)),0,VLOOKUP($T$190,'TAR FIN'!$A$1:$O$91,15,0))</f>
        <v>245.2</v>
      </c>
      <c r="X190" s="4">
        <f>IF(ISERROR(VLOOKUP($U$190,'TAR FIN'!$A$1:$O$91,15,0)),0,VLOOKUP($U$190,'TAR FIN'!$A$1:$O$91,15,0))</f>
        <v>249.25</v>
      </c>
      <c r="Y190" s="4"/>
      <c r="Z190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0" s="4">
        <f>('TE BE'!$AB$17+'TE BF'!$AB$17+'TE CVA'!$AB$17)*(1-CUSTOS!$M$37)</f>
        <v>203.38274236935246</v>
      </c>
      <c r="AB190" s="4">
        <f t="shared" si="14"/>
        <v>0</v>
      </c>
      <c r="AC190" s="4">
        <f>(L190-M190)*(W190+X190)+($W$186+$X$186-$W$190-$X$190)*(L190)</f>
        <v>0</v>
      </c>
      <c r="AD190" s="4">
        <f t="shared" si="16"/>
        <v>0</v>
      </c>
      <c r="AE190" s="4">
        <f ca="1">(L190-M190)*(Z190+AA190)+($Z$186+$AA$186-$Z$190-$AA$190)*(L190)</f>
        <v>0</v>
      </c>
      <c r="AF190" s="3" t="s">
        <v>666</v>
      </c>
    </row>
    <row r="191" spans="1:32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32</v>
      </c>
      <c r="F191" s="3" t="s">
        <v>25</v>
      </c>
      <c r="G191" s="3" t="s">
        <v>25</v>
      </c>
      <c r="H191" s="3" t="s">
        <v>25</v>
      </c>
      <c r="I191" s="6">
        <v>44593</v>
      </c>
      <c r="J191" s="4">
        <v>0</v>
      </c>
      <c r="K191" s="4">
        <v>0</v>
      </c>
      <c r="L191" s="4">
        <v>50.307000000000002</v>
      </c>
      <c r="M191" s="4">
        <v>50.307000000000002</v>
      </c>
      <c r="N191" s="4">
        <v>50.307000000000002</v>
      </c>
      <c r="O191" s="4">
        <v>50.307000000000002</v>
      </c>
      <c r="P191" s="4">
        <v>315</v>
      </c>
      <c r="Q191" s="3" t="s">
        <v>26</v>
      </c>
      <c r="R191" s="3">
        <v>0</v>
      </c>
      <c r="S191" s="3">
        <v>0</v>
      </c>
      <c r="T191" s="3">
        <v>44</v>
      </c>
      <c r="U191" s="3">
        <v>60</v>
      </c>
      <c r="V191" s="4">
        <f>IF(ISERROR(VLOOKUP($S$191,'TAR FIN'!$A$1:$O$91,15,0)),0,VLOOKUP($S$191,'TAR FIN'!$A$1:$O$91,15,0))</f>
        <v>0</v>
      </c>
      <c r="W191" s="4">
        <f>IF(ISERROR(VLOOKUP($T$191,'TAR FIN'!$A$1:$O$91,15,0)),0,VLOOKUP($T$191,'TAR FIN'!$A$1:$O$91,15,0))</f>
        <v>245.2</v>
      </c>
      <c r="X191" s="4">
        <f>IF(ISERROR(VLOOKUP($U$191,'TAR FIN'!$A$1:$O$91,15,0)),0,VLOOKUP($U$191,'TAR FIN'!$A$1:$O$91,15,0))</f>
        <v>249.25</v>
      </c>
      <c r="Y191" s="4"/>
      <c r="Z191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1" s="4">
        <f>('TE BE'!$AB$17+'TE BF'!$AB$17+'TE CVA'!$AB$17)*(1-CUSTOS!$M$37)</f>
        <v>203.38274236935246</v>
      </c>
      <c r="AB191" s="4">
        <f t="shared" si="14"/>
        <v>0</v>
      </c>
      <c r="AC191" s="4">
        <f>(L191-M191)*(W191+X191)+($W$186+$X$186-$W$191-$X$191)*(L191)</f>
        <v>0</v>
      </c>
      <c r="AD191" s="4">
        <f t="shared" si="16"/>
        <v>0</v>
      </c>
      <c r="AE191" s="4">
        <f ca="1">(L191-M191)*(Z191+AA191)+($Z$186+$AA$186-$Z$191-$AA$191)*(L191)</f>
        <v>0</v>
      </c>
      <c r="AF191" s="3" t="s">
        <v>666</v>
      </c>
    </row>
    <row r="192" spans="1:32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32</v>
      </c>
      <c r="F192" s="3" t="s">
        <v>25</v>
      </c>
      <c r="G192" s="3" t="s">
        <v>25</v>
      </c>
      <c r="H192" s="3" t="s">
        <v>25</v>
      </c>
      <c r="I192" s="6">
        <v>44621</v>
      </c>
      <c r="J192" s="4">
        <v>0</v>
      </c>
      <c r="K192" s="4">
        <v>0</v>
      </c>
      <c r="L192" s="4">
        <v>38.713999999999999</v>
      </c>
      <c r="M192" s="4">
        <v>38.713999999999999</v>
      </c>
      <c r="N192" s="4">
        <v>38.713999999999999</v>
      </c>
      <c r="O192" s="4">
        <v>38.713999999999999</v>
      </c>
      <c r="P192" s="4">
        <v>299</v>
      </c>
      <c r="Q192" s="3" t="s">
        <v>26</v>
      </c>
      <c r="R192" s="3">
        <v>0</v>
      </c>
      <c r="S192" s="3">
        <v>0</v>
      </c>
      <c r="T192" s="3">
        <v>44</v>
      </c>
      <c r="U192" s="3">
        <v>60</v>
      </c>
      <c r="V192" s="4">
        <f>IF(ISERROR(VLOOKUP($S$192,'TAR FIN'!$A$1:$O$91,15,0)),0,VLOOKUP($S$192,'TAR FIN'!$A$1:$O$91,15,0))</f>
        <v>0</v>
      </c>
      <c r="W192" s="4">
        <f>IF(ISERROR(VLOOKUP($T$192,'TAR FIN'!$A$1:$O$91,15,0)),0,VLOOKUP($T$192,'TAR FIN'!$A$1:$O$91,15,0))</f>
        <v>245.2</v>
      </c>
      <c r="X192" s="4">
        <f>IF(ISERROR(VLOOKUP($U$192,'TAR FIN'!$A$1:$O$91,15,0)),0,VLOOKUP($U$192,'TAR FIN'!$A$1:$O$91,15,0))</f>
        <v>249.25</v>
      </c>
      <c r="Y192" s="4"/>
      <c r="Z192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2" s="4">
        <f>('TE BE'!$AB$17+'TE BF'!$AB$17+'TE CVA'!$AB$17)*(1-CUSTOS!$M$37)</f>
        <v>203.38274236935246</v>
      </c>
      <c r="AB192" s="4">
        <f t="shared" si="14"/>
        <v>0</v>
      </c>
      <c r="AC192" s="4">
        <f>(L192-M192)*(W192+X192)+($W$186+$X$186-$W$192-$X$192)*(L192)</f>
        <v>0</v>
      </c>
      <c r="AD192" s="4">
        <f t="shared" si="16"/>
        <v>0</v>
      </c>
      <c r="AE192" s="4">
        <f ca="1">(L192-M192)*(Z192+AA192)+($Z$186+$AA$186-$Z$192-$AA$192)*(L192)</f>
        <v>0</v>
      </c>
      <c r="AF192" s="3" t="s">
        <v>666</v>
      </c>
    </row>
    <row r="193" spans="1:32" ht="11.25" customHeight="1" x14ac:dyDescent="0.25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32</v>
      </c>
      <c r="F193" s="3" t="s">
        <v>25</v>
      </c>
      <c r="G193" s="3" t="s">
        <v>25</v>
      </c>
      <c r="H193" s="3" t="s">
        <v>25</v>
      </c>
      <c r="I193" s="6">
        <v>44652</v>
      </c>
      <c r="J193" s="4">
        <v>0</v>
      </c>
      <c r="K193" s="4">
        <v>0</v>
      </c>
      <c r="L193" s="4">
        <v>23.859000000000002</v>
      </c>
      <c r="M193" s="4">
        <v>23.859000000000002</v>
      </c>
      <c r="N193" s="4">
        <v>23.859000000000002</v>
      </c>
      <c r="O193" s="4">
        <v>23.859000000000002</v>
      </c>
      <c r="P193" s="4">
        <v>241</v>
      </c>
      <c r="Q193" s="3" t="s">
        <v>26</v>
      </c>
      <c r="R193" s="3">
        <v>0</v>
      </c>
      <c r="S193" s="3">
        <v>0</v>
      </c>
      <c r="T193" s="3">
        <v>44</v>
      </c>
      <c r="U193" s="3">
        <v>60</v>
      </c>
      <c r="V193" s="4">
        <f>IF(ISERROR(VLOOKUP($S$193,'TAR FIN'!$A$1:$O$91,15,0)),0,VLOOKUP($S$193,'TAR FIN'!$A$1:$O$91,15,0))</f>
        <v>0</v>
      </c>
      <c r="W193" s="4">
        <f>IF(ISERROR(VLOOKUP($T$193,'TAR FIN'!$A$1:$O$91,15,0)),0,VLOOKUP($T$193,'TAR FIN'!$A$1:$O$91,15,0))</f>
        <v>245.2</v>
      </c>
      <c r="X193" s="4">
        <f>IF(ISERROR(VLOOKUP($U$193,'TAR FIN'!$A$1:$O$91,15,0)),0,VLOOKUP($U$193,'TAR FIN'!$A$1:$O$91,15,0))</f>
        <v>249.25</v>
      </c>
      <c r="Y193" s="4"/>
      <c r="Z193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3" s="4">
        <f>('TE BE'!$AB$17+'TE BF'!$AB$17+'TE CVA'!$AB$17)*(1-CUSTOS!$M$37)</f>
        <v>203.38274236935246</v>
      </c>
      <c r="AB193" s="4">
        <f t="shared" si="14"/>
        <v>0</v>
      </c>
      <c r="AC193" s="4">
        <f>(L193-M193)*(W193+X193)+($W$186+$X$186-$W$193-$X$193)*(L193)</f>
        <v>0</v>
      </c>
      <c r="AD193" s="4">
        <f t="shared" si="16"/>
        <v>0</v>
      </c>
      <c r="AE193" s="4">
        <f ca="1">(L193-M193)*(Z193+AA193)+($Z$186+$AA$186-$Z$193-$AA$193)*(L193)</f>
        <v>0</v>
      </c>
      <c r="AF193" s="3" t="s">
        <v>666</v>
      </c>
    </row>
    <row r="194" spans="1:32" ht="11.25" customHeight="1" x14ac:dyDescent="0.25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32</v>
      </c>
      <c r="F194" s="3" t="s">
        <v>25</v>
      </c>
      <c r="G194" s="3" t="s">
        <v>25</v>
      </c>
      <c r="H194" s="3" t="s">
        <v>25</v>
      </c>
      <c r="I194" s="6">
        <v>44682</v>
      </c>
      <c r="J194" s="4">
        <v>0</v>
      </c>
      <c r="K194" s="4">
        <v>0</v>
      </c>
      <c r="L194" s="4">
        <v>18.257999999999999</v>
      </c>
      <c r="M194" s="4">
        <v>18.257999999999999</v>
      </c>
      <c r="N194" s="4">
        <v>18.257999999999999</v>
      </c>
      <c r="O194" s="4">
        <v>18.257999999999999</v>
      </c>
      <c r="P194" s="4">
        <v>198</v>
      </c>
      <c r="Q194" s="3" t="s">
        <v>26</v>
      </c>
      <c r="R194" s="3">
        <v>0</v>
      </c>
      <c r="S194" s="3">
        <v>0</v>
      </c>
      <c r="T194" s="3">
        <v>44</v>
      </c>
      <c r="U194" s="3">
        <v>60</v>
      </c>
      <c r="V194" s="4">
        <f>IF(ISERROR(VLOOKUP($S$194,'TAR FIN'!$A$1:$O$91,15,0)),0,VLOOKUP($S$194,'TAR FIN'!$A$1:$O$91,15,0))</f>
        <v>0</v>
      </c>
      <c r="W194" s="4">
        <f>IF(ISERROR(VLOOKUP($T$194,'TAR FIN'!$A$1:$O$91,15,0)),0,VLOOKUP($T$194,'TAR FIN'!$A$1:$O$91,15,0))</f>
        <v>245.2</v>
      </c>
      <c r="X194" s="4">
        <f>IF(ISERROR(VLOOKUP($U$194,'TAR FIN'!$A$1:$O$91,15,0)),0,VLOOKUP($U$194,'TAR FIN'!$A$1:$O$91,15,0))</f>
        <v>249.25</v>
      </c>
      <c r="Y194" s="4"/>
      <c r="Z194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4" s="4">
        <f>('TE BE'!$AB$17+'TE BF'!$AB$17+'TE CVA'!$AB$17)*(1-CUSTOS!$M$37)</f>
        <v>203.38274236935246</v>
      </c>
      <c r="AB194" s="4">
        <f t="shared" ref="AB194:AB257" si="18">(J194-K194)*V194</f>
        <v>0</v>
      </c>
      <c r="AC194" s="4">
        <f>(L194-M194)*(W194+X194)+($W$186+$X$186-$W$194-$X$194)*(L194)</f>
        <v>0</v>
      </c>
      <c r="AD194" s="4">
        <f t="shared" ref="AD194:AD257" si="19">(J194-K194)*Y194</f>
        <v>0</v>
      </c>
      <c r="AE194" s="4">
        <f ca="1">(L194-M194)*(Z194+AA194)+($Z$186+$AA$186-$Z$194-$AA$194)*(L194)</f>
        <v>0</v>
      </c>
      <c r="AF194" s="3" t="s">
        <v>666</v>
      </c>
    </row>
    <row r="195" spans="1:32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32</v>
      </c>
      <c r="F195" s="3" t="s">
        <v>25</v>
      </c>
      <c r="G195" s="3" t="s">
        <v>25</v>
      </c>
      <c r="H195" s="3" t="s">
        <v>25</v>
      </c>
      <c r="I195" s="6">
        <v>44713</v>
      </c>
      <c r="J195" s="4">
        <v>0</v>
      </c>
      <c r="K195" s="4">
        <v>0</v>
      </c>
      <c r="L195" s="4">
        <v>26.19</v>
      </c>
      <c r="M195" s="4">
        <v>26.19</v>
      </c>
      <c r="N195" s="4">
        <v>26.19</v>
      </c>
      <c r="O195" s="4">
        <v>26.19</v>
      </c>
      <c r="P195" s="4">
        <v>230</v>
      </c>
      <c r="Q195" s="3" t="s">
        <v>26</v>
      </c>
      <c r="R195" s="3">
        <v>0</v>
      </c>
      <c r="S195" s="3">
        <v>0</v>
      </c>
      <c r="T195" s="3">
        <v>44</v>
      </c>
      <c r="U195" s="3">
        <v>60</v>
      </c>
      <c r="V195" s="4">
        <f>IF(ISERROR(VLOOKUP($S$195,'TAR FIN'!$A$1:$O$91,15,0)),0,VLOOKUP($S$195,'TAR FIN'!$A$1:$O$91,15,0))</f>
        <v>0</v>
      </c>
      <c r="W195" s="4">
        <f>IF(ISERROR(VLOOKUP($T$195,'TAR FIN'!$A$1:$O$91,15,0)),0,VLOOKUP($T$195,'TAR FIN'!$A$1:$O$91,15,0))</f>
        <v>245.2</v>
      </c>
      <c r="X195" s="4">
        <f>IF(ISERROR(VLOOKUP($U$195,'TAR FIN'!$A$1:$O$91,15,0)),0,VLOOKUP($U$195,'TAR FIN'!$A$1:$O$91,15,0))</f>
        <v>249.25</v>
      </c>
      <c r="Y195" s="4"/>
      <c r="Z195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5" s="4">
        <f>('TE BE'!$AB$17+'TE BF'!$AB$17+'TE CVA'!$AB$17)*(1-CUSTOS!$M$37)</f>
        <v>203.38274236935246</v>
      </c>
      <c r="AB195" s="4">
        <f t="shared" si="18"/>
        <v>0</v>
      </c>
      <c r="AC195" s="4">
        <f>(L195-M195)*(W195+X195)+($W$186+$X$186-$W$195-$X$195)*(L195)</f>
        <v>0</v>
      </c>
      <c r="AD195" s="4">
        <f t="shared" si="19"/>
        <v>0</v>
      </c>
      <c r="AE195" s="4">
        <f ca="1">(L195-M195)*(Z195+AA195)+($Z$186+$AA$186-$Z$195-$AA$195)*(L195)</f>
        <v>0</v>
      </c>
      <c r="AF195" s="3" t="s">
        <v>666</v>
      </c>
    </row>
    <row r="196" spans="1:32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32</v>
      </c>
      <c r="F196" s="3" t="s">
        <v>25</v>
      </c>
      <c r="G196" s="3" t="s">
        <v>25</v>
      </c>
      <c r="H196" s="3" t="s">
        <v>25</v>
      </c>
      <c r="I196" s="6">
        <v>44743</v>
      </c>
      <c r="J196" s="4">
        <v>0</v>
      </c>
      <c r="K196" s="4">
        <v>0</v>
      </c>
      <c r="L196" s="4">
        <v>23.417000000000002</v>
      </c>
      <c r="M196" s="4">
        <v>23.417000000000002</v>
      </c>
      <c r="N196" s="4">
        <v>23.417000000000002</v>
      </c>
      <c r="O196" s="4">
        <v>23.417000000000002</v>
      </c>
      <c r="P196" s="4">
        <v>215</v>
      </c>
      <c r="Q196" s="3" t="s">
        <v>26</v>
      </c>
      <c r="R196" s="3">
        <v>0</v>
      </c>
      <c r="S196" s="3">
        <v>0</v>
      </c>
      <c r="T196" s="3">
        <v>44</v>
      </c>
      <c r="U196" s="3">
        <v>60</v>
      </c>
      <c r="V196" s="4">
        <f>IF(ISERROR(VLOOKUP($S$196,'TAR FIN'!$A$1:$O$91,15,0)),0,VLOOKUP($S$196,'TAR FIN'!$A$1:$O$91,15,0))</f>
        <v>0</v>
      </c>
      <c r="W196" s="4">
        <f>IF(ISERROR(VLOOKUP($T$196,'TAR FIN'!$A$1:$O$91,15,0)),0,VLOOKUP($T$196,'TAR FIN'!$A$1:$O$91,15,0))</f>
        <v>245.2</v>
      </c>
      <c r="X196" s="4">
        <f>IF(ISERROR(VLOOKUP($U$196,'TAR FIN'!$A$1:$O$91,15,0)),0,VLOOKUP($U$196,'TAR FIN'!$A$1:$O$91,15,0))</f>
        <v>249.25</v>
      </c>
      <c r="Y196" s="4"/>
      <c r="Z196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6" s="4">
        <f>('TE BE'!$AB$17+'TE BF'!$AB$17+'TE CVA'!$AB$17)*(1-CUSTOS!$M$37)</f>
        <v>203.38274236935246</v>
      </c>
      <c r="AB196" s="4">
        <f t="shared" si="18"/>
        <v>0</v>
      </c>
      <c r="AC196" s="4">
        <f>(L196-M196)*(W196+X196)+($W$186+$X$186-$W$196-$X$196)*(L196)</f>
        <v>0</v>
      </c>
      <c r="AD196" s="4">
        <f t="shared" si="19"/>
        <v>0</v>
      </c>
      <c r="AE196" s="4">
        <f ca="1">(L196-M196)*(Z196+AA196)+($Z$186+$AA$186-$Z$196-$AA$196)*(L196)</f>
        <v>0</v>
      </c>
      <c r="AF196" s="3" t="s">
        <v>666</v>
      </c>
    </row>
    <row r="197" spans="1:32" ht="11.25" customHeight="1" x14ac:dyDescent="0.25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32</v>
      </c>
      <c r="F197" s="3" t="s">
        <v>25</v>
      </c>
      <c r="G197" s="3" t="s">
        <v>25</v>
      </c>
      <c r="H197" s="3" t="s">
        <v>25</v>
      </c>
      <c r="I197" s="6">
        <v>44774</v>
      </c>
      <c r="J197" s="4">
        <v>0</v>
      </c>
      <c r="K197" s="4">
        <v>0</v>
      </c>
      <c r="L197" s="4">
        <v>28.462</v>
      </c>
      <c r="M197" s="4">
        <v>28.462</v>
      </c>
      <c r="N197" s="4">
        <v>28.462</v>
      </c>
      <c r="O197" s="4">
        <v>28.462</v>
      </c>
      <c r="P197" s="4">
        <v>236</v>
      </c>
      <c r="Q197" s="3" t="s">
        <v>26</v>
      </c>
      <c r="R197" s="3">
        <v>0</v>
      </c>
      <c r="S197" s="3">
        <v>0</v>
      </c>
      <c r="T197" s="3">
        <v>44</v>
      </c>
      <c r="U197" s="3">
        <v>60</v>
      </c>
      <c r="V197" s="4">
        <f>IF(ISERROR(VLOOKUP($S$197,'TAR FIN'!$A$1:$O$91,15,0)),0,VLOOKUP($S$197,'TAR FIN'!$A$1:$O$91,15,0))</f>
        <v>0</v>
      </c>
      <c r="W197" s="4">
        <f>IF(ISERROR(VLOOKUP($T$197,'TAR FIN'!$A$1:$O$91,15,0)),0,VLOOKUP($T$197,'TAR FIN'!$A$1:$O$91,15,0))</f>
        <v>245.2</v>
      </c>
      <c r="X197" s="4">
        <f>IF(ISERROR(VLOOKUP($U$197,'TAR FIN'!$A$1:$O$91,15,0)),0,VLOOKUP($U$197,'TAR FIN'!$A$1:$O$91,15,0))</f>
        <v>249.25</v>
      </c>
      <c r="Y197" s="4"/>
      <c r="Z197" s="4">
        <f ca="1">('TUSD BE'!$AM$27+'TUSD BF'!$AM$27+'TUSD CVA'!$AM$27-('TUSD BE'!$P$27+'TUSD BF'!$P$27+'TUSD CVA'!$P$27)-('TUSD BE'!$Q$27+'TUSD BF'!$Q$27+'TUSD CVA'!$Q$27)-('TUSD BE'!$R$27+'TUSD BF'!$R$27+'TUSD CVA'!$R$27))*(1-CUSTOS!$M$37)</f>
        <v>279.80914554500617</v>
      </c>
      <c r="AA197" s="4">
        <f>('TE BE'!$AB$17+'TE BF'!$AB$17+'TE CVA'!$AB$17)*(1-CUSTOS!$M$37)</f>
        <v>203.38274236935246</v>
      </c>
      <c r="AB197" s="4">
        <f t="shared" si="18"/>
        <v>0</v>
      </c>
      <c r="AC197" s="4">
        <f>(L197-M197)*(W197+X197)+($W$186+$X$186-$W$197-$X$197)*(L197)</f>
        <v>0</v>
      </c>
      <c r="AD197" s="4">
        <f t="shared" si="19"/>
        <v>0</v>
      </c>
      <c r="AE197" s="4">
        <f ca="1">(L197-M197)*(Z197+AA197)+($Z$186+$AA$186-$Z$197-$AA$197)*(L197)</f>
        <v>0</v>
      </c>
      <c r="AF197" s="3" t="s">
        <v>666</v>
      </c>
    </row>
    <row r="198" spans="1:32" ht="11.25" customHeight="1" x14ac:dyDescent="0.25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50</v>
      </c>
      <c r="F198" s="3" t="s">
        <v>51</v>
      </c>
      <c r="G198" s="3" t="s">
        <v>25</v>
      </c>
      <c r="H198" s="3" t="s">
        <v>25</v>
      </c>
      <c r="I198" s="6">
        <v>44440</v>
      </c>
      <c r="J198" s="4">
        <v>0</v>
      </c>
      <c r="K198" s="4">
        <v>0</v>
      </c>
      <c r="L198" s="4">
        <v>0.73099999999999998</v>
      </c>
      <c r="M198" s="4">
        <v>0.73099999999999998</v>
      </c>
      <c r="N198" s="4">
        <v>0.73099999999999998</v>
      </c>
      <c r="O198" s="4">
        <v>0.73099999999999998</v>
      </c>
      <c r="P198" s="4">
        <v>0</v>
      </c>
      <c r="Q198" s="3" t="s">
        <v>26</v>
      </c>
      <c r="R198" s="3">
        <v>0</v>
      </c>
      <c r="S198" s="3">
        <v>0</v>
      </c>
      <c r="T198" s="3">
        <v>24</v>
      </c>
      <c r="U198" s="3">
        <v>63</v>
      </c>
      <c r="V198" s="4">
        <f>IF(ISERROR(VLOOKUP($S$198,'TAR FIN'!$A$1:$O$91,15,0)),0,VLOOKUP($S$198,'TAR FIN'!$A$1:$O$91,15,0))</f>
        <v>0</v>
      </c>
      <c r="W198" s="4">
        <f>IF(ISERROR(VLOOKUP($T$198,'TAR FIN'!$A$1:$O$91,15,0)),0,VLOOKUP($T$198,'TAR FIN'!$A$1:$O$91,15,0))</f>
        <v>275.13</v>
      </c>
      <c r="X198" s="4">
        <f>IF(ISERROR(VLOOKUP($U$198,'TAR FIN'!$A$1:$O$91,15,0)),0,VLOOKUP($U$198,'TAR FIN'!$A$1:$O$91,15,0))</f>
        <v>219.34</v>
      </c>
      <c r="Y198" s="4"/>
      <c r="Z198" s="4">
        <f ca="1">('TUSD BE'!$AM$36+'TUSD BF'!$AM$36+'TUSD CVA'!$AM$36)*(1-CUSTOS!$M$38)</f>
        <v>364.4729686309102</v>
      </c>
      <c r="AA198" s="4">
        <f>('TE BE'!$AB$26+'TE BF'!$AB$26+'TE CVA'!$AB$26)*(1-CUSTOS!$M$38)</f>
        <v>191.17977782719129</v>
      </c>
      <c r="AB198" s="4">
        <f t="shared" si="18"/>
        <v>0</v>
      </c>
      <c r="AC198" s="4">
        <f>(L198-M198)*(W198+X198)+($W$146+$X$146-$W$198-$X$198)*(L198)</f>
        <v>49.291329999999981</v>
      </c>
      <c r="AD198" s="4">
        <f t="shared" si="19"/>
        <v>0</v>
      </c>
      <c r="AE198" s="4">
        <f ca="1">(L198-M198)*(Z198+AA198)+($Z$146+$AA$146-$Z$198-$AA$198)*(L198)</f>
        <v>25.92652070175787</v>
      </c>
      <c r="AF198" s="3" t="s">
        <v>667</v>
      </c>
    </row>
    <row r="199" spans="1:32" ht="11.25" customHeight="1" x14ac:dyDescent="0.25">
      <c r="A199" s="3" t="s">
        <v>21</v>
      </c>
      <c r="B199" s="3" t="s">
        <v>40</v>
      </c>
      <c r="C199" s="3" t="s">
        <v>23</v>
      </c>
      <c r="D199" s="3" t="s">
        <v>41</v>
      </c>
      <c r="E199" s="3" t="s">
        <v>50</v>
      </c>
      <c r="F199" s="3" t="s">
        <v>51</v>
      </c>
      <c r="G199" s="3" t="s">
        <v>25</v>
      </c>
      <c r="H199" s="3" t="s">
        <v>25</v>
      </c>
      <c r="I199" s="6">
        <v>44470</v>
      </c>
      <c r="J199" s="4">
        <v>0</v>
      </c>
      <c r="K199" s="4">
        <v>0</v>
      </c>
      <c r="L199" s="4">
        <v>0.50800000000000001</v>
      </c>
      <c r="M199" s="4">
        <v>0.50800000000000001</v>
      </c>
      <c r="N199" s="4">
        <v>0.50800000000000001</v>
      </c>
      <c r="O199" s="4">
        <v>0.50800000000000001</v>
      </c>
      <c r="P199" s="4">
        <v>0</v>
      </c>
      <c r="Q199" s="3" t="s">
        <v>26</v>
      </c>
      <c r="R199" s="3">
        <v>0</v>
      </c>
      <c r="S199" s="3">
        <v>0</v>
      </c>
      <c r="T199" s="3">
        <v>24</v>
      </c>
      <c r="U199" s="3">
        <v>63</v>
      </c>
      <c r="V199" s="4">
        <f>IF(ISERROR(VLOOKUP($S$199,'TAR FIN'!$A$1:$O$91,15,0)),0,VLOOKUP($S$199,'TAR FIN'!$A$1:$O$91,15,0))</f>
        <v>0</v>
      </c>
      <c r="W199" s="4">
        <f>IF(ISERROR(VLOOKUP($T$199,'TAR FIN'!$A$1:$O$91,15,0)),0,VLOOKUP($T$199,'TAR FIN'!$A$1:$O$91,15,0))</f>
        <v>275.13</v>
      </c>
      <c r="X199" s="4">
        <f>IF(ISERROR(VLOOKUP($U$199,'TAR FIN'!$A$1:$O$91,15,0)),0,VLOOKUP($U$199,'TAR FIN'!$A$1:$O$91,15,0))</f>
        <v>219.34</v>
      </c>
      <c r="Y199" s="4"/>
      <c r="Z199" s="4">
        <f ca="1">('TUSD BE'!$AM$36+'TUSD BF'!$AM$36+'TUSD CVA'!$AM$36)*(1-CUSTOS!$M$38)</f>
        <v>364.4729686309102</v>
      </c>
      <c r="AA199" s="4">
        <f>('TE BE'!$AB$26+'TE BF'!$AB$26+'TE CVA'!$AB$26)*(1-CUSTOS!$M$38)</f>
        <v>191.17977782719129</v>
      </c>
      <c r="AB199" s="4">
        <f t="shared" si="18"/>
        <v>0</v>
      </c>
      <c r="AC199" s="4">
        <f>(L199-M199)*(W199+X199)+($W$146+$X$146-$W$199-$X$199)*(L199)</f>
        <v>34.254439999999988</v>
      </c>
      <c r="AD199" s="4">
        <f t="shared" si="19"/>
        <v>0</v>
      </c>
      <c r="AE199" s="4">
        <f ca="1">(L199-M199)*(Z199+AA199)+($Z$146+$AA$146-$Z$199-$AA$199)*(L199)</f>
        <v>18.017335863875513</v>
      </c>
      <c r="AF199" s="3" t="s">
        <v>667</v>
      </c>
    </row>
    <row r="200" spans="1:32" ht="11.25" customHeight="1" x14ac:dyDescent="0.25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50</v>
      </c>
      <c r="F200" s="3" t="s">
        <v>51</v>
      </c>
      <c r="G200" s="3" t="s">
        <v>25</v>
      </c>
      <c r="H200" s="3" t="s">
        <v>25</v>
      </c>
      <c r="I200" s="6">
        <v>44501</v>
      </c>
      <c r="J200" s="4">
        <v>0</v>
      </c>
      <c r="K200" s="4">
        <v>0</v>
      </c>
      <c r="L200" s="4">
        <v>1.038</v>
      </c>
      <c r="M200" s="4">
        <v>1.038</v>
      </c>
      <c r="N200" s="4">
        <v>1.038</v>
      </c>
      <c r="O200" s="4">
        <v>1.038</v>
      </c>
      <c r="P200" s="4">
        <v>0</v>
      </c>
      <c r="Q200" s="3" t="s">
        <v>26</v>
      </c>
      <c r="R200" s="3">
        <v>0</v>
      </c>
      <c r="S200" s="3">
        <v>0</v>
      </c>
      <c r="T200" s="3">
        <v>24</v>
      </c>
      <c r="U200" s="3">
        <v>63</v>
      </c>
      <c r="V200" s="4">
        <f>IF(ISERROR(VLOOKUP($S$200,'TAR FIN'!$A$1:$O$91,15,0)),0,VLOOKUP($S$200,'TAR FIN'!$A$1:$O$91,15,0))</f>
        <v>0</v>
      </c>
      <c r="W200" s="4">
        <f>IF(ISERROR(VLOOKUP($T$200,'TAR FIN'!$A$1:$O$91,15,0)),0,VLOOKUP($T$200,'TAR FIN'!$A$1:$O$91,15,0))</f>
        <v>275.13</v>
      </c>
      <c r="X200" s="4">
        <f>IF(ISERROR(VLOOKUP($U$200,'TAR FIN'!$A$1:$O$91,15,0)),0,VLOOKUP($U$200,'TAR FIN'!$A$1:$O$91,15,0))</f>
        <v>219.34</v>
      </c>
      <c r="Y200" s="4"/>
      <c r="Z200" s="4">
        <f ca="1">('TUSD BE'!$AM$36+'TUSD BF'!$AM$36+'TUSD CVA'!$AM$36)*(1-CUSTOS!$M$38)</f>
        <v>364.4729686309102</v>
      </c>
      <c r="AA200" s="4">
        <f>('TE BE'!$AB$26+'TE BF'!$AB$26+'TE CVA'!$AB$26)*(1-CUSTOS!$M$38)</f>
        <v>191.17977782719129</v>
      </c>
      <c r="AB200" s="4">
        <f t="shared" si="18"/>
        <v>0</v>
      </c>
      <c r="AC200" s="4">
        <f>(L200-M200)*(W200+X200)+($W$146+$X$146-$W$200-$X$200)*(L200)</f>
        <v>69.992339999999984</v>
      </c>
      <c r="AD200" s="4">
        <f t="shared" si="19"/>
        <v>0</v>
      </c>
      <c r="AE200" s="4">
        <f ca="1">(L200-M200)*(Z200+AA200)+($Z$146+$AA$146-$Z$200-$AA$200)*(L200)</f>
        <v>36.814950052564534</v>
      </c>
      <c r="AF200" s="3" t="s">
        <v>667</v>
      </c>
    </row>
    <row r="201" spans="1:32" ht="11.25" customHeight="1" x14ac:dyDescent="0.25">
      <c r="A201" s="3" t="s">
        <v>21</v>
      </c>
      <c r="B201" s="3" t="s">
        <v>40</v>
      </c>
      <c r="C201" s="3" t="s">
        <v>23</v>
      </c>
      <c r="D201" s="3" t="s">
        <v>41</v>
      </c>
      <c r="E201" s="3" t="s">
        <v>50</v>
      </c>
      <c r="F201" s="3" t="s">
        <v>51</v>
      </c>
      <c r="G201" s="3" t="s">
        <v>25</v>
      </c>
      <c r="H201" s="3" t="s">
        <v>25</v>
      </c>
      <c r="I201" s="6">
        <v>44531</v>
      </c>
      <c r="J201" s="4">
        <v>0</v>
      </c>
      <c r="K201" s="4">
        <v>0</v>
      </c>
      <c r="L201" s="4">
        <v>1.57</v>
      </c>
      <c r="M201" s="4">
        <v>1.57</v>
      </c>
      <c r="N201" s="4">
        <v>1.57</v>
      </c>
      <c r="O201" s="4">
        <v>1.57</v>
      </c>
      <c r="P201" s="4">
        <v>0</v>
      </c>
      <c r="Q201" s="3" t="s">
        <v>26</v>
      </c>
      <c r="R201" s="3">
        <v>0</v>
      </c>
      <c r="S201" s="3">
        <v>0</v>
      </c>
      <c r="T201" s="3">
        <v>24</v>
      </c>
      <c r="U201" s="3">
        <v>63</v>
      </c>
      <c r="V201" s="4">
        <f>IF(ISERROR(VLOOKUP($S$201,'TAR FIN'!$A$1:$O$91,15,0)),0,VLOOKUP($S$201,'TAR FIN'!$A$1:$O$91,15,0))</f>
        <v>0</v>
      </c>
      <c r="W201" s="4">
        <f>IF(ISERROR(VLOOKUP($T$201,'TAR FIN'!$A$1:$O$91,15,0)),0,VLOOKUP($T$201,'TAR FIN'!$A$1:$O$91,15,0))</f>
        <v>275.13</v>
      </c>
      <c r="X201" s="4">
        <f>IF(ISERROR(VLOOKUP($U$201,'TAR FIN'!$A$1:$O$91,15,0)),0,VLOOKUP($U$201,'TAR FIN'!$A$1:$O$91,15,0))</f>
        <v>219.34</v>
      </c>
      <c r="Y201" s="4"/>
      <c r="Z201" s="4">
        <f ca="1">('TUSD BE'!$AM$36+'TUSD BF'!$AM$36+'TUSD CVA'!$AM$36)*(1-CUSTOS!$M$38)</f>
        <v>364.4729686309102</v>
      </c>
      <c r="AA201" s="4">
        <f>('TE BE'!$AB$26+'TE BF'!$AB$26+'TE CVA'!$AB$26)*(1-CUSTOS!$M$38)</f>
        <v>191.17977782719129</v>
      </c>
      <c r="AB201" s="4">
        <f t="shared" si="18"/>
        <v>0</v>
      </c>
      <c r="AC201" s="4">
        <f>(L201-M201)*(W201+X201)+($W$146+$X$146-$W$201-$X$201)*(L201)</f>
        <v>105.86509999999997</v>
      </c>
      <c r="AD201" s="4">
        <f t="shared" si="19"/>
        <v>0</v>
      </c>
      <c r="AE201" s="4">
        <f ca="1">(L201-M201)*(Z201+AA201)+($Z$146+$AA$146-$Z$201-$AA$201)*(L201)</f>
        <v>55.683498634418413</v>
      </c>
      <c r="AF201" s="3" t="s">
        <v>667</v>
      </c>
    </row>
    <row r="202" spans="1:32" ht="11.25" customHeight="1" x14ac:dyDescent="0.25">
      <c r="A202" s="3" t="s">
        <v>21</v>
      </c>
      <c r="B202" s="3" t="s">
        <v>40</v>
      </c>
      <c r="C202" s="3" t="s">
        <v>23</v>
      </c>
      <c r="D202" s="3" t="s">
        <v>41</v>
      </c>
      <c r="E202" s="3" t="s">
        <v>50</v>
      </c>
      <c r="F202" s="3" t="s">
        <v>51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2.165</v>
      </c>
      <c r="M202" s="4">
        <v>2.165</v>
      </c>
      <c r="N202" s="4">
        <v>2.165</v>
      </c>
      <c r="O202" s="4">
        <v>2.165</v>
      </c>
      <c r="P202" s="4">
        <v>0</v>
      </c>
      <c r="Q202" s="3" t="s">
        <v>26</v>
      </c>
      <c r="R202" s="3">
        <v>0</v>
      </c>
      <c r="S202" s="3">
        <v>0</v>
      </c>
      <c r="T202" s="3">
        <v>24</v>
      </c>
      <c r="U202" s="3">
        <v>63</v>
      </c>
      <c r="V202" s="4">
        <f>IF(ISERROR(VLOOKUP($S$202,'TAR FIN'!$A$1:$O$91,15,0)),0,VLOOKUP($S$202,'TAR FIN'!$A$1:$O$91,15,0))</f>
        <v>0</v>
      </c>
      <c r="W202" s="4">
        <f>IF(ISERROR(VLOOKUP($T$202,'TAR FIN'!$A$1:$O$91,15,0)),0,VLOOKUP($T$202,'TAR FIN'!$A$1:$O$91,15,0))</f>
        <v>275.13</v>
      </c>
      <c r="X202" s="4">
        <f>IF(ISERROR(VLOOKUP($U$202,'TAR FIN'!$A$1:$O$91,15,0)),0,VLOOKUP($U$202,'TAR FIN'!$A$1:$O$91,15,0))</f>
        <v>219.34</v>
      </c>
      <c r="Y202" s="4"/>
      <c r="Z202" s="4">
        <f ca="1">('TUSD BE'!$AM$36+'TUSD BF'!$AM$36+'TUSD CVA'!$AM$36)*(1-CUSTOS!$M$38)</f>
        <v>364.4729686309102</v>
      </c>
      <c r="AA202" s="4">
        <f>('TE BE'!$AB$26+'TE BF'!$AB$26+'TE CVA'!$AB$26)*(1-CUSTOS!$M$38)</f>
        <v>191.17977782719129</v>
      </c>
      <c r="AB202" s="4">
        <f t="shared" si="18"/>
        <v>0</v>
      </c>
      <c r="AC202" s="4">
        <f>(L202-M202)*(W202+X202)+($W$146+$X$146-$W$202-$X$202)*(L202)</f>
        <v>145.98594999999995</v>
      </c>
      <c r="AD202" s="4">
        <f t="shared" si="19"/>
        <v>0</v>
      </c>
      <c r="AE202" s="4">
        <f ca="1">(L202-M202)*(Z202+AA202)+($Z$146+$AA$146-$Z$202-$AA$202)*(L202)</f>
        <v>76.786480600965518</v>
      </c>
      <c r="AF202" s="3" t="s">
        <v>667</v>
      </c>
    </row>
    <row r="203" spans="1:32" ht="11.25" customHeight="1" x14ac:dyDescent="0.25">
      <c r="A203" s="3" t="s">
        <v>21</v>
      </c>
      <c r="B203" s="3" t="s">
        <v>40</v>
      </c>
      <c r="C203" s="3" t="s">
        <v>23</v>
      </c>
      <c r="D203" s="3" t="s">
        <v>41</v>
      </c>
      <c r="E203" s="3" t="s">
        <v>50</v>
      </c>
      <c r="F203" s="3" t="s">
        <v>51</v>
      </c>
      <c r="G203" s="3" t="s">
        <v>25</v>
      </c>
      <c r="H203" s="3" t="s">
        <v>25</v>
      </c>
      <c r="I203" s="6">
        <v>44593</v>
      </c>
      <c r="J203" s="4">
        <v>0</v>
      </c>
      <c r="K203" s="4">
        <v>0</v>
      </c>
      <c r="L203" s="4">
        <v>1.4279999999999999</v>
      </c>
      <c r="M203" s="4">
        <v>1.4279999999999999</v>
      </c>
      <c r="N203" s="4">
        <v>1.4279999999999999</v>
      </c>
      <c r="O203" s="4">
        <v>1.4279999999999999</v>
      </c>
      <c r="P203" s="4">
        <v>0</v>
      </c>
      <c r="Q203" s="3" t="s">
        <v>26</v>
      </c>
      <c r="R203" s="3">
        <v>0</v>
      </c>
      <c r="S203" s="3">
        <v>0</v>
      </c>
      <c r="T203" s="3">
        <v>24</v>
      </c>
      <c r="U203" s="3">
        <v>63</v>
      </c>
      <c r="V203" s="4">
        <f>IF(ISERROR(VLOOKUP($S$203,'TAR FIN'!$A$1:$O$91,15,0)),0,VLOOKUP($S$203,'TAR FIN'!$A$1:$O$91,15,0))</f>
        <v>0</v>
      </c>
      <c r="W203" s="4">
        <f>IF(ISERROR(VLOOKUP($T$203,'TAR FIN'!$A$1:$O$91,15,0)),0,VLOOKUP($T$203,'TAR FIN'!$A$1:$O$91,15,0))</f>
        <v>275.13</v>
      </c>
      <c r="X203" s="4">
        <f>IF(ISERROR(VLOOKUP($U$203,'TAR FIN'!$A$1:$O$91,15,0)),0,VLOOKUP($U$203,'TAR FIN'!$A$1:$O$91,15,0))</f>
        <v>219.34</v>
      </c>
      <c r="Y203" s="4"/>
      <c r="Z203" s="4">
        <f ca="1">('TUSD BE'!$AM$36+'TUSD BF'!$AM$36+'TUSD CVA'!$AM$36)*(1-CUSTOS!$M$38)</f>
        <v>364.4729686309102</v>
      </c>
      <c r="AA203" s="4">
        <f>('TE BE'!$AB$26+'TE BF'!$AB$26+'TE CVA'!$AB$26)*(1-CUSTOS!$M$38)</f>
        <v>191.17977782719129</v>
      </c>
      <c r="AB203" s="4">
        <f t="shared" si="18"/>
        <v>0</v>
      </c>
      <c r="AC203" s="4">
        <f>(L203-M203)*(W203+X203)+($W$146+$X$146-$W$203-$X$203)*(L203)</f>
        <v>96.290039999999962</v>
      </c>
      <c r="AD203" s="4">
        <f t="shared" si="19"/>
        <v>0</v>
      </c>
      <c r="AE203" s="4">
        <f ca="1">(L203-M203)*(Z203+AA203)+($Z$146+$AA$146-$Z$203-$AA$203)*(L203)</f>
        <v>50.647156719713053</v>
      </c>
      <c r="AF203" s="3" t="s">
        <v>667</v>
      </c>
    </row>
    <row r="204" spans="1:32" ht="11.25" customHeight="1" x14ac:dyDescent="0.25">
      <c r="A204" s="3" t="s">
        <v>21</v>
      </c>
      <c r="B204" s="3" t="s">
        <v>40</v>
      </c>
      <c r="C204" s="3" t="s">
        <v>23</v>
      </c>
      <c r="D204" s="3" t="s">
        <v>41</v>
      </c>
      <c r="E204" s="3" t="s">
        <v>50</v>
      </c>
      <c r="F204" s="3" t="s">
        <v>51</v>
      </c>
      <c r="G204" s="3" t="s">
        <v>25</v>
      </c>
      <c r="H204" s="3" t="s">
        <v>25</v>
      </c>
      <c r="I204" s="6">
        <v>44621</v>
      </c>
      <c r="J204" s="4">
        <v>0</v>
      </c>
      <c r="K204" s="4">
        <v>0</v>
      </c>
      <c r="L204" s="4">
        <v>0.57299999999999995</v>
      </c>
      <c r="M204" s="4">
        <v>0.57299999999999995</v>
      </c>
      <c r="N204" s="4">
        <v>0.57299999999999995</v>
      </c>
      <c r="O204" s="4">
        <v>0.57299999999999995</v>
      </c>
      <c r="P204" s="4">
        <v>0</v>
      </c>
      <c r="Q204" s="3" t="s">
        <v>26</v>
      </c>
      <c r="R204" s="3">
        <v>0</v>
      </c>
      <c r="S204" s="3">
        <v>0</v>
      </c>
      <c r="T204" s="3">
        <v>24</v>
      </c>
      <c r="U204" s="3">
        <v>63</v>
      </c>
      <c r="V204" s="4">
        <f>IF(ISERROR(VLOOKUP($S$204,'TAR FIN'!$A$1:$O$91,15,0)),0,VLOOKUP($S$204,'TAR FIN'!$A$1:$O$91,15,0))</f>
        <v>0</v>
      </c>
      <c r="W204" s="4">
        <f>IF(ISERROR(VLOOKUP($T$204,'TAR FIN'!$A$1:$O$91,15,0)),0,VLOOKUP($T$204,'TAR FIN'!$A$1:$O$91,15,0))</f>
        <v>275.13</v>
      </c>
      <c r="X204" s="4">
        <f>IF(ISERROR(VLOOKUP($U$204,'TAR FIN'!$A$1:$O$91,15,0)),0,VLOOKUP($U$204,'TAR FIN'!$A$1:$O$91,15,0))</f>
        <v>219.34</v>
      </c>
      <c r="Y204" s="4"/>
      <c r="Z204" s="4">
        <f ca="1">('TUSD BE'!$AM$36+'TUSD BF'!$AM$36+'TUSD CVA'!$AM$36)*(1-CUSTOS!$M$38)</f>
        <v>364.4729686309102</v>
      </c>
      <c r="AA204" s="4">
        <f>('TE BE'!$AB$26+'TE BF'!$AB$26+'TE CVA'!$AB$26)*(1-CUSTOS!$M$38)</f>
        <v>191.17977782719129</v>
      </c>
      <c r="AB204" s="4">
        <f t="shared" si="18"/>
        <v>0</v>
      </c>
      <c r="AC204" s="4">
        <f>(L204-M204)*(W204+X204)+($W$146+$X$146-$W$204-$X$204)*(L204)</f>
        <v>38.637389999999982</v>
      </c>
      <c r="AD204" s="4">
        <f t="shared" si="19"/>
        <v>0</v>
      </c>
      <c r="AE204" s="4">
        <f ca="1">(L204-M204)*(Z204+AA204)+($Z$146+$AA$146-$Z$204-$AA$204)*(L204)</f>
        <v>20.322703641733597</v>
      </c>
      <c r="AF204" s="3" t="s">
        <v>667</v>
      </c>
    </row>
    <row r="205" spans="1:32" ht="11.25" customHeight="1" x14ac:dyDescent="0.25">
      <c r="A205" s="3" t="s">
        <v>21</v>
      </c>
      <c r="B205" s="3" t="s">
        <v>40</v>
      </c>
      <c r="C205" s="3" t="s">
        <v>23</v>
      </c>
      <c r="D205" s="3" t="s">
        <v>41</v>
      </c>
      <c r="E205" s="3" t="s">
        <v>50</v>
      </c>
      <c r="F205" s="3" t="s">
        <v>51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0.623</v>
      </c>
      <c r="M205" s="4">
        <v>0.623</v>
      </c>
      <c r="N205" s="4">
        <v>0.623</v>
      </c>
      <c r="O205" s="4">
        <v>0.623</v>
      </c>
      <c r="P205" s="4">
        <v>0</v>
      </c>
      <c r="Q205" s="3" t="s">
        <v>26</v>
      </c>
      <c r="R205" s="3">
        <v>0</v>
      </c>
      <c r="S205" s="3">
        <v>0</v>
      </c>
      <c r="T205" s="3">
        <v>24</v>
      </c>
      <c r="U205" s="3">
        <v>63</v>
      </c>
      <c r="V205" s="4">
        <f>IF(ISERROR(VLOOKUP($S$205,'TAR FIN'!$A$1:$O$91,15,0)),0,VLOOKUP($S$205,'TAR FIN'!$A$1:$O$91,15,0))</f>
        <v>0</v>
      </c>
      <c r="W205" s="4">
        <f>IF(ISERROR(VLOOKUP($T$205,'TAR FIN'!$A$1:$O$91,15,0)),0,VLOOKUP($T$205,'TAR FIN'!$A$1:$O$91,15,0))</f>
        <v>275.13</v>
      </c>
      <c r="X205" s="4">
        <f>IF(ISERROR(VLOOKUP($U$205,'TAR FIN'!$A$1:$O$91,15,0)),0,VLOOKUP($U$205,'TAR FIN'!$A$1:$O$91,15,0))</f>
        <v>219.34</v>
      </c>
      <c r="Y205" s="4"/>
      <c r="Z205" s="4">
        <f ca="1">('TUSD BE'!$AM$36+'TUSD BF'!$AM$36+'TUSD CVA'!$AM$36)*(1-CUSTOS!$M$38)</f>
        <v>364.4729686309102</v>
      </c>
      <c r="AA205" s="4">
        <f>('TE BE'!$AB$26+'TE BF'!$AB$26+'TE CVA'!$AB$26)*(1-CUSTOS!$M$38)</f>
        <v>191.17977782719129</v>
      </c>
      <c r="AB205" s="4">
        <f t="shared" si="18"/>
        <v>0</v>
      </c>
      <c r="AC205" s="4">
        <f>(L205-M205)*(W205+X205)+($W$146+$X$146-$W$205-$X$205)*(L205)</f>
        <v>42.008889999999987</v>
      </c>
      <c r="AD205" s="4">
        <f t="shared" si="19"/>
        <v>0</v>
      </c>
      <c r="AE205" s="4">
        <f ca="1">(L205-M205)*(Z205+AA205)+($Z$146+$AA$146-$Z$205-$AA$205)*(L205)</f>
        <v>22.096063470855203</v>
      </c>
      <c r="AF205" s="3" t="s">
        <v>667</v>
      </c>
    </row>
    <row r="206" spans="1:32" ht="11.25" customHeight="1" x14ac:dyDescent="0.25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50</v>
      </c>
      <c r="F206" s="3" t="s">
        <v>51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0.71699999999999997</v>
      </c>
      <c r="M206" s="4">
        <v>0.71699999999999997</v>
      </c>
      <c r="N206" s="4">
        <v>0.71699999999999997</v>
      </c>
      <c r="O206" s="4">
        <v>0.71699999999999997</v>
      </c>
      <c r="P206" s="4">
        <v>0</v>
      </c>
      <c r="Q206" s="3" t="s">
        <v>26</v>
      </c>
      <c r="R206" s="3">
        <v>0</v>
      </c>
      <c r="S206" s="3">
        <v>0</v>
      </c>
      <c r="T206" s="3">
        <v>24</v>
      </c>
      <c r="U206" s="3">
        <v>63</v>
      </c>
      <c r="V206" s="4">
        <f>IF(ISERROR(VLOOKUP($S$206,'TAR FIN'!$A$1:$O$91,15,0)),0,VLOOKUP($S$206,'TAR FIN'!$A$1:$O$91,15,0))</f>
        <v>0</v>
      </c>
      <c r="W206" s="4">
        <f>IF(ISERROR(VLOOKUP($T$206,'TAR FIN'!$A$1:$O$91,15,0)),0,VLOOKUP($T$206,'TAR FIN'!$A$1:$O$91,15,0))</f>
        <v>275.13</v>
      </c>
      <c r="X206" s="4">
        <f>IF(ISERROR(VLOOKUP($U$206,'TAR FIN'!$A$1:$O$91,15,0)),0,VLOOKUP($U$206,'TAR FIN'!$A$1:$O$91,15,0))</f>
        <v>219.34</v>
      </c>
      <c r="Y206" s="4"/>
      <c r="Z206" s="4">
        <f ca="1">('TUSD BE'!$AM$36+'TUSD BF'!$AM$36+'TUSD CVA'!$AM$36)*(1-CUSTOS!$M$38)</f>
        <v>364.4729686309102</v>
      </c>
      <c r="AA206" s="4">
        <f>('TE BE'!$AB$26+'TE BF'!$AB$26+'TE CVA'!$AB$26)*(1-CUSTOS!$M$38)</f>
        <v>191.17977782719129</v>
      </c>
      <c r="AB206" s="4">
        <f t="shared" si="18"/>
        <v>0</v>
      </c>
      <c r="AC206" s="4">
        <f>(L206-M206)*(W206+X206)+($W$146+$X$146-$W$206-$X$206)*(L206)</f>
        <v>48.347309999999986</v>
      </c>
      <c r="AD206" s="4">
        <f t="shared" si="19"/>
        <v>0</v>
      </c>
      <c r="AE206" s="4">
        <f ca="1">(L206-M206)*(Z206+AA206)+($Z$146+$AA$146-$Z$206-$AA$206)*(L206)</f>
        <v>25.429979949603823</v>
      </c>
      <c r="AF206" s="3" t="s">
        <v>667</v>
      </c>
    </row>
    <row r="207" spans="1:32" ht="11.25" customHeight="1" x14ac:dyDescent="0.25">
      <c r="A207" s="3" t="s">
        <v>21</v>
      </c>
      <c r="B207" s="3" t="s">
        <v>40</v>
      </c>
      <c r="C207" s="3" t="s">
        <v>23</v>
      </c>
      <c r="D207" s="3" t="s">
        <v>41</v>
      </c>
      <c r="E207" s="3" t="s">
        <v>50</v>
      </c>
      <c r="F207" s="3" t="s">
        <v>51</v>
      </c>
      <c r="G207" s="3" t="s">
        <v>25</v>
      </c>
      <c r="H207" s="3" t="s">
        <v>25</v>
      </c>
      <c r="I207" s="6">
        <v>44713</v>
      </c>
      <c r="J207" s="4">
        <v>0</v>
      </c>
      <c r="K207" s="4">
        <v>0</v>
      </c>
      <c r="L207" s="4">
        <v>0.83799999999999997</v>
      </c>
      <c r="M207" s="4">
        <v>0.83799999999999997</v>
      </c>
      <c r="N207" s="4">
        <v>0.83799999999999997</v>
      </c>
      <c r="O207" s="4">
        <v>0.83799999999999997</v>
      </c>
      <c r="P207" s="4">
        <v>0</v>
      </c>
      <c r="Q207" s="3" t="s">
        <v>26</v>
      </c>
      <c r="R207" s="3">
        <v>0</v>
      </c>
      <c r="S207" s="3">
        <v>0</v>
      </c>
      <c r="T207" s="3">
        <v>24</v>
      </c>
      <c r="U207" s="3">
        <v>63</v>
      </c>
      <c r="V207" s="4">
        <f>IF(ISERROR(VLOOKUP($S$207,'TAR FIN'!$A$1:$O$91,15,0)),0,VLOOKUP($S$207,'TAR FIN'!$A$1:$O$91,15,0))</f>
        <v>0</v>
      </c>
      <c r="W207" s="4">
        <f>IF(ISERROR(VLOOKUP($T$207,'TAR FIN'!$A$1:$O$91,15,0)),0,VLOOKUP($T$207,'TAR FIN'!$A$1:$O$91,15,0))</f>
        <v>275.13</v>
      </c>
      <c r="X207" s="4">
        <f>IF(ISERROR(VLOOKUP($U$207,'TAR FIN'!$A$1:$O$91,15,0)),0,VLOOKUP($U$207,'TAR FIN'!$A$1:$O$91,15,0))</f>
        <v>219.34</v>
      </c>
      <c r="Y207" s="4"/>
      <c r="Z207" s="4">
        <f ca="1">('TUSD BE'!$AM$36+'TUSD BF'!$AM$36+'TUSD CVA'!$AM$36)*(1-CUSTOS!$M$38)</f>
        <v>364.4729686309102</v>
      </c>
      <c r="AA207" s="4">
        <f>('TE BE'!$AB$26+'TE BF'!$AB$26+'TE CVA'!$AB$26)*(1-CUSTOS!$M$38)</f>
        <v>191.17977782719129</v>
      </c>
      <c r="AB207" s="4">
        <f t="shared" si="18"/>
        <v>0</v>
      </c>
      <c r="AC207" s="4">
        <f>(L207-M207)*(W207+X207)+($W$146+$X$146-$W$207-$X$207)*(L207)</f>
        <v>56.50633999999998</v>
      </c>
      <c r="AD207" s="4">
        <f t="shared" si="19"/>
        <v>0</v>
      </c>
      <c r="AE207" s="4">
        <f ca="1">(L207-M207)*(Z207+AA207)+($Z$146+$AA$146-$Z$207-$AA$207)*(L207)</f>
        <v>29.721510736078105</v>
      </c>
      <c r="AF207" s="3" t="s">
        <v>667</v>
      </c>
    </row>
    <row r="208" spans="1:32" ht="11.25" customHeight="1" x14ac:dyDescent="0.25">
      <c r="A208" s="3" t="s">
        <v>21</v>
      </c>
      <c r="B208" s="3" t="s">
        <v>40</v>
      </c>
      <c r="C208" s="3" t="s">
        <v>23</v>
      </c>
      <c r="D208" s="3" t="s">
        <v>41</v>
      </c>
      <c r="E208" s="3" t="s">
        <v>50</v>
      </c>
      <c r="F208" s="3" t="s">
        <v>51</v>
      </c>
      <c r="G208" s="3" t="s">
        <v>25</v>
      </c>
      <c r="H208" s="3" t="s">
        <v>25</v>
      </c>
      <c r="I208" s="6">
        <v>44743</v>
      </c>
      <c r="J208" s="4">
        <v>0</v>
      </c>
      <c r="K208" s="4">
        <v>0</v>
      </c>
      <c r="L208" s="4">
        <v>0.749</v>
      </c>
      <c r="M208" s="4">
        <v>0.749</v>
      </c>
      <c r="N208" s="4">
        <v>0.749</v>
      </c>
      <c r="O208" s="4">
        <v>0.749</v>
      </c>
      <c r="P208" s="4">
        <v>0</v>
      </c>
      <c r="Q208" s="3" t="s">
        <v>26</v>
      </c>
      <c r="R208" s="3">
        <v>0</v>
      </c>
      <c r="S208" s="3">
        <v>0</v>
      </c>
      <c r="T208" s="3">
        <v>24</v>
      </c>
      <c r="U208" s="3">
        <v>63</v>
      </c>
      <c r="V208" s="4">
        <f>IF(ISERROR(VLOOKUP($S$208,'TAR FIN'!$A$1:$O$91,15,0)),0,VLOOKUP($S$208,'TAR FIN'!$A$1:$O$91,15,0))</f>
        <v>0</v>
      </c>
      <c r="W208" s="4">
        <f>IF(ISERROR(VLOOKUP($T$208,'TAR FIN'!$A$1:$O$91,15,0)),0,VLOOKUP($T$208,'TAR FIN'!$A$1:$O$91,15,0))</f>
        <v>275.13</v>
      </c>
      <c r="X208" s="4">
        <f>IF(ISERROR(VLOOKUP($U$208,'TAR FIN'!$A$1:$O$91,15,0)),0,VLOOKUP($U$208,'TAR FIN'!$A$1:$O$91,15,0))</f>
        <v>219.34</v>
      </c>
      <c r="Y208" s="4"/>
      <c r="Z208" s="4">
        <f ca="1">('TUSD BE'!$AM$36+'TUSD BF'!$AM$36+'TUSD CVA'!$AM$36)*(1-CUSTOS!$M$38)</f>
        <v>364.4729686309102</v>
      </c>
      <c r="AA208" s="4">
        <f>('TE BE'!$AB$26+'TE BF'!$AB$26+'TE CVA'!$AB$26)*(1-CUSTOS!$M$38)</f>
        <v>191.17977782719129</v>
      </c>
      <c r="AB208" s="4">
        <f t="shared" si="18"/>
        <v>0</v>
      </c>
      <c r="AC208" s="4">
        <f>(L208-M208)*(W208+X208)+($W$146+$X$146-$W$208-$X$208)*(L208)</f>
        <v>50.505069999999982</v>
      </c>
      <c r="AD208" s="4">
        <f t="shared" si="19"/>
        <v>0</v>
      </c>
      <c r="AE208" s="4">
        <f ca="1">(L208-M208)*(Z208+AA208)+($Z$146+$AA$146-$Z$208-$AA$208)*(L208)</f>
        <v>26.564930240241651</v>
      </c>
      <c r="AF208" s="3" t="s">
        <v>667</v>
      </c>
    </row>
    <row r="209" spans="1:32" ht="11.25" customHeight="1" x14ac:dyDescent="0.25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50</v>
      </c>
      <c r="F209" s="3" t="s">
        <v>51</v>
      </c>
      <c r="G209" s="3" t="s">
        <v>25</v>
      </c>
      <c r="H209" s="3" t="s">
        <v>25</v>
      </c>
      <c r="I209" s="6">
        <v>44774</v>
      </c>
      <c r="J209" s="4">
        <v>0</v>
      </c>
      <c r="K209" s="4">
        <v>0</v>
      </c>
      <c r="L209" s="4">
        <v>0.90300000000000002</v>
      </c>
      <c r="M209" s="4">
        <v>0.90300000000000002</v>
      </c>
      <c r="N209" s="4">
        <v>0.90300000000000002</v>
      </c>
      <c r="O209" s="4">
        <v>0.90300000000000002</v>
      </c>
      <c r="P209" s="4">
        <v>0</v>
      </c>
      <c r="Q209" s="3" t="s">
        <v>26</v>
      </c>
      <c r="R209" s="3">
        <v>0</v>
      </c>
      <c r="S209" s="3">
        <v>0</v>
      </c>
      <c r="T209" s="3">
        <v>24</v>
      </c>
      <c r="U209" s="3">
        <v>63</v>
      </c>
      <c r="V209" s="4">
        <f>IF(ISERROR(VLOOKUP($S$209,'TAR FIN'!$A$1:$O$91,15,0)),0,VLOOKUP($S$209,'TAR FIN'!$A$1:$O$91,15,0))</f>
        <v>0</v>
      </c>
      <c r="W209" s="4">
        <f>IF(ISERROR(VLOOKUP($T$209,'TAR FIN'!$A$1:$O$91,15,0)),0,VLOOKUP($T$209,'TAR FIN'!$A$1:$O$91,15,0))</f>
        <v>275.13</v>
      </c>
      <c r="X209" s="4">
        <f>IF(ISERROR(VLOOKUP($U$209,'TAR FIN'!$A$1:$O$91,15,0)),0,VLOOKUP($U$209,'TAR FIN'!$A$1:$O$91,15,0))</f>
        <v>219.34</v>
      </c>
      <c r="Y209" s="4"/>
      <c r="Z209" s="4">
        <f ca="1">('TUSD BE'!$AM$36+'TUSD BF'!$AM$36+'TUSD CVA'!$AM$36)*(1-CUSTOS!$M$38)</f>
        <v>364.4729686309102</v>
      </c>
      <c r="AA209" s="4">
        <f>('TE BE'!$AB$26+'TE BF'!$AB$26+'TE CVA'!$AB$26)*(1-CUSTOS!$M$38)</f>
        <v>191.17977782719129</v>
      </c>
      <c r="AB209" s="4">
        <f t="shared" si="18"/>
        <v>0</v>
      </c>
      <c r="AC209" s="4">
        <f>(L209-M209)*(W209+X209)+($W$146+$X$146-$W$209-$X$209)*(L209)</f>
        <v>60.889289999999981</v>
      </c>
      <c r="AD209" s="4">
        <f t="shared" si="19"/>
        <v>0</v>
      </c>
      <c r="AE209" s="4">
        <f ca="1">(L209-M209)*(Z209+AA209)+($Z$146+$AA$146-$Z$209-$AA$209)*(L209)</f>
        <v>32.026878513936197</v>
      </c>
      <c r="AF209" s="3" t="s">
        <v>667</v>
      </c>
    </row>
    <row r="210" spans="1:32" ht="11.25" customHeight="1" x14ac:dyDescent="0.25">
      <c r="A210" s="3" t="s">
        <v>21</v>
      </c>
      <c r="B210" s="3" t="s">
        <v>40</v>
      </c>
      <c r="C210" s="3" t="s">
        <v>23</v>
      </c>
      <c r="D210" s="3" t="s">
        <v>41</v>
      </c>
      <c r="E210" s="3" t="s">
        <v>50</v>
      </c>
      <c r="F210" s="3" t="s">
        <v>52</v>
      </c>
      <c r="G210" s="3" t="s">
        <v>25</v>
      </c>
      <c r="H210" s="3" t="s">
        <v>25</v>
      </c>
      <c r="I210" s="6">
        <v>44440</v>
      </c>
      <c r="J210" s="4">
        <v>0</v>
      </c>
      <c r="K210" s="4">
        <v>0</v>
      </c>
      <c r="L210" s="4">
        <v>0.14299999999999999</v>
      </c>
      <c r="M210" s="4">
        <v>5.7200000000000001E-2</v>
      </c>
      <c r="N210" s="4">
        <v>0.14299999999999999</v>
      </c>
      <c r="O210" s="4">
        <v>5.7200000000000001E-2</v>
      </c>
      <c r="P210" s="4">
        <v>0</v>
      </c>
      <c r="Q210" s="3" t="s">
        <v>26</v>
      </c>
      <c r="R210" s="3">
        <v>0</v>
      </c>
      <c r="S210" s="3">
        <v>0</v>
      </c>
      <c r="T210" s="3">
        <v>24</v>
      </c>
      <c r="U210" s="3">
        <v>63</v>
      </c>
      <c r="V210" s="4">
        <f>IF(ISERROR(VLOOKUP($S$210,'TAR FIN'!$A$1:$O$91,15,0)),0,VLOOKUP($S$210,'TAR FIN'!$A$1:$O$91,15,0))</f>
        <v>0</v>
      </c>
      <c r="W210" s="4">
        <f>IF(ISERROR(VLOOKUP($T$210,'TAR FIN'!$A$1:$O$91,15,0)),0,VLOOKUP($T$210,'TAR FIN'!$A$1:$O$91,15,0))</f>
        <v>275.13</v>
      </c>
      <c r="X210" s="4">
        <f>IF(ISERROR(VLOOKUP($U$210,'TAR FIN'!$A$1:$O$91,15,0)),0,VLOOKUP($U$210,'TAR FIN'!$A$1:$O$91,15,0))</f>
        <v>219.34</v>
      </c>
      <c r="Y210" s="4"/>
      <c r="Z210" s="4">
        <f ca="1">('TUSD BE'!$AM$36+'TUSD BF'!$AM$36+'TUSD CVA'!$AM$36)*(1-CUSTOS!$M$38)</f>
        <v>364.4729686309102</v>
      </c>
      <c r="AA210" s="4">
        <f>('TE BE'!$AB$26+'TE BF'!$AB$26+'TE CVA'!$AB$26)*(1-CUSTOS!$M$38)</f>
        <v>191.17977782719129</v>
      </c>
      <c r="AB210" s="4">
        <f t="shared" si="18"/>
        <v>0</v>
      </c>
      <c r="AC210" s="4">
        <f>(L210-M210)*(W210+X210)+($W$146+$X$146-$W$210-$X$210)*(L210)</f>
        <v>52.068015999999993</v>
      </c>
      <c r="AD210" s="4">
        <f t="shared" si="19"/>
        <v>0</v>
      </c>
      <c r="AE210" s="4">
        <f ca="1">(L210-M210)*(Z210+AA210)+($Z$146+$AA$146-$Z$210-$AA$210)*(L210)</f>
        <v>52.746814757392897</v>
      </c>
      <c r="AF210" s="3" t="s">
        <v>668</v>
      </c>
    </row>
    <row r="211" spans="1:32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50</v>
      </c>
      <c r="F211" s="3" t="s">
        <v>52</v>
      </c>
      <c r="G211" s="3" t="s">
        <v>25</v>
      </c>
      <c r="H211" s="3" t="s">
        <v>25</v>
      </c>
      <c r="I211" s="6">
        <v>44470</v>
      </c>
      <c r="J211" s="4">
        <v>0</v>
      </c>
      <c r="K211" s="4">
        <v>0</v>
      </c>
      <c r="L211" s="4">
        <v>4.2999999999999997E-2</v>
      </c>
      <c r="M211" s="4">
        <v>1.72E-2</v>
      </c>
      <c r="N211" s="4">
        <v>4.2999999999999997E-2</v>
      </c>
      <c r="O211" s="4">
        <v>1.72E-2</v>
      </c>
      <c r="P211" s="4">
        <v>0</v>
      </c>
      <c r="Q211" s="3" t="s">
        <v>26</v>
      </c>
      <c r="R211" s="3">
        <v>0</v>
      </c>
      <c r="S211" s="3">
        <v>0</v>
      </c>
      <c r="T211" s="3">
        <v>24</v>
      </c>
      <c r="U211" s="3">
        <v>63</v>
      </c>
      <c r="V211" s="4">
        <f>IF(ISERROR(VLOOKUP($S$211,'TAR FIN'!$A$1:$O$91,15,0)),0,VLOOKUP($S$211,'TAR FIN'!$A$1:$O$91,15,0))</f>
        <v>0</v>
      </c>
      <c r="W211" s="4">
        <f>IF(ISERROR(VLOOKUP($T$211,'TAR FIN'!$A$1:$O$91,15,0)),0,VLOOKUP($T$211,'TAR FIN'!$A$1:$O$91,15,0))</f>
        <v>275.13</v>
      </c>
      <c r="X211" s="4">
        <f>IF(ISERROR(VLOOKUP($U$211,'TAR FIN'!$A$1:$O$91,15,0)),0,VLOOKUP($U$211,'TAR FIN'!$A$1:$O$91,15,0))</f>
        <v>219.34</v>
      </c>
      <c r="Y211" s="4"/>
      <c r="Z211" s="4">
        <f ca="1">('TUSD BE'!$AM$36+'TUSD BF'!$AM$36+'TUSD CVA'!$AM$36)*(1-CUSTOS!$M$38)</f>
        <v>364.4729686309102</v>
      </c>
      <c r="AA211" s="4">
        <f>('TE BE'!$AB$26+'TE BF'!$AB$26+'TE CVA'!$AB$26)*(1-CUSTOS!$M$38)</f>
        <v>191.17977782719129</v>
      </c>
      <c r="AB211" s="4">
        <f t="shared" si="18"/>
        <v>0</v>
      </c>
      <c r="AC211" s="4">
        <f>(L211-M211)*(W211+X211)+($W$146+$X$146-$W$211-$X$211)*(L211)</f>
        <v>15.656815999999997</v>
      </c>
      <c r="AD211" s="4">
        <f t="shared" si="19"/>
        <v>0</v>
      </c>
      <c r="AE211" s="4">
        <f ca="1">(L211-M211)*(Z211+AA211)+($Z$146+$AA$146-$Z$211-$AA$211)*(L211)</f>
        <v>15.8609303116636</v>
      </c>
      <c r="AF211" s="3" t="s">
        <v>668</v>
      </c>
    </row>
    <row r="212" spans="1:32" ht="11.25" customHeight="1" x14ac:dyDescent="0.25">
      <c r="A212" s="3" t="s">
        <v>21</v>
      </c>
      <c r="B212" s="3" t="s">
        <v>40</v>
      </c>
      <c r="C212" s="3" t="s">
        <v>23</v>
      </c>
      <c r="D212" s="3" t="s">
        <v>41</v>
      </c>
      <c r="E212" s="3" t="s">
        <v>50</v>
      </c>
      <c r="F212" s="3" t="s">
        <v>52</v>
      </c>
      <c r="G212" s="3" t="s">
        <v>25</v>
      </c>
      <c r="H212" s="3" t="s">
        <v>25</v>
      </c>
      <c r="I212" s="6">
        <v>44501</v>
      </c>
      <c r="J212" s="4">
        <v>0</v>
      </c>
      <c r="K212" s="4">
        <v>0</v>
      </c>
      <c r="L212" s="4">
        <v>0.186</v>
      </c>
      <c r="M212" s="4">
        <v>7.4399999999999994E-2</v>
      </c>
      <c r="N212" s="4">
        <v>0.186</v>
      </c>
      <c r="O212" s="4">
        <v>7.4399999999999994E-2</v>
      </c>
      <c r="P212" s="4">
        <v>0</v>
      </c>
      <c r="Q212" s="3" t="s">
        <v>26</v>
      </c>
      <c r="R212" s="3">
        <v>0</v>
      </c>
      <c r="S212" s="3">
        <v>0</v>
      </c>
      <c r="T212" s="3">
        <v>24</v>
      </c>
      <c r="U212" s="3">
        <v>63</v>
      </c>
      <c r="V212" s="4">
        <f>IF(ISERROR(VLOOKUP($S$212,'TAR FIN'!$A$1:$O$91,15,0)),0,VLOOKUP($S$212,'TAR FIN'!$A$1:$O$91,15,0))</f>
        <v>0</v>
      </c>
      <c r="W212" s="4">
        <f>IF(ISERROR(VLOOKUP($T$212,'TAR FIN'!$A$1:$O$91,15,0)),0,VLOOKUP($T$212,'TAR FIN'!$A$1:$O$91,15,0))</f>
        <v>275.13</v>
      </c>
      <c r="X212" s="4">
        <f>IF(ISERROR(VLOOKUP($U$212,'TAR FIN'!$A$1:$O$91,15,0)),0,VLOOKUP($U$212,'TAR FIN'!$A$1:$O$91,15,0))</f>
        <v>219.34</v>
      </c>
      <c r="Y212" s="4"/>
      <c r="Z212" s="4">
        <f ca="1">('TUSD BE'!$AM$36+'TUSD BF'!$AM$36+'TUSD CVA'!$AM$36)*(1-CUSTOS!$M$38)</f>
        <v>364.4729686309102</v>
      </c>
      <c r="AA212" s="4">
        <f>('TE BE'!$AB$26+'TE BF'!$AB$26+'TE CVA'!$AB$26)*(1-CUSTOS!$M$38)</f>
        <v>191.17977782719129</v>
      </c>
      <c r="AB212" s="4">
        <f t="shared" si="18"/>
        <v>0</v>
      </c>
      <c r="AC212" s="4">
        <f>(L212-M212)*(W212+X212)+($W$146+$X$146-$W$212-$X$212)*(L212)</f>
        <v>67.724831999999992</v>
      </c>
      <c r="AD212" s="4">
        <f t="shared" si="19"/>
        <v>0</v>
      </c>
      <c r="AE212" s="4">
        <f ca="1">(L212-M212)*(Z212+AA212)+($Z$146+$AA$146-$Z$212-$AA$212)*(L212)</f>
        <v>68.607745069056506</v>
      </c>
      <c r="AF212" s="3" t="s">
        <v>668</v>
      </c>
    </row>
    <row r="213" spans="1:32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50</v>
      </c>
      <c r="F213" s="3" t="s">
        <v>52</v>
      </c>
      <c r="G213" s="3" t="s">
        <v>25</v>
      </c>
      <c r="H213" s="3" t="s">
        <v>25</v>
      </c>
      <c r="I213" s="6">
        <v>44531</v>
      </c>
      <c r="J213" s="4">
        <v>0</v>
      </c>
      <c r="K213" s="4">
        <v>0</v>
      </c>
      <c r="L213" s="4">
        <v>0.16300000000000001</v>
      </c>
      <c r="M213" s="4">
        <v>6.5199999999999994E-2</v>
      </c>
      <c r="N213" s="4">
        <v>0.16300000000000001</v>
      </c>
      <c r="O213" s="4">
        <v>6.5199999999999994E-2</v>
      </c>
      <c r="P213" s="4">
        <v>0</v>
      </c>
      <c r="Q213" s="3" t="s">
        <v>26</v>
      </c>
      <c r="R213" s="3">
        <v>0</v>
      </c>
      <c r="S213" s="3">
        <v>0</v>
      </c>
      <c r="T213" s="3">
        <v>24</v>
      </c>
      <c r="U213" s="3">
        <v>63</v>
      </c>
      <c r="V213" s="4">
        <f>IF(ISERROR(VLOOKUP($S$213,'TAR FIN'!$A$1:$O$91,15,0)),0,VLOOKUP($S$213,'TAR FIN'!$A$1:$O$91,15,0))</f>
        <v>0</v>
      </c>
      <c r="W213" s="4">
        <f>IF(ISERROR(VLOOKUP($T$213,'TAR FIN'!$A$1:$O$91,15,0)),0,VLOOKUP($T$213,'TAR FIN'!$A$1:$O$91,15,0))</f>
        <v>275.13</v>
      </c>
      <c r="X213" s="4">
        <f>IF(ISERROR(VLOOKUP($U$213,'TAR FIN'!$A$1:$O$91,15,0)),0,VLOOKUP($U$213,'TAR FIN'!$A$1:$O$91,15,0))</f>
        <v>219.34</v>
      </c>
      <c r="Y213" s="4"/>
      <c r="Z213" s="4">
        <f ca="1">('TUSD BE'!$AM$36+'TUSD BF'!$AM$36+'TUSD CVA'!$AM$36)*(1-CUSTOS!$M$38)</f>
        <v>364.4729686309102</v>
      </c>
      <c r="AA213" s="4">
        <f>('TE BE'!$AB$26+'TE BF'!$AB$26+'TE CVA'!$AB$26)*(1-CUSTOS!$M$38)</f>
        <v>191.17977782719129</v>
      </c>
      <c r="AB213" s="4">
        <f t="shared" si="18"/>
        <v>0</v>
      </c>
      <c r="AC213" s="4">
        <f>(L213-M213)*(W213+X213)+($W$146+$X$146-$W$213-$X$213)*(L213)</f>
        <v>59.350256000000002</v>
      </c>
      <c r="AD213" s="4">
        <f t="shared" si="19"/>
        <v>0</v>
      </c>
      <c r="AE213" s="4">
        <f ca="1">(L213-M213)*(Z213+AA213)+($Z$146+$AA$146-$Z$213-$AA$213)*(L213)</f>
        <v>60.123991646538769</v>
      </c>
      <c r="AF213" s="3" t="s">
        <v>668</v>
      </c>
    </row>
    <row r="214" spans="1:32" ht="11.25" customHeight="1" x14ac:dyDescent="0.25">
      <c r="A214" s="3" t="s">
        <v>21</v>
      </c>
      <c r="B214" s="3" t="s">
        <v>40</v>
      </c>
      <c r="C214" s="3" t="s">
        <v>23</v>
      </c>
      <c r="D214" s="3" t="s">
        <v>41</v>
      </c>
      <c r="E214" s="3" t="s">
        <v>50</v>
      </c>
      <c r="F214" s="3" t="s">
        <v>52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0.436</v>
      </c>
      <c r="M214" s="4">
        <v>0.1744</v>
      </c>
      <c r="N214" s="4">
        <v>0.436</v>
      </c>
      <c r="O214" s="4">
        <v>0.1744</v>
      </c>
      <c r="P214" s="4">
        <v>0</v>
      </c>
      <c r="Q214" s="3" t="s">
        <v>26</v>
      </c>
      <c r="R214" s="3">
        <v>0</v>
      </c>
      <c r="S214" s="3">
        <v>0</v>
      </c>
      <c r="T214" s="3">
        <v>24</v>
      </c>
      <c r="U214" s="3">
        <v>63</v>
      </c>
      <c r="V214" s="4">
        <f>IF(ISERROR(VLOOKUP($S$214,'TAR FIN'!$A$1:$O$91,15,0)),0,VLOOKUP($S$214,'TAR FIN'!$A$1:$O$91,15,0))</f>
        <v>0</v>
      </c>
      <c r="W214" s="4">
        <f>IF(ISERROR(VLOOKUP($T$214,'TAR FIN'!$A$1:$O$91,15,0)),0,VLOOKUP($T$214,'TAR FIN'!$A$1:$O$91,15,0))</f>
        <v>275.13</v>
      </c>
      <c r="X214" s="4">
        <f>IF(ISERROR(VLOOKUP($U$214,'TAR FIN'!$A$1:$O$91,15,0)),0,VLOOKUP($U$214,'TAR FIN'!$A$1:$O$91,15,0))</f>
        <v>219.34</v>
      </c>
      <c r="Y214" s="4"/>
      <c r="Z214" s="4">
        <f ca="1">('TUSD BE'!$AM$36+'TUSD BF'!$AM$36+'TUSD CVA'!$AM$36)*(1-CUSTOS!$M$38)</f>
        <v>364.4729686309102</v>
      </c>
      <c r="AA214" s="4">
        <f>('TE BE'!$AB$26+'TE BF'!$AB$26+'TE CVA'!$AB$26)*(1-CUSTOS!$M$38)</f>
        <v>191.17977782719129</v>
      </c>
      <c r="AB214" s="4">
        <f t="shared" si="18"/>
        <v>0</v>
      </c>
      <c r="AC214" s="4">
        <f>(L214-M214)*(W214+X214)+($W$146+$X$146-$W$214-$X$214)*(L214)</f>
        <v>158.75283199999998</v>
      </c>
      <c r="AD214" s="4">
        <f t="shared" si="19"/>
        <v>0</v>
      </c>
      <c r="AE214" s="4">
        <f ca="1">(L214-M214)*(Z214+AA214)+($Z$146+$AA$146-$Z$214-$AA$214)*(L214)</f>
        <v>160.82245618337976</v>
      </c>
      <c r="AF214" s="3" t="s">
        <v>668</v>
      </c>
    </row>
    <row r="215" spans="1:32" ht="11.25" customHeight="1" x14ac:dyDescent="0.25">
      <c r="A215" s="3" t="s">
        <v>27</v>
      </c>
      <c r="B215" s="3" t="s">
        <v>40</v>
      </c>
      <c r="C215" s="3" t="s">
        <v>23</v>
      </c>
      <c r="D215" s="3" t="s">
        <v>41</v>
      </c>
      <c r="E215" s="3" t="s">
        <v>50</v>
      </c>
      <c r="F215" s="3" t="s">
        <v>52</v>
      </c>
      <c r="G215" s="3" t="s">
        <v>25</v>
      </c>
      <c r="H215" s="3" t="s">
        <v>25</v>
      </c>
      <c r="I215" s="6">
        <v>44562</v>
      </c>
      <c r="J215" s="4">
        <v>0</v>
      </c>
      <c r="K215" s="4">
        <v>0</v>
      </c>
      <c r="L215" s="4">
        <v>-0.90100000000000002</v>
      </c>
      <c r="M215" s="4">
        <v>-0.3604</v>
      </c>
      <c r="N215" s="4">
        <v>-0.90100000000000002</v>
      </c>
      <c r="O215" s="4">
        <v>-0.3604</v>
      </c>
      <c r="P215" s="4">
        <v>0</v>
      </c>
      <c r="Q215" s="3" t="s">
        <v>26</v>
      </c>
      <c r="R215" s="3">
        <v>0</v>
      </c>
      <c r="S215" s="3">
        <v>0</v>
      </c>
      <c r="T215" s="3">
        <v>24</v>
      </c>
      <c r="U215" s="3">
        <v>63</v>
      </c>
      <c r="V215" s="4">
        <f>IF(ISERROR(VLOOKUP($S$215,'TAR FIN'!$A$1:$O$91,15,0)),0,VLOOKUP($S$215,'TAR FIN'!$A$1:$O$91,15,0))</f>
        <v>0</v>
      </c>
      <c r="W215" s="4">
        <f>IF(ISERROR(VLOOKUP($T$215,'TAR FIN'!$A$1:$O$91,15,0)),0,VLOOKUP($T$215,'TAR FIN'!$A$1:$O$91,15,0))</f>
        <v>275.13</v>
      </c>
      <c r="X215" s="4">
        <f>IF(ISERROR(VLOOKUP($U$215,'TAR FIN'!$A$1:$O$91,15,0)),0,VLOOKUP($U$215,'TAR FIN'!$A$1:$O$91,15,0))</f>
        <v>219.34</v>
      </c>
      <c r="Y215" s="4"/>
      <c r="Z215" s="4">
        <f ca="1">('TUSD BE'!$AM$36+'TUSD BF'!$AM$36+'TUSD CVA'!$AM$36)*(1-CUSTOS!$M$38)</f>
        <v>364.4729686309102</v>
      </c>
      <c r="AA215" s="4">
        <f>('TE BE'!$AB$26+'TE BF'!$AB$26+'TE CVA'!$AB$26)*(1-CUSTOS!$M$38)</f>
        <v>191.17977782719129</v>
      </c>
      <c r="AB215" s="4">
        <f t="shared" si="18"/>
        <v>0</v>
      </c>
      <c r="AC215" s="4">
        <f>(L215-M215)*(W215+X215)+($W$146+$X$146-$W$215-$X$215)*(L215)</f>
        <v>-328.06491199999994</v>
      </c>
      <c r="AD215" s="4">
        <f t="shared" si="19"/>
        <v>0</v>
      </c>
      <c r="AE215" s="4">
        <f ca="1">(L215-M215)*(Z215+AA215)+($Z$146+$AA$146-$Z$215-$AA$215)*(L215)</f>
        <v>-332.34181885602101</v>
      </c>
      <c r="AF215" s="3" t="s">
        <v>668</v>
      </c>
    </row>
    <row r="216" spans="1:32" ht="11.25" customHeight="1" x14ac:dyDescent="0.25">
      <c r="A216" s="3" t="s">
        <v>21</v>
      </c>
      <c r="B216" s="3" t="s">
        <v>40</v>
      </c>
      <c r="C216" s="3" t="s">
        <v>23</v>
      </c>
      <c r="D216" s="3" t="s">
        <v>41</v>
      </c>
      <c r="E216" s="3" t="s">
        <v>50</v>
      </c>
      <c r="F216" s="3" t="s">
        <v>52</v>
      </c>
      <c r="G216" s="3" t="s">
        <v>25</v>
      </c>
      <c r="H216" s="3" t="s">
        <v>25</v>
      </c>
      <c r="I216" s="6">
        <v>44593</v>
      </c>
      <c r="J216" s="4">
        <v>0</v>
      </c>
      <c r="K216" s="4">
        <v>0</v>
      </c>
      <c r="L216" s="4">
        <v>0.42699999999999999</v>
      </c>
      <c r="M216" s="4">
        <v>0.17080000000000001</v>
      </c>
      <c r="N216" s="4">
        <v>0.42699999999999999</v>
      </c>
      <c r="O216" s="4">
        <v>0.17080000000000001</v>
      </c>
      <c r="P216" s="4">
        <v>0</v>
      </c>
      <c r="Q216" s="3" t="s">
        <v>26</v>
      </c>
      <c r="R216" s="3">
        <v>0</v>
      </c>
      <c r="S216" s="3">
        <v>0</v>
      </c>
      <c r="T216" s="3">
        <v>24</v>
      </c>
      <c r="U216" s="3">
        <v>63</v>
      </c>
      <c r="V216" s="4">
        <f>IF(ISERROR(VLOOKUP($S$216,'TAR FIN'!$A$1:$O$91,15,0)),0,VLOOKUP($S$216,'TAR FIN'!$A$1:$O$91,15,0))</f>
        <v>0</v>
      </c>
      <c r="W216" s="4">
        <f>IF(ISERROR(VLOOKUP($T$216,'TAR FIN'!$A$1:$O$91,15,0)),0,VLOOKUP($T$216,'TAR FIN'!$A$1:$O$91,15,0))</f>
        <v>275.13</v>
      </c>
      <c r="X216" s="4">
        <f>IF(ISERROR(VLOOKUP($U$216,'TAR FIN'!$A$1:$O$91,15,0)),0,VLOOKUP($U$216,'TAR FIN'!$A$1:$O$91,15,0))</f>
        <v>219.34</v>
      </c>
      <c r="Y216" s="4"/>
      <c r="Z216" s="4">
        <f ca="1">('TUSD BE'!$AM$36+'TUSD BF'!$AM$36+'TUSD CVA'!$AM$36)*(1-CUSTOS!$M$38)</f>
        <v>364.4729686309102</v>
      </c>
      <c r="AA216" s="4">
        <f>('TE BE'!$AB$26+'TE BF'!$AB$26+'TE CVA'!$AB$26)*(1-CUSTOS!$M$38)</f>
        <v>191.17977782719129</v>
      </c>
      <c r="AB216" s="4">
        <f t="shared" si="18"/>
        <v>0</v>
      </c>
      <c r="AC216" s="4">
        <f>(L216-M216)*(W216+X216)+($W$146+$X$146-$W$216-$X$216)*(L216)</f>
        <v>155.47582399999999</v>
      </c>
      <c r="AD216" s="4">
        <f t="shared" si="19"/>
        <v>0</v>
      </c>
      <c r="AE216" s="4">
        <f ca="1">(L216-M216)*(Z216+AA216)+($Z$146+$AA$146-$Z$216-$AA$216)*(L216)</f>
        <v>157.50272658326412</v>
      </c>
      <c r="AF216" s="3" t="s">
        <v>668</v>
      </c>
    </row>
    <row r="217" spans="1:32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50</v>
      </c>
      <c r="F217" s="3" t="s">
        <v>52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0.245</v>
      </c>
      <c r="M217" s="4">
        <v>9.8000000000000004E-2</v>
      </c>
      <c r="N217" s="4">
        <v>0.245</v>
      </c>
      <c r="O217" s="4">
        <v>9.8000000000000004E-2</v>
      </c>
      <c r="P217" s="4">
        <v>0</v>
      </c>
      <c r="Q217" s="3" t="s">
        <v>26</v>
      </c>
      <c r="R217" s="3">
        <v>0</v>
      </c>
      <c r="S217" s="3">
        <v>0</v>
      </c>
      <c r="T217" s="3">
        <v>24</v>
      </c>
      <c r="U217" s="3">
        <v>63</v>
      </c>
      <c r="V217" s="4">
        <f>IF(ISERROR(VLOOKUP($S$217,'TAR FIN'!$A$1:$O$91,15,0)),0,VLOOKUP($S$217,'TAR FIN'!$A$1:$O$91,15,0))</f>
        <v>0</v>
      </c>
      <c r="W217" s="4">
        <f>IF(ISERROR(VLOOKUP($T$217,'TAR FIN'!$A$1:$O$91,15,0)),0,VLOOKUP($T$217,'TAR FIN'!$A$1:$O$91,15,0))</f>
        <v>275.13</v>
      </c>
      <c r="X217" s="4">
        <f>IF(ISERROR(VLOOKUP($U$217,'TAR FIN'!$A$1:$O$91,15,0)),0,VLOOKUP($U$217,'TAR FIN'!$A$1:$O$91,15,0))</f>
        <v>219.34</v>
      </c>
      <c r="Y217" s="4"/>
      <c r="Z217" s="4">
        <f ca="1">('TUSD BE'!$AM$36+'TUSD BF'!$AM$36+'TUSD CVA'!$AM$36)*(1-CUSTOS!$M$38)</f>
        <v>364.4729686309102</v>
      </c>
      <c r="AA217" s="4">
        <f>('TE BE'!$AB$26+'TE BF'!$AB$26+'TE CVA'!$AB$26)*(1-CUSTOS!$M$38)</f>
        <v>191.17977782719129</v>
      </c>
      <c r="AB217" s="4">
        <f t="shared" si="18"/>
        <v>0</v>
      </c>
      <c r="AC217" s="4">
        <f>(L217-M217)*(W217+X217)+($W$146+$X$146-$W$217-$X$217)*(L217)</f>
        <v>89.207439999999991</v>
      </c>
      <c r="AD217" s="4">
        <f t="shared" si="19"/>
        <v>0</v>
      </c>
      <c r="AE217" s="4">
        <f ca="1">(L217-M217)*(Z217+AA217)+($Z$146+$AA$146-$Z$217-$AA$217)*(L217)</f>
        <v>90.370416892036801</v>
      </c>
      <c r="AF217" s="3" t="s">
        <v>668</v>
      </c>
    </row>
    <row r="218" spans="1:32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50</v>
      </c>
      <c r="F218" s="3" t="s">
        <v>52</v>
      </c>
      <c r="G218" s="3" t="s">
        <v>25</v>
      </c>
      <c r="H218" s="3" t="s">
        <v>25</v>
      </c>
      <c r="I218" s="6">
        <v>44652</v>
      </c>
      <c r="J218" s="4">
        <v>0</v>
      </c>
      <c r="K218" s="4">
        <v>0</v>
      </c>
      <c r="L218" s="4">
        <v>0.114</v>
      </c>
      <c r="M218" s="4">
        <v>4.5600000000000002E-2</v>
      </c>
      <c r="N218" s="4">
        <v>0.114</v>
      </c>
      <c r="O218" s="4">
        <v>4.5600000000000002E-2</v>
      </c>
      <c r="P218" s="4">
        <v>0</v>
      </c>
      <c r="Q218" s="3" t="s">
        <v>26</v>
      </c>
      <c r="R218" s="3">
        <v>0</v>
      </c>
      <c r="S218" s="3">
        <v>0</v>
      </c>
      <c r="T218" s="3">
        <v>24</v>
      </c>
      <c r="U218" s="3">
        <v>63</v>
      </c>
      <c r="V218" s="4">
        <f>IF(ISERROR(VLOOKUP($S$218,'TAR FIN'!$A$1:$O$91,15,0)),0,VLOOKUP($S$218,'TAR FIN'!$A$1:$O$91,15,0))</f>
        <v>0</v>
      </c>
      <c r="W218" s="4">
        <f>IF(ISERROR(VLOOKUP($T$218,'TAR FIN'!$A$1:$O$91,15,0)),0,VLOOKUP($T$218,'TAR FIN'!$A$1:$O$91,15,0))</f>
        <v>275.13</v>
      </c>
      <c r="X218" s="4">
        <f>IF(ISERROR(VLOOKUP($U$218,'TAR FIN'!$A$1:$O$91,15,0)),0,VLOOKUP($U$218,'TAR FIN'!$A$1:$O$91,15,0))</f>
        <v>219.34</v>
      </c>
      <c r="Y218" s="4"/>
      <c r="Z218" s="4">
        <f ca="1">('TUSD BE'!$AM$36+'TUSD BF'!$AM$36+'TUSD CVA'!$AM$36)*(1-CUSTOS!$M$38)</f>
        <v>364.4729686309102</v>
      </c>
      <c r="AA218" s="4">
        <f>('TE BE'!$AB$26+'TE BF'!$AB$26+'TE CVA'!$AB$26)*(1-CUSTOS!$M$38)</f>
        <v>191.17977782719129</v>
      </c>
      <c r="AB218" s="4">
        <f t="shared" si="18"/>
        <v>0</v>
      </c>
      <c r="AC218" s="4">
        <f>(L218-M218)*(W218+X218)+($W$146+$X$146-$W$218-$X$218)*(L218)</f>
        <v>41.508768000000003</v>
      </c>
      <c r="AD218" s="4">
        <f t="shared" si="19"/>
        <v>0</v>
      </c>
      <c r="AE218" s="4">
        <f ca="1">(L218-M218)*(Z218+AA218)+($Z$146+$AA$146-$Z$218-$AA$218)*(L218)</f>
        <v>42.049908268131404</v>
      </c>
      <c r="AF218" s="3" t="s">
        <v>668</v>
      </c>
    </row>
    <row r="219" spans="1:32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50</v>
      </c>
      <c r="F219" s="3" t="s">
        <v>52</v>
      </c>
      <c r="G219" s="3" t="s">
        <v>25</v>
      </c>
      <c r="H219" s="3" t="s">
        <v>25</v>
      </c>
      <c r="I219" s="6">
        <v>44682</v>
      </c>
      <c r="J219" s="4">
        <v>0</v>
      </c>
      <c r="K219" s="4">
        <v>0</v>
      </c>
      <c r="L219" s="4">
        <v>0.16500000000000001</v>
      </c>
      <c r="M219" s="4">
        <v>6.6000000000000003E-2</v>
      </c>
      <c r="N219" s="4">
        <v>0.16500000000000001</v>
      </c>
      <c r="O219" s="4">
        <v>6.6000000000000003E-2</v>
      </c>
      <c r="P219" s="4">
        <v>0</v>
      </c>
      <c r="Q219" s="3" t="s">
        <v>26</v>
      </c>
      <c r="R219" s="3">
        <v>0</v>
      </c>
      <c r="S219" s="3">
        <v>0</v>
      </c>
      <c r="T219" s="3">
        <v>24</v>
      </c>
      <c r="U219" s="3">
        <v>63</v>
      </c>
      <c r="V219" s="4">
        <f>IF(ISERROR(VLOOKUP($S$219,'TAR FIN'!$A$1:$O$91,15,0)),0,VLOOKUP($S$219,'TAR FIN'!$A$1:$O$91,15,0))</f>
        <v>0</v>
      </c>
      <c r="W219" s="4">
        <f>IF(ISERROR(VLOOKUP($T$219,'TAR FIN'!$A$1:$O$91,15,0)),0,VLOOKUP($T$219,'TAR FIN'!$A$1:$O$91,15,0))</f>
        <v>275.13</v>
      </c>
      <c r="X219" s="4">
        <f>IF(ISERROR(VLOOKUP($U$219,'TAR FIN'!$A$1:$O$91,15,0)),0,VLOOKUP($U$219,'TAR FIN'!$A$1:$O$91,15,0))</f>
        <v>219.34</v>
      </c>
      <c r="Y219" s="4"/>
      <c r="Z219" s="4">
        <f ca="1">('TUSD BE'!$AM$36+'TUSD BF'!$AM$36+'TUSD CVA'!$AM$36)*(1-CUSTOS!$M$38)</f>
        <v>364.4729686309102</v>
      </c>
      <c r="AA219" s="4">
        <f>('TE BE'!$AB$26+'TE BF'!$AB$26+'TE CVA'!$AB$26)*(1-CUSTOS!$M$38)</f>
        <v>191.17977782719129</v>
      </c>
      <c r="AB219" s="4">
        <f t="shared" si="18"/>
        <v>0</v>
      </c>
      <c r="AC219" s="4">
        <f>(L219-M219)*(W219+X219)+($W$146+$X$146-$W$219-$X$219)*(L219)</f>
        <v>60.078479999999999</v>
      </c>
      <c r="AD219" s="4">
        <f t="shared" si="19"/>
        <v>0</v>
      </c>
      <c r="AE219" s="4">
        <f ca="1">(L219-M219)*(Z219+AA219)+($Z$146+$AA$146-$Z$219-$AA$219)*(L219)</f>
        <v>60.861709335453355</v>
      </c>
      <c r="AF219" s="3" t="s">
        <v>668</v>
      </c>
    </row>
    <row r="220" spans="1:32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50</v>
      </c>
      <c r="F220" s="3" t="s">
        <v>52</v>
      </c>
      <c r="G220" s="3" t="s">
        <v>25</v>
      </c>
      <c r="H220" s="3" t="s">
        <v>25</v>
      </c>
      <c r="I220" s="6">
        <v>44713</v>
      </c>
      <c r="J220" s="4">
        <v>0</v>
      </c>
      <c r="K220" s="4">
        <v>0</v>
      </c>
      <c r="L220" s="4">
        <v>0.14899999999999999</v>
      </c>
      <c r="M220" s="4">
        <v>5.96E-2</v>
      </c>
      <c r="N220" s="4">
        <v>0.14899999999999999</v>
      </c>
      <c r="O220" s="4">
        <v>5.96E-2</v>
      </c>
      <c r="P220" s="4">
        <v>0</v>
      </c>
      <c r="Q220" s="3" t="s">
        <v>26</v>
      </c>
      <c r="R220" s="3">
        <v>0</v>
      </c>
      <c r="S220" s="3">
        <v>0</v>
      </c>
      <c r="T220" s="3">
        <v>24</v>
      </c>
      <c r="U220" s="3">
        <v>63</v>
      </c>
      <c r="V220" s="4">
        <f>IF(ISERROR(VLOOKUP($S$220,'TAR FIN'!$A$1:$O$91,15,0)),0,VLOOKUP($S$220,'TAR FIN'!$A$1:$O$91,15,0))</f>
        <v>0</v>
      </c>
      <c r="W220" s="4">
        <f>IF(ISERROR(VLOOKUP($T$220,'TAR FIN'!$A$1:$O$91,15,0)),0,VLOOKUP($T$220,'TAR FIN'!$A$1:$O$91,15,0))</f>
        <v>275.13</v>
      </c>
      <c r="X220" s="4">
        <f>IF(ISERROR(VLOOKUP($U$220,'TAR FIN'!$A$1:$O$91,15,0)),0,VLOOKUP($U$220,'TAR FIN'!$A$1:$O$91,15,0))</f>
        <v>219.34</v>
      </c>
      <c r="Y220" s="4"/>
      <c r="Z220" s="4">
        <f ca="1">('TUSD BE'!$AM$36+'TUSD BF'!$AM$36+'TUSD CVA'!$AM$36)*(1-CUSTOS!$M$38)</f>
        <v>364.4729686309102</v>
      </c>
      <c r="AA220" s="4">
        <f>('TE BE'!$AB$26+'TE BF'!$AB$26+'TE CVA'!$AB$26)*(1-CUSTOS!$M$38)</f>
        <v>191.17977782719129</v>
      </c>
      <c r="AB220" s="4">
        <f t="shared" si="18"/>
        <v>0</v>
      </c>
      <c r="AC220" s="4">
        <f>(L220-M220)*(W220+X220)+($W$146+$X$146-$W$220-$X$220)*(L220)</f>
        <v>54.252687999999999</v>
      </c>
      <c r="AD220" s="4">
        <f t="shared" si="19"/>
        <v>0</v>
      </c>
      <c r="AE220" s="4">
        <f ca="1">(L220-M220)*(Z220+AA220)+($Z$146+$AA$146-$Z$220-$AA$220)*(L220)</f>
        <v>54.959967824136662</v>
      </c>
      <c r="AF220" s="3" t="s">
        <v>668</v>
      </c>
    </row>
    <row r="221" spans="1:32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50</v>
      </c>
      <c r="F221" s="3" t="s">
        <v>52</v>
      </c>
      <c r="G221" s="3" t="s">
        <v>25</v>
      </c>
      <c r="H221" s="3" t="s">
        <v>25</v>
      </c>
      <c r="I221" s="6">
        <v>44743</v>
      </c>
      <c r="J221" s="4">
        <v>0</v>
      </c>
      <c r="K221" s="4">
        <v>0</v>
      </c>
      <c r="L221" s="4">
        <v>0.10199999999999999</v>
      </c>
      <c r="M221" s="4">
        <v>4.0800000000000003E-2</v>
      </c>
      <c r="N221" s="4">
        <v>0.10199999999999999</v>
      </c>
      <c r="O221" s="4">
        <v>4.0800000000000003E-2</v>
      </c>
      <c r="P221" s="4">
        <v>0</v>
      </c>
      <c r="Q221" s="3" t="s">
        <v>26</v>
      </c>
      <c r="R221" s="3">
        <v>0</v>
      </c>
      <c r="S221" s="3">
        <v>0</v>
      </c>
      <c r="T221" s="3">
        <v>24</v>
      </c>
      <c r="U221" s="3">
        <v>63</v>
      </c>
      <c r="V221" s="4">
        <f>IF(ISERROR(VLOOKUP($S$221,'TAR FIN'!$A$1:$O$91,15,0)),0,VLOOKUP($S$221,'TAR FIN'!$A$1:$O$91,15,0))</f>
        <v>0</v>
      </c>
      <c r="W221" s="4">
        <f>IF(ISERROR(VLOOKUP($T$221,'TAR FIN'!$A$1:$O$91,15,0)),0,VLOOKUP($T$221,'TAR FIN'!$A$1:$O$91,15,0))</f>
        <v>275.13</v>
      </c>
      <c r="X221" s="4">
        <f>IF(ISERROR(VLOOKUP($U$221,'TAR FIN'!$A$1:$O$91,15,0)),0,VLOOKUP($U$221,'TAR FIN'!$A$1:$O$91,15,0))</f>
        <v>219.34</v>
      </c>
      <c r="Y221" s="4"/>
      <c r="Z221" s="4">
        <f ca="1">('TUSD BE'!$AM$36+'TUSD BF'!$AM$36+'TUSD CVA'!$AM$36)*(1-CUSTOS!$M$38)</f>
        <v>364.4729686309102</v>
      </c>
      <c r="AA221" s="4">
        <f>('TE BE'!$AB$26+'TE BF'!$AB$26+'TE CVA'!$AB$26)*(1-CUSTOS!$M$38)</f>
        <v>191.17977782719129</v>
      </c>
      <c r="AB221" s="4">
        <f t="shared" si="18"/>
        <v>0</v>
      </c>
      <c r="AC221" s="4">
        <f>(L221-M221)*(W221+X221)+($W$146+$X$146-$W$221-$X$221)*(L221)</f>
        <v>37.139423999999991</v>
      </c>
      <c r="AD221" s="4">
        <f t="shared" si="19"/>
        <v>0</v>
      </c>
      <c r="AE221" s="4">
        <f ca="1">(L221-M221)*(Z221+AA221)+($Z$146+$AA$146-$Z$221-$AA$221)*(L221)</f>
        <v>37.623602134643882</v>
      </c>
      <c r="AF221" s="3" t="s">
        <v>668</v>
      </c>
    </row>
    <row r="222" spans="1:32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50</v>
      </c>
      <c r="F222" s="3" t="s">
        <v>52</v>
      </c>
      <c r="G222" s="3" t="s">
        <v>25</v>
      </c>
      <c r="H222" s="3" t="s">
        <v>25</v>
      </c>
      <c r="I222" s="6">
        <v>44774</v>
      </c>
      <c r="J222" s="4">
        <v>0</v>
      </c>
      <c r="K222" s="4">
        <v>0</v>
      </c>
      <c r="L222" s="4">
        <v>0.22600000000000001</v>
      </c>
      <c r="M222" s="4">
        <v>9.0399999999999994E-2</v>
      </c>
      <c r="N222" s="4">
        <v>0.22600000000000001</v>
      </c>
      <c r="O222" s="4">
        <v>9.0399999999999994E-2</v>
      </c>
      <c r="P222" s="4">
        <v>0</v>
      </c>
      <c r="Q222" s="3" t="s">
        <v>26</v>
      </c>
      <c r="R222" s="3">
        <v>0</v>
      </c>
      <c r="S222" s="3">
        <v>0</v>
      </c>
      <c r="T222" s="3">
        <v>24</v>
      </c>
      <c r="U222" s="3">
        <v>63</v>
      </c>
      <c r="V222" s="4">
        <f>IF(ISERROR(VLOOKUP($S$222,'TAR FIN'!$A$1:$O$91,15,0)),0,VLOOKUP($S$222,'TAR FIN'!$A$1:$O$91,15,0))</f>
        <v>0</v>
      </c>
      <c r="W222" s="4">
        <f>IF(ISERROR(VLOOKUP($T$222,'TAR FIN'!$A$1:$O$91,15,0)),0,VLOOKUP($T$222,'TAR FIN'!$A$1:$O$91,15,0))</f>
        <v>275.13</v>
      </c>
      <c r="X222" s="4">
        <f>IF(ISERROR(VLOOKUP($U$222,'TAR FIN'!$A$1:$O$91,15,0)),0,VLOOKUP($U$222,'TAR FIN'!$A$1:$O$91,15,0))</f>
        <v>219.34</v>
      </c>
      <c r="Y222" s="4"/>
      <c r="Z222" s="4">
        <f ca="1">('TUSD BE'!$AM$36+'TUSD BF'!$AM$36+'TUSD CVA'!$AM$36)*(1-CUSTOS!$M$38)</f>
        <v>364.4729686309102</v>
      </c>
      <c r="AA222" s="4">
        <f>('TE BE'!$AB$26+'TE BF'!$AB$26+'TE CVA'!$AB$26)*(1-CUSTOS!$M$38)</f>
        <v>191.17977782719129</v>
      </c>
      <c r="AB222" s="4">
        <f t="shared" si="18"/>
        <v>0</v>
      </c>
      <c r="AC222" s="4">
        <f>(L222-M222)*(W222+X222)+($W$146+$X$146-$W$222-$X$222)*(L222)</f>
        <v>82.289311999999995</v>
      </c>
      <c r="AD222" s="4">
        <f t="shared" si="19"/>
        <v>0</v>
      </c>
      <c r="AE222" s="4">
        <f ca="1">(L222-M222)*(Z222+AA222)+($Z$146+$AA$146-$Z$222-$AA$222)*(L222)</f>
        <v>83.362098847348221</v>
      </c>
      <c r="AF222" s="3" t="s">
        <v>668</v>
      </c>
    </row>
    <row r="223" spans="1:32" ht="11.25" customHeight="1" x14ac:dyDescent="0.25">
      <c r="A223" s="3" t="s">
        <v>21</v>
      </c>
      <c r="B223" s="3" t="s">
        <v>40</v>
      </c>
      <c r="C223" s="3" t="s">
        <v>23</v>
      </c>
      <c r="D223" s="3" t="s">
        <v>41</v>
      </c>
      <c r="E223" s="3" t="s">
        <v>53</v>
      </c>
      <c r="F223" s="3" t="s">
        <v>51</v>
      </c>
      <c r="G223" s="3" t="s">
        <v>25</v>
      </c>
      <c r="H223" s="3" t="s">
        <v>25</v>
      </c>
      <c r="I223" s="6">
        <v>44440</v>
      </c>
      <c r="J223" s="4">
        <v>0</v>
      </c>
      <c r="K223" s="4">
        <v>0</v>
      </c>
      <c r="L223" s="4">
        <v>45.56</v>
      </c>
      <c r="M223" s="4">
        <v>45.56</v>
      </c>
      <c r="N223" s="4">
        <v>45.56</v>
      </c>
      <c r="O223" s="4">
        <v>45.56</v>
      </c>
      <c r="P223" s="4">
        <v>0</v>
      </c>
      <c r="Q223" s="3" t="s">
        <v>26</v>
      </c>
      <c r="R223" s="3">
        <v>0</v>
      </c>
      <c r="S223" s="3">
        <v>0</v>
      </c>
      <c r="T223" s="3">
        <v>24</v>
      </c>
      <c r="U223" s="3">
        <v>63</v>
      </c>
      <c r="V223" s="4">
        <f>IF(ISERROR(VLOOKUP($S$223,'TAR FIN'!$A$1:$O$91,15,0)),0,VLOOKUP($S$223,'TAR FIN'!$A$1:$O$91,15,0))</f>
        <v>0</v>
      </c>
      <c r="W223" s="4">
        <f>IF(ISERROR(VLOOKUP($T$223,'TAR FIN'!$A$1:$O$91,15,0)),0,VLOOKUP($T$223,'TAR FIN'!$A$1:$O$91,15,0))</f>
        <v>275.13</v>
      </c>
      <c r="X223" s="4">
        <f>IF(ISERROR(VLOOKUP($U$223,'TAR FIN'!$A$1:$O$91,15,0)),0,VLOOKUP($U$223,'TAR FIN'!$A$1:$O$91,15,0))</f>
        <v>219.34</v>
      </c>
      <c r="Y223" s="4"/>
      <c r="Z223" s="4">
        <f ca="1">('TUSD BE'!$AM$36+'TUSD BF'!$AM$36+'TUSD CVA'!$AM$36)*(1-CUSTOS!$M$38)</f>
        <v>364.4729686309102</v>
      </c>
      <c r="AA223" s="4">
        <f>('TE BE'!$AB$26+'TE BF'!$AB$26+'TE CVA'!$AB$26)*(1-CUSTOS!$M$38)</f>
        <v>191.17977782719129</v>
      </c>
      <c r="AB223" s="4">
        <f t="shared" si="18"/>
        <v>0</v>
      </c>
      <c r="AC223" s="4">
        <f>(L223-M223)*(W223+X223)+($W$146+$X$146-$W$223-$X$223)*(L223)</f>
        <v>3072.110799999999</v>
      </c>
      <c r="AD223" s="4">
        <f t="shared" si="19"/>
        <v>0</v>
      </c>
      <c r="AE223" s="4">
        <f ca="1">(L223-M223)*(Z223+AA223)+($Z$146+$AA$146-$Z$223-$AA$223)*(L223)</f>
        <v>1615.8854762956071</v>
      </c>
      <c r="AF223" s="3" t="s">
        <v>667</v>
      </c>
    </row>
    <row r="224" spans="1:32" ht="11.25" customHeight="1" x14ac:dyDescent="0.25">
      <c r="A224" s="3" t="s">
        <v>28</v>
      </c>
      <c r="B224" s="3" t="s">
        <v>40</v>
      </c>
      <c r="C224" s="3" t="s">
        <v>23</v>
      </c>
      <c r="D224" s="3" t="s">
        <v>41</v>
      </c>
      <c r="E224" s="3" t="s">
        <v>53</v>
      </c>
      <c r="F224" s="3" t="s">
        <v>51</v>
      </c>
      <c r="G224" s="3" t="s">
        <v>25</v>
      </c>
      <c r="H224" s="3" t="s">
        <v>25</v>
      </c>
      <c r="I224" s="6">
        <v>44440</v>
      </c>
      <c r="J224" s="4">
        <v>0</v>
      </c>
      <c r="K224" s="4">
        <v>0</v>
      </c>
      <c r="L224" s="4">
        <v>5.1130000000000004</v>
      </c>
      <c r="M224" s="4">
        <v>5.1130000000000004</v>
      </c>
      <c r="N224" s="4">
        <v>5.1130000000000004</v>
      </c>
      <c r="O224" s="4">
        <v>5.1130000000000004</v>
      </c>
      <c r="P224" s="4">
        <v>0</v>
      </c>
      <c r="Q224" s="3" t="s">
        <v>26</v>
      </c>
      <c r="R224" s="3">
        <v>0</v>
      </c>
      <c r="S224" s="3">
        <v>0</v>
      </c>
      <c r="T224" s="3">
        <v>24</v>
      </c>
      <c r="U224" s="3">
        <v>63</v>
      </c>
      <c r="V224" s="4">
        <f>IF(ISERROR(VLOOKUP($S$224,'TAR FIN'!$A$1:$O$91,15,0)),0,VLOOKUP($S$224,'TAR FIN'!$A$1:$O$91,15,0))</f>
        <v>0</v>
      </c>
      <c r="W224" s="4">
        <f>IF(ISERROR(VLOOKUP($T$224,'TAR FIN'!$A$1:$O$91,15,0)),0,VLOOKUP($T$224,'TAR FIN'!$A$1:$O$91,15,0))</f>
        <v>275.13</v>
      </c>
      <c r="X224" s="4">
        <f>IF(ISERROR(VLOOKUP($U$224,'TAR FIN'!$A$1:$O$91,15,0)),0,VLOOKUP($U$224,'TAR FIN'!$A$1:$O$91,15,0))</f>
        <v>219.34</v>
      </c>
      <c r="Y224" s="4"/>
      <c r="Z224" s="4">
        <f ca="1">('TUSD BE'!$AM$36+'TUSD BF'!$AM$36+'TUSD CVA'!$AM$36)*(1-CUSTOS!$M$38)</f>
        <v>364.4729686309102</v>
      </c>
      <c r="AA224" s="4">
        <f>('TE BE'!$AB$26+'TE BF'!$AB$26+'TE CVA'!$AB$26)*(1-CUSTOS!$M$38)</f>
        <v>191.17977782719129</v>
      </c>
      <c r="AB224" s="4">
        <f t="shared" si="18"/>
        <v>0</v>
      </c>
      <c r="AC224" s="4">
        <f>(L224-M224)*(W224+X224)+($W$146+$X$146-$W$224-$X$224)*(L224)</f>
        <v>344.76958999999994</v>
      </c>
      <c r="AD224" s="4">
        <f t="shared" si="19"/>
        <v>0</v>
      </c>
      <c r="AE224" s="4">
        <f ca="1">(L224-M224)*(Z224+AA224)+($Z$146+$AA$146-$Z$224-$AA$224)*(L224)</f>
        <v>181.34377612597538</v>
      </c>
      <c r="AF224" s="3" t="s">
        <v>667</v>
      </c>
    </row>
    <row r="225" spans="1:32" ht="11.25" customHeight="1" x14ac:dyDescent="0.25">
      <c r="A225" s="3" t="s">
        <v>21</v>
      </c>
      <c r="B225" s="3" t="s">
        <v>40</v>
      </c>
      <c r="C225" s="3" t="s">
        <v>23</v>
      </c>
      <c r="D225" s="3" t="s">
        <v>41</v>
      </c>
      <c r="E225" s="3" t="s">
        <v>53</v>
      </c>
      <c r="F225" s="3" t="s">
        <v>51</v>
      </c>
      <c r="G225" s="3" t="s">
        <v>25</v>
      </c>
      <c r="H225" s="3" t="s">
        <v>25</v>
      </c>
      <c r="I225" s="6">
        <v>44470</v>
      </c>
      <c r="J225" s="4">
        <v>0</v>
      </c>
      <c r="K225" s="4">
        <v>0</v>
      </c>
      <c r="L225" s="4">
        <v>57.811</v>
      </c>
      <c r="M225" s="4">
        <v>57.811</v>
      </c>
      <c r="N225" s="4">
        <v>57.811</v>
      </c>
      <c r="O225" s="4">
        <v>57.811</v>
      </c>
      <c r="P225" s="4">
        <v>0</v>
      </c>
      <c r="Q225" s="3" t="s">
        <v>26</v>
      </c>
      <c r="R225" s="3">
        <v>0</v>
      </c>
      <c r="S225" s="3">
        <v>0</v>
      </c>
      <c r="T225" s="3">
        <v>24</v>
      </c>
      <c r="U225" s="3">
        <v>63</v>
      </c>
      <c r="V225" s="4">
        <f>IF(ISERROR(VLOOKUP($S$225,'TAR FIN'!$A$1:$O$91,15,0)),0,VLOOKUP($S$225,'TAR FIN'!$A$1:$O$91,15,0))</f>
        <v>0</v>
      </c>
      <c r="W225" s="4">
        <f>IF(ISERROR(VLOOKUP($T$225,'TAR FIN'!$A$1:$O$91,15,0)),0,VLOOKUP($T$225,'TAR FIN'!$A$1:$O$91,15,0))</f>
        <v>275.13</v>
      </c>
      <c r="X225" s="4">
        <f>IF(ISERROR(VLOOKUP($U$225,'TAR FIN'!$A$1:$O$91,15,0)),0,VLOOKUP($U$225,'TAR FIN'!$A$1:$O$91,15,0))</f>
        <v>219.34</v>
      </c>
      <c r="Y225" s="4"/>
      <c r="Z225" s="4">
        <f ca="1">('TUSD BE'!$AM$36+'TUSD BF'!$AM$36+'TUSD CVA'!$AM$36)*(1-CUSTOS!$M$38)</f>
        <v>364.4729686309102</v>
      </c>
      <c r="AA225" s="4">
        <f>('TE BE'!$AB$26+'TE BF'!$AB$26+'TE CVA'!$AB$26)*(1-CUSTOS!$M$38)</f>
        <v>191.17977782719129</v>
      </c>
      <c r="AB225" s="4">
        <f t="shared" si="18"/>
        <v>0</v>
      </c>
      <c r="AC225" s="4">
        <f>(L225-M225)*(W225+X225)+($W$146+$X$146-$W$225-$X$225)*(L225)</f>
        <v>3898.1957299999985</v>
      </c>
      <c r="AD225" s="4">
        <f t="shared" si="19"/>
        <v>0</v>
      </c>
      <c r="AE225" s="4">
        <f ca="1">(L225-M225)*(Z225+AA225)+($Z$146+$AA$146-$Z$225-$AA$225)*(L225)</f>
        <v>2050.3941016269828</v>
      </c>
      <c r="AF225" s="3" t="s">
        <v>667</v>
      </c>
    </row>
    <row r="226" spans="1:32" ht="11.25" customHeight="1" x14ac:dyDescent="0.25">
      <c r="A226" s="3" t="s">
        <v>28</v>
      </c>
      <c r="B226" s="3" t="s">
        <v>40</v>
      </c>
      <c r="C226" s="3" t="s">
        <v>23</v>
      </c>
      <c r="D226" s="3" t="s">
        <v>41</v>
      </c>
      <c r="E226" s="3" t="s">
        <v>53</v>
      </c>
      <c r="F226" s="3" t="s">
        <v>51</v>
      </c>
      <c r="G226" s="3" t="s">
        <v>25</v>
      </c>
      <c r="H226" s="3" t="s">
        <v>25</v>
      </c>
      <c r="I226" s="6">
        <v>44470</v>
      </c>
      <c r="J226" s="4">
        <v>0</v>
      </c>
      <c r="K226" s="4">
        <v>0</v>
      </c>
      <c r="L226" s="4">
        <v>12.606999999999999</v>
      </c>
      <c r="M226" s="4">
        <v>12.606999999999999</v>
      </c>
      <c r="N226" s="4">
        <v>12.606999999999999</v>
      </c>
      <c r="O226" s="4">
        <v>12.606999999999999</v>
      </c>
      <c r="P226" s="4">
        <v>0</v>
      </c>
      <c r="Q226" s="3" t="s">
        <v>26</v>
      </c>
      <c r="R226" s="3">
        <v>0</v>
      </c>
      <c r="S226" s="3">
        <v>0</v>
      </c>
      <c r="T226" s="3">
        <v>24</v>
      </c>
      <c r="U226" s="3">
        <v>63</v>
      </c>
      <c r="V226" s="4">
        <f>IF(ISERROR(VLOOKUP($S$226,'TAR FIN'!$A$1:$O$91,15,0)),0,VLOOKUP($S$226,'TAR FIN'!$A$1:$O$91,15,0))</f>
        <v>0</v>
      </c>
      <c r="W226" s="4">
        <f>IF(ISERROR(VLOOKUP($T$226,'TAR FIN'!$A$1:$O$91,15,0)),0,VLOOKUP($T$226,'TAR FIN'!$A$1:$O$91,15,0))</f>
        <v>275.13</v>
      </c>
      <c r="X226" s="4">
        <f>IF(ISERROR(VLOOKUP($U$226,'TAR FIN'!$A$1:$O$91,15,0)),0,VLOOKUP($U$226,'TAR FIN'!$A$1:$O$91,15,0))</f>
        <v>219.34</v>
      </c>
      <c r="Y226" s="4"/>
      <c r="Z226" s="4">
        <f ca="1">('TUSD BE'!$AM$36+'TUSD BF'!$AM$36+'TUSD CVA'!$AM$36)*(1-CUSTOS!$M$38)</f>
        <v>364.4729686309102</v>
      </c>
      <c r="AA226" s="4">
        <f>('TE BE'!$AB$26+'TE BF'!$AB$26+'TE CVA'!$AB$26)*(1-CUSTOS!$M$38)</f>
        <v>191.17977782719129</v>
      </c>
      <c r="AB226" s="4">
        <f t="shared" si="18"/>
        <v>0</v>
      </c>
      <c r="AC226" s="4">
        <f>(L226-M226)*(W226+X226)+($W$146+$X$146-$W$226-$X$226)*(L226)</f>
        <v>850.09000999999967</v>
      </c>
      <c r="AD226" s="4">
        <f t="shared" si="19"/>
        <v>0</v>
      </c>
      <c r="AE226" s="4">
        <f ca="1">(L226-M226)*(Z226+AA226)+($Z$146+$AA$146-$Z$226-$AA$226)*(L226)</f>
        <v>447.13494731472156</v>
      </c>
      <c r="AF226" s="3" t="s">
        <v>667</v>
      </c>
    </row>
    <row r="227" spans="1:32" ht="11.25" customHeight="1" x14ac:dyDescent="0.25">
      <c r="A227" s="3" t="s">
        <v>21</v>
      </c>
      <c r="B227" s="3" t="s">
        <v>40</v>
      </c>
      <c r="C227" s="3" t="s">
        <v>23</v>
      </c>
      <c r="D227" s="3" t="s">
        <v>41</v>
      </c>
      <c r="E227" s="3" t="s">
        <v>53</v>
      </c>
      <c r="F227" s="3" t="s">
        <v>51</v>
      </c>
      <c r="G227" s="3" t="s">
        <v>25</v>
      </c>
      <c r="H227" s="3" t="s">
        <v>25</v>
      </c>
      <c r="I227" s="6">
        <v>44501</v>
      </c>
      <c r="J227" s="4">
        <v>0</v>
      </c>
      <c r="K227" s="4">
        <v>0</v>
      </c>
      <c r="L227" s="4">
        <v>63.508000000000003</v>
      </c>
      <c r="M227" s="4">
        <v>63.508000000000003</v>
      </c>
      <c r="N227" s="4">
        <v>63.508000000000003</v>
      </c>
      <c r="O227" s="4">
        <v>63.508000000000003</v>
      </c>
      <c r="P227" s="4">
        <v>0</v>
      </c>
      <c r="Q227" s="3" t="s">
        <v>26</v>
      </c>
      <c r="R227" s="3">
        <v>0</v>
      </c>
      <c r="S227" s="3">
        <v>0</v>
      </c>
      <c r="T227" s="3">
        <v>24</v>
      </c>
      <c r="U227" s="3">
        <v>63</v>
      </c>
      <c r="V227" s="4">
        <f>IF(ISERROR(VLOOKUP($S$227,'TAR FIN'!$A$1:$O$91,15,0)),0,VLOOKUP($S$227,'TAR FIN'!$A$1:$O$91,15,0))</f>
        <v>0</v>
      </c>
      <c r="W227" s="4">
        <f>IF(ISERROR(VLOOKUP($T$227,'TAR FIN'!$A$1:$O$91,15,0)),0,VLOOKUP($T$227,'TAR FIN'!$A$1:$O$91,15,0))</f>
        <v>275.13</v>
      </c>
      <c r="X227" s="4">
        <f>IF(ISERROR(VLOOKUP($U$227,'TAR FIN'!$A$1:$O$91,15,0)),0,VLOOKUP($U$227,'TAR FIN'!$A$1:$O$91,15,0))</f>
        <v>219.34</v>
      </c>
      <c r="Y227" s="4"/>
      <c r="Z227" s="4">
        <f ca="1">('TUSD BE'!$AM$36+'TUSD BF'!$AM$36+'TUSD CVA'!$AM$36)*(1-CUSTOS!$M$38)</f>
        <v>364.4729686309102</v>
      </c>
      <c r="AA227" s="4">
        <f>('TE BE'!$AB$26+'TE BF'!$AB$26+'TE CVA'!$AB$26)*(1-CUSTOS!$M$38)</f>
        <v>191.17977782719129</v>
      </c>
      <c r="AB227" s="4">
        <f t="shared" si="18"/>
        <v>0</v>
      </c>
      <c r="AC227" s="4">
        <f>(L227-M227)*(W227+X227)+($W$146+$X$146-$W$227-$X$227)*(L227)</f>
        <v>4282.3444399999989</v>
      </c>
      <c r="AD227" s="4">
        <f t="shared" si="19"/>
        <v>0</v>
      </c>
      <c r="AE227" s="4">
        <f ca="1">(L227-M227)*(Z227+AA227)+($Z$146+$AA$146-$Z$227-$AA$227)*(L227)</f>
        <v>2252.4507205570985</v>
      </c>
      <c r="AF227" s="3" t="s">
        <v>667</v>
      </c>
    </row>
    <row r="228" spans="1:32" ht="11.25" customHeight="1" x14ac:dyDescent="0.25">
      <c r="A228" s="3" t="s">
        <v>28</v>
      </c>
      <c r="B228" s="3" t="s">
        <v>40</v>
      </c>
      <c r="C228" s="3" t="s">
        <v>23</v>
      </c>
      <c r="D228" s="3" t="s">
        <v>41</v>
      </c>
      <c r="E228" s="3" t="s">
        <v>53</v>
      </c>
      <c r="F228" s="3" t="s">
        <v>51</v>
      </c>
      <c r="G228" s="3" t="s">
        <v>25</v>
      </c>
      <c r="H228" s="3" t="s">
        <v>25</v>
      </c>
      <c r="I228" s="6">
        <v>44501</v>
      </c>
      <c r="J228" s="4">
        <v>0</v>
      </c>
      <c r="K228" s="4">
        <v>0</v>
      </c>
      <c r="L228" s="4">
        <v>12.029</v>
      </c>
      <c r="M228" s="4">
        <v>12.029</v>
      </c>
      <c r="N228" s="4">
        <v>12.029</v>
      </c>
      <c r="O228" s="4">
        <v>12.029</v>
      </c>
      <c r="P228" s="4">
        <v>0</v>
      </c>
      <c r="Q228" s="3" t="s">
        <v>26</v>
      </c>
      <c r="R228" s="3">
        <v>0</v>
      </c>
      <c r="S228" s="3">
        <v>0</v>
      </c>
      <c r="T228" s="3">
        <v>24</v>
      </c>
      <c r="U228" s="3">
        <v>63</v>
      </c>
      <c r="V228" s="4">
        <f>IF(ISERROR(VLOOKUP($S$228,'TAR FIN'!$A$1:$O$91,15,0)),0,VLOOKUP($S$228,'TAR FIN'!$A$1:$O$91,15,0))</f>
        <v>0</v>
      </c>
      <c r="W228" s="4">
        <f>IF(ISERROR(VLOOKUP($T$228,'TAR FIN'!$A$1:$O$91,15,0)),0,VLOOKUP($T$228,'TAR FIN'!$A$1:$O$91,15,0))</f>
        <v>275.13</v>
      </c>
      <c r="X228" s="4">
        <f>IF(ISERROR(VLOOKUP($U$228,'TAR FIN'!$A$1:$O$91,15,0)),0,VLOOKUP($U$228,'TAR FIN'!$A$1:$O$91,15,0))</f>
        <v>219.34</v>
      </c>
      <c r="Y228" s="4"/>
      <c r="Z228" s="4">
        <f ca="1">('TUSD BE'!$AM$36+'TUSD BF'!$AM$36+'TUSD CVA'!$AM$36)*(1-CUSTOS!$M$38)</f>
        <v>364.4729686309102</v>
      </c>
      <c r="AA228" s="4">
        <f>('TE BE'!$AB$26+'TE BF'!$AB$26+'TE CVA'!$AB$26)*(1-CUSTOS!$M$38)</f>
        <v>191.17977782719129</v>
      </c>
      <c r="AB228" s="4">
        <f t="shared" si="18"/>
        <v>0</v>
      </c>
      <c r="AC228" s="4">
        <f>(L228-M228)*(W228+X228)+($W$146+$X$146-$W$228-$X$228)*(L228)</f>
        <v>811.11546999999973</v>
      </c>
      <c r="AD228" s="4">
        <f t="shared" si="19"/>
        <v>0</v>
      </c>
      <c r="AE228" s="4">
        <f ca="1">(L228-M228)*(Z228+AA228)+($Z$146+$AA$146-$Z$228-$AA$228)*(L228)</f>
        <v>426.63490769007586</v>
      </c>
      <c r="AF228" s="3" t="s">
        <v>667</v>
      </c>
    </row>
    <row r="229" spans="1:32" ht="11.25" customHeight="1" x14ac:dyDescent="0.25">
      <c r="A229" s="3" t="s">
        <v>21</v>
      </c>
      <c r="B229" s="3" t="s">
        <v>40</v>
      </c>
      <c r="C229" s="3" t="s">
        <v>23</v>
      </c>
      <c r="D229" s="3" t="s">
        <v>41</v>
      </c>
      <c r="E229" s="3" t="s">
        <v>53</v>
      </c>
      <c r="F229" s="3" t="s">
        <v>51</v>
      </c>
      <c r="G229" s="3" t="s">
        <v>25</v>
      </c>
      <c r="H229" s="3" t="s">
        <v>25</v>
      </c>
      <c r="I229" s="6">
        <v>44531</v>
      </c>
      <c r="J229" s="4">
        <v>0</v>
      </c>
      <c r="K229" s="4">
        <v>0</v>
      </c>
      <c r="L229" s="4">
        <v>75.221999999999994</v>
      </c>
      <c r="M229" s="4">
        <v>75.221999999999994</v>
      </c>
      <c r="N229" s="4">
        <v>75.221999999999994</v>
      </c>
      <c r="O229" s="4">
        <v>75.221999999999994</v>
      </c>
      <c r="P229" s="4">
        <v>0</v>
      </c>
      <c r="Q229" s="3" t="s">
        <v>26</v>
      </c>
      <c r="R229" s="3">
        <v>0</v>
      </c>
      <c r="S229" s="3">
        <v>0</v>
      </c>
      <c r="T229" s="3">
        <v>24</v>
      </c>
      <c r="U229" s="3">
        <v>63</v>
      </c>
      <c r="V229" s="4">
        <f>IF(ISERROR(VLOOKUP($S$229,'TAR FIN'!$A$1:$O$91,15,0)),0,VLOOKUP($S$229,'TAR FIN'!$A$1:$O$91,15,0))</f>
        <v>0</v>
      </c>
      <c r="W229" s="4">
        <f>IF(ISERROR(VLOOKUP($T$229,'TAR FIN'!$A$1:$O$91,15,0)),0,VLOOKUP($T$229,'TAR FIN'!$A$1:$O$91,15,0))</f>
        <v>275.13</v>
      </c>
      <c r="X229" s="4">
        <f>IF(ISERROR(VLOOKUP($U$229,'TAR FIN'!$A$1:$O$91,15,0)),0,VLOOKUP($U$229,'TAR FIN'!$A$1:$O$91,15,0))</f>
        <v>219.34</v>
      </c>
      <c r="Y229" s="4"/>
      <c r="Z229" s="4">
        <f ca="1">('TUSD BE'!$AM$36+'TUSD BF'!$AM$36+'TUSD CVA'!$AM$36)*(1-CUSTOS!$M$38)</f>
        <v>364.4729686309102</v>
      </c>
      <c r="AA229" s="4">
        <f>('TE BE'!$AB$26+'TE BF'!$AB$26+'TE CVA'!$AB$26)*(1-CUSTOS!$M$38)</f>
        <v>191.17977782719129</v>
      </c>
      <c r="AB229" s="4">
        <f t="shared" si="18"/>
        <v>0</v>
      </c>
      <c r="AC229" s="4">
        <f>(L229-M229)*(W229+X229)+($W$146+$X$146-$W$229-$X$229)*(L229)</f>
        <v>5072.2194599999984</v>
      </c>
      <c r="AD229" s="4">
        <f t="shared" si="19"/>
        <v>0</v>
      </c>
      <c r="AE229" s="4">
        <f ca="1">(L229-M229)*(Z229+AA229)+($Z$146+$AA$146-$Z$229-$AA$229)*(L229)</f>
        <v>2667.9134613237079</v>
      </c>
      <c r="AF229" s="3" t="s">
        <v>667</v>
      </c>
    </row>
    <row r="230" spans="1:32" ht="11.25" customHeight="1" x14ac:dyDescent="0.25">
      <c r="A230" s="3" t="s">
        <v>28</v>
      </c>
      <c r="B230" s="3" t="s">
        <v>40</v>
      </c>
      <c r="C230" s="3" t="s">
        <v>23</v>
      </c>
      <c r="D230" s="3" t="s">
        <v>41</v>
      </c>
      <c r="E230" s="3" t="s">
        <v>53</v>
      </c>
      <c r="F230" s="3" t="s">
        <v>51</v>
      </c>
      <c r="G230" s="3" t="s">
        <v>25</v>
      </c>
      <c r="H230" s="3" t="s">
        <v>25</v>
      </c>
      <c r="I230" s="6">
        <v>44531</v>
      </c>
      <c r="J230" s="4">
        <v>0</v>
      </c>
      <c r="K230" s="4">
        <v>0</v>
      </c>
      <c r="L230" s="4">
        <v>16.344999999999999</v>
      </c>
      <c r="M230" s="4">
        <v>16.344999999999999</v>
      </c>
      <c r="N230" s="4">
        <v>16.344999999999999</v>
      </c>
      <c r="O230" s="4">
        <v>16.344999999999999</v>
      </c>
      <c r="P230" s="4">
        <v>0</v>
      </c>
      <c r="Q230" s="3" t="s">
        <v>26</v>
      </c>
      <c r="R230" s="3">
        <v>0</v>
      </c>
      <c r="S230" s="3">
        <v>0</v>
      </c>
      <c r="T230" s="3">
        <v>24</v>
      </c>
      <c r="U230" s="3">
        <v>63</v>
      </c>
      <c r="V230" s="4">
        <f>IF(ISERROR(VLOOKUP($S$230,'TAR FIN'!$A$1:$O$91,15,0)),0,VLOOKUP($S$230,'TAR FIN'!$A$1:$O$91,15,0))</f>
        <v>0</v>
      </c>
      <c r="W230" s="4">
        <f>IF(ISERROR(VLOOKUP($T$230,'TAR FIN'!$A$1:$O$91,15,0)),0,VLOOKUP($T$230,'TAR FIN'!$A$1:$O$91,15,0))</f>
        <v>275.13</v>
      </c>
      <c r="X230" s="4">
        <f>IF(ISERROR(VLOOKUP($U$230,'TAR FIN'!$A$1:$O$91,15,0)),0,VLOOKUP($U$230,'TAR FIN'!$A$1:$O$91,15,0))</f>
        <v>219.34</v>
      </c>
      <c r="Y230" s="4"/>
      <c r="Z230" s="4">
        <f ca="1">('TUSD BE'!$AM$36+'TUSD BF'!$AM$36+'TUSD CVA'!$AM$36)*(1-CUSTOS!$M$38)</f>
        <v>364.4729686309102</v>
      </c>
      <c r="AA230" s="4">
        <f>('TE BE'!$AB$26+'TE BF'!$AB$26+'TE CVA'!$AB$26)*(1-CUSTOS!$M$38)</f>
        <v>191.17977782719129</v>
      </c>
      <c r="AB230" s="4">
        <f t="shared" si="18"/>
        <v>0</v>
      </c>
      <c r="AC230" s="4">
        <f>(L230-M230)*(W230+X230)+($W$146+$X$146-$W$230-$X$230)*(L230)</f>
        <v>1102.1433499999996</v>
      </c>
      <c r="AD230" s="4">
        <f t="shared" si="19"/>
        <v>0</v>
      </c>
      <c r="AE230" s="4">
        <f ca="1">(L230-M230)*(Z230+AA230)+($Z$146+$AA$146-$Z$230-$AA$230)*(L230)</f>
        <v>579.71132813985275</v>
      </c>
      <c r="AF230" s="3" t="s">
        <v>667</v>
      </c>
    </row>
    <row r="231" spans="1:32" ht="11.25" customHeight="1" x14ac:dyDescent="0.25">
      <c r="A231" s="3" t="s">
        <v>21</v>
      </c>
      <c r="B231" s="3" t="s">
        <v>40</v>
      </c>
      <c r="C231" s="3" t="s">
        <v>23</v>
      </c>
      <c r="D231" s="3" t="s">
        <v>41</v>
      </c>
      <c r="E231" s="3" t="s">
        <v>53</v>
      </c>
      <c r="F231" s="3" t="s">
        <v>51</v>
      </c>
      <c r="G231" s="3" t="s">
        <v>25</v>
      </c>
      <c r="H231" s="3" t="s">
        <v>25</v>
      </c>
      <c r="I231" s="6">
        <v>44562</v>
      </c>
      <c r="J231" s="4">
        <v>0</v>
      </c>
      <c r="K231" s="4">
        <v>0</v>
      </c>
      <c r="L231" s="4">
        <v>82.271000000000001</v>
      </c>
      <c r="M231" s="4">
        <v>82.271000000000001</v>
      </c>
      <c r="N231" s="4">
        <v>82.271000000000001</v>
      </c>
      <c r="O231" s="4">
        <v>82.271000000000001</v>
      </c>
      <c r="P231" s="4">
        <v>0</v>
      </c>
      <c r="Q231" s="3" t="s">
        <v>26</v>
      </c>
      <c r="R231" s="3">
        <v>0</v>
      </c>
      <c r="S231" s="3">
        <v>0</v>
      </c>
      <c r="T231" s="3">
        <v>24</v>
      </c>
      <c r="U231" s="3">
        <v>63</v>
      </c>
      <c r="V231" s="4">
        <f>IF(ISERROR(VLOOKUP($S$231,'TAR FIN'!$A$1:$O$91,15,0)),0,VLOOKUP($S$231,'TAR FIN'!$A$1:$O$91,15,0))</f>
        <v>0</v>
      </c>
      <c r="W231" s="4">
        <f>IF(ISERROR(VLOOKUP($T$231,'TAR FIN'!$A$1:$O$91,15,0)),0,VLOOKUP($T$231,'TAR FIN'!$A$1:$O$91,15,0))</f>
        <v>275.13</v>
      </c>
      <c r="X231" s="4">
        <f>IF(ISERROR(VLOOKUP($U$231,'TAR FIN'!$A$1:$O$91,15,0)),0,VLOOKUP($U$231,'TAR FIN'!$A$1:$O$91,15,0))</f>
        <v>219.34</v>
      </c>
      <c r="Y231" s="4"/>
      <c r="Z231" s="4">
        <f ca="1">('TUSD BE'!$AM$36+'TUSD BF'!$AM$36+'TUSD CVA'!$AM$36)*(1-CUSTOS!$M$38)</f>
        <v>364.4729686309102</v>
      </c>
      <c r="AA231" s="4">
        <f>('TE BE'!$AB$26+'TE BF'!$AB$26+'TE CVA'!$AB$26)*(1-CUSTOS!$M$38)</f>
        <v>191.17977782719129</v>
      </c>
      <c r="AB231" s="4">
        <f t="shared" si="18"/>
        <v>0</v>
      </c>
      <c r="AC231" s="4">
        <f>(L231-M231)*(W231+X231)+($W$146+$X$146-$W$231-$X$231)*(L231)</f>
        <v>5547.5335299999979</v>
      </c>
      <c r="AD231" s="4">
        <f t="shared" si="19"/>
        <v>0</v>
      </c>
      <c r="AE231" s="4">
        <f ca="1">(L231-M231)*(Z231+AA231)+($Z$146+$AA$146-$Z$231-$AA$231)*(L231)</f>
        <v>2917.9217300332721</v>
      </c>
      <c r="AF231" s="3" t="s">
        <v>667</v>
      </c>
    </row>
    <row r="232" spans="1:32" ht="11.25" customHeight="1" x14ac:dyDescent="0.25">
      <c r="A232" s="3" t="s">
        <v>28</v>
      </c>
      <c r="B232" s="3" t="s">
        <v>40</v>
      </c>
      <c r="C232" s="3" t="s">
        <v>23</v>
      </c>
      <c r="D232" s="3" t="s">
        <v>41</v>
      </c>
      <c r="E232" s="3" t="s">
        <v>53</v>
      </c>
      <c r="F232" s="3" t="s">
        <v>51</v>
      </c>
      <c r="G232" s="3" t="s">
        <v>25</v>
      </c>
      <c r="H232" s="3" t="s">
        <v>25</v>
      </c>
      <c r="I232" s="6">
        <v>44562</v>
      </c>
      <c r="J232" s="4">
        <v>0</v>
      </c>
      <c r="K232" s="4">
        <v>0</v>
      </c>
      <c r="L232" s="4">
        <v>19.469000000000001</v>
      </c>
      <c r="M232" s="4">
        <v>19.469000000000001</v>
      </c>
      <c r="N232" s="4">
        <v>19.469000000000001</v>
      </c>
      <c r="O232" s="4">
        <v>19.469000000000001</v>
      </c>
      <c r="P232" s="4">
        <v>0</v>
      </c>
      <c r="Q232" s="3" t="s">
        <v>26</v>
      </c>
      <c r="R232" s="3">
        <v>0</v>
      </c>
      <c r="S232" s="3">
        <v>0</v>
      </c>
      <c r="T232" s="3">
        <v>24</v>
      </c>
      <c r="U232" s="3">
        <v>63</v>
      </c>
      <c r="V232" s="4">
        <f>IF(ISERROR(VLOOKUP($S$232,'TAR FIN'!$A$1:$O$91,15,0)),0,VLOOKUP($S$232,'TAR FIN'!$A$1:$O$91,15,0))</f>
        <v>0</v>
      </c>
      <c r="W232" s="4">
        <f>IF(ISERROR(VLOOKUP($T$232,'TAR FIN'!$A$1:$O$91,15,0)),0,VLOOKUP($T$232,'TAR FIN'!$A$1:$O$91,15,0))</f>
        <v>275.13</v>
      </c>
      <c r="X232" s="4">
        <f>IF(ISERROR(VLOOKUP($U$232,'TAR FIN'!$A$1:$O$91,15,0)),0,VLOOKUP($U$232,'TAR FIN'!$A$1:$O$91,15,0))</f>
        <v>219.34</v>
      </c>
      <c r="Y232" s="4"/>
      <c r="Z232" s="4">
        <f ca="1">('TUSD BE'!$AM$36+'TUSD BF'!$AM$36+'TUSD CVA'!$AM$36)*(1-CUSTOS!$M$38)</f>
        <v>364.4729686309102</v>
      </c>
      <c r="AA232" s="4">
        <f>('TE BE'!$AB$26+'TE BF'!$AB$26+'TE CVA'!$AB$26)*(1-CUSTOS!$M$38)</f>
        <v>191.17977782719129</v>
      </c>
      <c r="AB232" s="4">
        <f t="shared" si="18"/>
        <v>0</v>
      </c>
      <c r="AC232" s="4">
        <f>(L232-M232)*(W232+X232)+($W$146+$X$146-$W$232-$X$232)*(L232)</f>
        <v>1312.7946699999998</v>
      </c>
      <c r="AD232" s="4">
        <f t="shared" si="19"/>
        <v>0</v>
      </c>
      <c r="AE232" s="4">
        <f ca="1">(L232-M232)*(Z232+AA232)+($Z$146+$AA$146-$Z$232-$AA$232)*(L232)</f>
        <v>690.5108502633708</v>
      </c>
      <c r="AF232" s="3" t="s">
        <v>667</v>
      </c>
    </row>
    <row r="233" spans="1:32" ht="11.25" customHeight="1" x14ac:dyDescent="0.25">
      <c r="A233" s="3" t="s">
        <v>21</v>
      </c>
      <c r="B233" s="3" t="s">
        <v>40</v>
      </c>
      <c r="C233" s="3" t="s">
        <v>23</v>
      </c>
      <c r="D233" s="3" t="s">
        <v>41</v>
      </c>
      <c r="E233" s="3" t="s">
        <v>53</v>
      </c>
      <c r="F233" s="3" t="s">
        <v>51</v>
      </c>
      <c r="G233" s="3" t="s">
        <v>25</v>
      </c>
      <c r="H233" s="3" t="s">
        <v>25</v>
      </c>
      <c r="I233" s="6">
        <v>44593</v>
      </c>
      <c r="J233" s="4">
        <v>0</v>
      </c>
      <c r="K233" s="4">
        <v>0</v>
      </c>
      <c r="L233" s="4">
        <v>84.971999999999994</v>
      </c>
      <c r="M233" s="4">
        <v>84.971999999999994</v>
      </c>
      <c r="N233" s="4">
        <v>84.971999999999994</v>
      </c>
      <c r="O233" s="4">
        <v>84.971999999999994</v>
      </c>
      <c r="P233" s="4">
        <v>0</v>
      </c>
      <c r="Q233" s="3" t="s">
        <v>26</v>
      </c>
      <c r="R233" s="3">
        <v>0</v>
      </c>
      <c r="S233" s="3">
        <v>0</v>
      </c>
      <c r="T233" s="3">
        <v>24</v>
      </c>
      <c r="U233" s="3">
        <v>63</v>
      </c>
      <c r="V233" s="4">
        <f>IF(ISERROR(VLOOKUP($S$233,'TAR FIN'!$A$1:$O$91,15,0)),0,VLOOKUP($S$233,'TAR FIN'!$A$1:$O$91,15,0))</f>
        <v>0</v>
      </c>
      <c r="W233" s="4">
        <f>IF(ISERROR(VLOOKUP($T$233,'TAR FIN'!$A$1:$O$91,15,0)),0,VLOOKUP($T$233,'TAR FIN'!$A$1:$O$91,15,0))</f>
        <v>275.13</v>
      </c>
      <c r="X233" s="4">
        <f>IF(ISERROR(VLOOKUP($U$233,'TAR FIN'!$A$1:$O$91,15,0)),0,VLOOKUP($U$233,'TAR FIN'!$A$1:$O$91,15,0))</f>
        <v>219.34</v>
      </c>
      <c r="Y233" s="4"/>
      <c r="Z233" s="4">
        <f ca="1">('TUSD BE'!$AM$36+'TUSD BF'!$AM$36+'TUSD CVA'!$AM$36)*(1-CUSTOS!$M$38)</f>
        <v>364.4729686309102</v>
      </c>
      <c r="AA233" s="4">
        <f>('TE BE'!$AB$26+'TE BF'!$AB$26+'TE CVA'!$AB$26)*(1-CUSTOS!$M$38)</f>
        <v>191.17977782719129</v>
      </c>
      <c r="AB233" s="4">
        <f t="shared" si="18"/>
        <v>0</v>
      </c>
      <c r="AC233" s="4">
        <f>(L233-M233)*(W233+X233)+($W$146+$X$146-$W$233-$X$233)*(L233)</f>
        <v>5729.6619599999976</v>
      </c>
      <c r="AD233" s="4">
        <f t="shared" si="19"/>
        <v>0</v>
      </c>
      <c r="AE233" s="4">
        <f ca="1">(L233-M233)*(Z233+AA233)+($Z$146+$AA$146-$Z$233-$AA$233)*(L233)</f>
        <v>3013.7186280024212</v>
      </c>
      <c r="AF233" s="3" t="s">
        <v>667</v>
      </c>
    </row>
    <row r="234" spans="1:32" ht="11.25" customHeight="1" x14ac:dyDescent="0.25">
      <c r="A234" s="3" t="s">
        <v>27</v>
      </c>
      <c r="B234" s="3" t="s">
        <v>40</v>
      </c>
      <c r="C234" s="3" t="s">
        <v>23</v>
      </c>
      <c r="D234" s="3" t="s">
        <v>41</v>
      </c>
      <c r="E234" s="3" t="s">
        <v>53</v>
      </c>
      <c r="F234" s="3" t="s">
        <v>51</v>
      </c>
      <c r="G234" s="3" t="s">
        <v>25</v>
      </c>
      <c r="H234" s="3" t="s">
        <v>25</v>
      </c>
      <c r="I234" s="6">
        <v>44593</v>
      </c>
      <c r="J234" s="4">
        <v>0</v>
      </c>
      <c r="K234" s="4">
        <v>0</v>
      </c>
      <c r="L234" s="4">
        <v>-2</v>
      </c>
      <c r="M234" s="4">
        <v>-2</v>
      </c>
      <c r="N234" s="4">
        <v>-2</v>
      </c>
      <c r="O234" s="4">
        <v>-2</v>
      </c>
      <c r="P234" s="4">
        <v>0</v>
      </c>
      <c r="Q234" s="3" t="s">
        <v>26</v>
      </c>
      <c r="R234" s="3">
        <v>0</v>
      </c>
      <c r="S234" s="3">
        <v>0</v>
      </c>
      <c r="T234" s="3">
        <v>24</v>
      </c>
      <c r="U234" s="3">
        <v>63</v>
      </c>
      <c r="V234" s="4">
        <f>IF(ISERROR(VLOOKUP($S$234,'TAR FIN'!$A$1:$O$91,15,0)),0,VLOOKUP($S$234,'TAR FIN'!$A$1:$O$91,15,0))</f>
        <v>0</v>
      </c>
      <c r="W234" s="4">
        <f>IF(ISERROR(VLOOKUP($T$234,'TAR FIN'!$A$1:$O$91,15,0)),0,VLOOKUP($T$234,'TAR FIN'!$A$1:$O$91,15,0))</f>
        <v>275.13</v>
      </c>
      <c r="X234" s="4">
        <f>IF(ISERROR(VLOOKUP($U$234,'TAR FIN'!$A$1:$O$91,15,0)),0,VLOOKUP($U$234,'TAR FIN'!$A$1:$O$91,15,0))</f>
        <v>219.34</v>
      </c>
      <c r="Y234" s="4"/>
      <c r="Z234" s="4">
        <f ca="1">('TUSD BE'!$AM$36+'TUSD BF'!$AM$36+'TUSD CVA'!$AM$36)*(1-CUSTOS!$M$38)</f>
        <v>364.4729686309102</v>
      </c>
      <c r="AA234" s="4">
        <f>('TE BE'!$AB$26+'TE BF'!$AB$26+'TE CVA'!$AB$26)*(1-CUSTOS!$M$38)</f>
        <v>191.17977782719129</v>
      </c>
      <c r="AB234" s="4">
        <f t="shared" si="18"/>
        <v>0</v>
      </c>
      <c r="AC234" s="4">
        <f>(L234-M234)*(W234+X234)+($W$146+$X$146-$W$234-$X$234)*(L234)</f>
        <v>-134.85999999999996</v>
      </c>
      <c r="AD234" s="4">
        <f t="shared" si="19"/>
        <v>0</v>
      </c>
      <c r="AE234" s="4">
        <f ca="1">(L234-M234)*(Z234+AA234)+($Z$146+$AA$146-$Z$234-$AA$234)*(L234)</f>
        <v>-70.934393164864218</v>
      </c>
      <c r="AF234" s="3" t="s">
        <v>667</v>
      </c>
    </row>
    <row r="235" spans="1:32" ht="11.25" customHeight="1" x14ac:dyDescent="0.25">
      <c r="A235" s="3" t="s">
        <v>28</v>
      </c>
      <c r="B235" s="3" t="s">
        <v>40</v>
      </c>
      <c r="C235" s="3" t="s">
        <v>23</v>
      </c>
      <c r="D235" s="3" t="s">
        <v>41</v>
      </c>
      <c r="E235" s="3" t="s">
        <v>53</v>
      </c>
      <c r="F235" s="3" t="s">
        <v>51</v>
      </c>
      <c r="G235" s="3" t="s">
        <v>25</v>
      </c>
      <c r="H235" s="3" t="s">
        <v>25</v>
      </c>
      <c r="I235" s="6">
        <v>44593</v>
      </c>
      <c r="J235" s="4">
        <v>0</v>
      </c>
      <c r="K235" s="4">
        <v>0</v>
      </c>
      <c r="L235" s="4">
        <v>17.23</v>
      </c>
      <c r="M235" s="4">
        <v>17.23</v>
      </c>
      <c r="N235" s="4">
        <v>17.23</v>
      </c>
      <c r="O235" s="4">
        <v>17.23</v>
      </c>
      <c r="P235" s="4">
        <v>0</v>
      </c>
      <c r="Q235" s="3" t="s">
        <v>26</v>
      </c>
      <c r="R235" s="3">
        <v>0</v>
      </c>
      <c r="S235" s="3">
        <v>0</v>
      </c>
      <c r="T235" s="3">
        <v>24</v>
      </c>
      <c r="U235" s="3">
        <v>63</v>
      </c>
      <c r="V235" s="4">
        <f>IF(ISERROR(VLOOKUP($S$235,'TAR FIN'!$A$1:$O$91,15,0)),0,VLOOKUP($S$235,'TAR FIN'!$A$1:$O$91,15,0))</f>
        <v>0</v>
      </c>
      <c r="W235" s="4">
        <f>IF(ISERROR(VLOOKUP($T$235,'TAR FIN'!$A$1:$O$91,15,0)),0,VLOOKUP($T$235,'TAR FIN'!$A$1:$O$91,15,0))</f>
        <v>275.13</v>
      </c>
      <c r="X235" s="4">
        <f>IF(ISERROR(VLOOKUP($U$235,'TAR FIN'!$A$1:$O$91,15,0)),0,VLOOKUP($U$235,'TAR FIN'!$A$1:$O$91,15,0))</f>
        <v>219.34</v>
      </c>
      <c r="Y235" s="4"/>
      <c r="Z235" s="4">
        <f ca="1">('TUSD BE'!$AM$36+'TUSD BF'!$AM$36+'TUSD CVA'!$AM$36)*(1-CUSTOS!$M$38)</f>
        <v>364.4729686309102</v>
      </c>
      <c r="AA235" s="4">
        <f>('TE BE'!$AB$26+'TE BF'!$AB$26+'TE CVA'!$AB$26)*(1-CUSTOS!$M$38)</f>
        <v>191.17977782719129</v>
      </c>
      <c r="AB235" s="4">
        <f t="shared" si="18"/>
        <v>0</v>
      </c>
      <c r="AC235" s="4">
        <f>(L235-M235)*(W235+X235)+($W$146+$X$146-$W$235-$X$235)*(L235)</f>
        <v>1161.8188999999998</v>
      </c>
      <c r="AD235" s="4">
        <f t="shared" si="19"/>
        <v>0</v>
      </c>
      <c r="AE235" s="4">
        <f ca="1">(L235-M235)*(Z235+AA235)+($Z$146+$AA$146-$Z$235-$AA$235)*(L235)</f>
        <v>611.09979711530525</v>
      </c>
      <c r="AF235" s="3" t="s">
        <v>667</v>
      </c>
    </row>
    <row r="236" spans="1:32" ht="11.25" customHeight="1" x14ac:dyDescent="0.25">
      <c r="A236" s="3" t="s">
        <v>21</v>
      </c>
      <c r="B236" s="3" t="s">
        <v>40</v>
      </c>
      <c r="C236" s="3" t="s">
        <v>23</v>
      </c>
      <c r="D236" s="3" t="s">
        <v>41</v>
      </c>
      <c r="E236" s="3" t="s">
        <v>53</v>
      </c>
      <c r="F236" s="3" t="s">
        <v>51</v>
      </c>
      <c r="G236" s="3" t="s">
        <v>25</v>
      </c>
      <c r="H236" s="3" t="s">
        <v>25</v>
      </c>
      <c r="I236" s="6">
        <v>44621</v>
      </c>
      <c r="J236" s="4">
        <v>0</v>
      </c>
      <c r="K236" s="4">
        <v>0</v>
      </c>
      <c r="L236" s="4">
        <v>82.183999999999997</v>
      </c>
      <c r="M236" s="4">
        <v>82.183999999999997</v>
      </c>
      <c r="N236" s="4">
        <v>82.183999999999997</v>
      </c>
      <c r="O236" s="4">
        <v>82.183999999999997</v>
      </c>
      <c r="P236" s="4">
        <v>0</v>
      </c>
      <c r="Q236" s="3" t="s">
        <v>26</v>
      </c>
      <c r="R236" s="3">
        <v>0</v>
      </c>
      <c r="S236" s="3">
        <v>0</v>
      </c>
      <c r="T236" s="3">
        <v>24</v>
      </c>
      <c r="U236" s="3">
        <v>63</v>
      </c>
      <c r="V236" s="4">
        <f>IF(ISERROR(VLOOKUP($S$236,'TAR FIN'!$A$1:$O$91,15,0)),0,VLOOKUP($S$236,'TAR FIN'!$A$1:$O$91,15,0))</f>
        <v>0</v>
      </c>
      <c r="W236" s="4">
        <f>IF(ISERROR(VLOOKUP($T$236,'TAR FIN'!$A$1:$O$91,15,0)),0,VLOOKUP($T$236,'TAR FIN'!$A$1:$O$91,15,0))</f>
        <v>275.13</v>
      </c>
      <c r="X236" s="4">
        <f>IF(ISERROR(VLOOKUP($U$236,'TAR FIN'!$A$1:$O$91,15,0)),0,VLOOKUP($U$236,'TAR FIN'!$A$1:$O$91,15,0))</f>
        <v>219.34</v>
      </c>
      <c r="Y236" s="4"/>
      <c r="Z236" s="4">
        <f ca="1">('TUSD BE'!$AM$36+'TUSD BF'!$AM$36+'TUSD CVA'!$AM$36)*(1-CUSTOS!$M$38)</f>
        <v>364.4729686309102</v>
      </c>
      <c r="AA236" s="4">
        <f>('TE BE'!$AB$26+'TE BF'!$AB$26+'TE CVA'!$AB$26)*(1-CUSTOS!$M$38)</f>
        <v>191.17977782719129</v>
      </c>
      <c r="AB236" s="4">
        <f t="shared" si="18"/>
        <v>0</v>
      </c>
      <c r="AC236" s="4">
        <f>(L236-M236)*(W236+X236)+($W$146+$X$146-$W$236-$X$236)*(L236)</f>
        <v>5541.6671199999982</v>
      </c>
      <c r="AD236" s="4">
        <f t="shared" si="19"/>
        <v>0</v>
      </c>
      <c r="AE236" s="4">
        <f ca="1">(L236-M236)*(Z236+AA236)+($Z$146+$AA$146-$Z$236-$AA$236)*(L236)</f>
        <v>2914.8360839306006</v>
      </c>
      <c r="AF236" s="3" t="s">
        <v>667</v>
      </c>
    </row>
    <row r="237" spans="1:32" ht="11.25" customHeight="1" x14ac:dyDescent="0.25">
      <c r="A237" s="3" t="s">
        <v>28</v>
      </c>
      <c r="B237" s="3" t="s">
        <v>40</v>
      </c>
      <c r="C237" s="3" t="s">
        <v>23</v>
      </c>
      <c r="D237" s="3" t="s">
        <v>41</v>
      </c>
      <c r="E237" s="3" t="s">
        <v>53</v>
      </c>
      <c r="F237" s="3" t="s">
        <v>51</v>
      </c>
      <c r="G237" s="3" t="s">
        <v>25</v>
      </c>
      <c r="H237" s="3" t="s">
        <v>25</v>
      </c>
      <c r="I237" s="6">
        <v>44621</v>
      </c>
      <c r="J237" s="4">
        <v>0</v>
      </c>
      <c r="K237" s="4">
        <v>0</v>
      </c>
      <c r="L237" s="4">
        <v>21.934000000000001</v>
      </c>
      <c r="M237" s="4">
        <v>21.934000000000001</v>
      </c>
      <c r="N237" s="4">
        <v>21.934000000000001</v>
      </c>
      <c r="O237" s="4">
        <v>21.934000000000001</v>
      </c>
      <c r="P237" s="4">
        <v>0</v>
      </c>
      <c r="Q237" s="3" t="s">
        <v>26</v>
      </c>
      <c r="R237" s="3">
        <v>0</v>
      </c>
      <c r="S237" s="3">
        <v>0</v>
      </c>
      <c r="T237" s="3">
        <v>24</v>
      </c>
      <c r="U237" s="3">
        <v>63</v>
      </c>
      <c r="V237" s="4">
        <f>IF(ISERROR(VLOOKUP($S$237,'TAR FIN'!$A$1:$O$91,15,0)),0,VLOOKUP($S$237,'TAR FIN'!$A$1:$O$91,15,0))</f>
        <v>0</v>
      </c>
      <c r="W237" s="4">
        <f>IF(ISERROR(VLOOKUP($T$237,'TAR FIN'!$A$1:$O$91,15,0)),0,VLOOKUP($T$237,'TAR FIN'!$A$1:$O$91,15,0))</f>
        <v>275.13</v>
      </c>
      <c r="X237" s="4">
        <f>IF(ISERROR(VLOOKUP($U$237,'TAR FIN'!$A$1:$O$91,15,0)),0,VLOOKUP($U$237,'TAR FIN'!$A$1:$O$91,15,0))</f>
        <v>219.34</v>
      </c>
      <c r="Y237" s="4"/>
      <c r="Z237" s="4">
        <f ca="1">('TUSD BE'!$AM$36+'TUSD BF'!$AM$36+'TUSD CVA'!$AM$36)*(1-CUSTOS!$M$38)</f>
        <v>364.4729686309102</v>
      </c>
      <c r="AA237" s="4">
        <f>('TE BE'!$AB$26+'TE BF'!$AB$26+'TE CVA'!$AB$26)*(1-CUSTOS!$M$38)</f>
        <v>191.17977782719129</v>
      </c>
      <c r="AB237" s="4">
        <f t="shared" si="18"/>
        <v>0</v>
      </c>
      <c r="AC237" s="4">
        <f>(L237-M237)*(W237+X237)+($W$146+$X$146-$W$237-$X$237)*(L237)</f>
        <v>1479.0096199999996</v>
      </c>
      <c r="AD237" s="4">
        <f t="shared" si="19"/>
        <v>0</v>
      </c>
      <c r="AE237" s="4">
        <f ca="1">(L237-M237)*(Z237+AA237)+($Z$146+$AA$146-$Z$237-$AA$237)*(L237)</f>
        <v>777.93748983906596</v>
      </c>
      <c r="AF237" s="3" t="s">
        <v>667</v>
      </c>
    </row>
    <row r="238" spans="1:32" ht="11.25" customHeight="1" x14ac:dyDescent="0.25">
      <c r="A238" s="3" t="s">
        <v>21</v>
      </c>
      <c r="B238" s="3" t="s">
        <v>40</v>
      </c>
      <c r="C238" s="3" t="s">
        <v>23</v>
      </c>
      <c r="D238" s="3" t="s">
        <v>41</v>
      </c>
      <c r="E238" s="3" t="s">
        <v>53</v>
      </c>
      <c r="F238" s="3" t="s">
        <v>51</v>
      </c>
      <c r="G238" s="3" t="s">
        <v>25</v>
      </c>
      <c r="H238" s="3" t="s">
        <v>25</v>
      </c>
      <c r="I238" s="6">
        <v>44652</v>
      </c>
      <c r="J238" s="4">
        <v>0</v>
      </c>
      <c r="K238" s="4">
        <v>0</v>
      </c>
      <c r="L238" s="4">
        <v>82.19</v>
      </c>
      <c r="M238" s="4">
        <v>82.19</v>
      </c>
      <c r="N238" s="4">
        <v>82.19</v>
      </c>
      <c r="O238" s="4">
        <v>82.19</v>
      </c>
      <c r="P238" s="4">
        <v>0</v>
      </c>
      <c r="Q238" s="3" t="s">
        <v>26</v>
      </c>
      <c r="R238" s="3">
        <v>0</v>
      </c>
      <c r="S238" s="3">
        <v>0</v>
      </c>
      <c r="T238" s="3">
        <v>24</v>
      </c>
      <c r="U238" s="3">
        <v>63</v>
      </c>
      <c r="V238" s="4">
        <f>IF(ISERROR(VLOOKUP($S$238,'TAR FIN'!$A$1:$O$91,15,0)),0,VLOOKUP($S$238,'TAR FIN'!$A$1:$O$91,15,0))</f>
        <v>0</v>
      </c>
      <c r="W238" s="4">
        <f>IF(ISERROR(VLOOKUP($T$238,'TAR FIN'!$A$1:$O$91,15,0)),0,VLOOKUP($T$238,'TAR FIN'!$A$1:$O$91,15,0))</f>
        <v>275.13</v>
      </c>
      <c r="X238" s="4">
        <f>IF(ISERROR(VLOOKUP($U$238,'TAR FIN'!$A$1:$O$91,15,0)),0,VLOOKUP($U$238,'TAR FIN'!$A$1:$O$91,15,0))</f>
        <v>219.34</v>
      </c>
      <c r="Y238" s="4"/>
      <c r="Z238" s="4">
        <f ca="1">('TUSD BE'!$AM$36+'TUSD BF'!$AM$36+'TUSD CVA'!$AM$36)*(1-CUSTOS!$M$38)</f>
        <v>364.4729686309102</v>
      </c>
      <c r="AA238" s="4">
        <f>('TE BE'!$AB$26+'TE BF'!$AB$26+'TE CVA'!$AB$26)*(1-CUSTOS!$M$38)</f>
        <v>191.17977782719129</v>
      </c>
      <c r="AB238" s="4">
        <f t="shared" si="18"/>
        <v>0</v>
      </c>
      <c r="AC238" s="4">
        <f>(L238-M238)*(W238+X238)+($W$146+$X$146-$W$238-$X$238)*(L238)</f>
        <v>5542.0716999999977</v>
      </c>
      <c r="AD238" s="4">
        <f t="shared" si="19"/>
        <v>0</v>
      </c>
      <c r="AE238" s="4">
        <f ca="1">(L238-M238)*(Z238+AA238)+($Z$146+$AA$146-$Z$238-$AA$238)*(L238)</f>
        <v>2915.0488871100952</v>
      </c>
      <c r="AF238" s="3" t="s">
        <v>667</v>
      </c>
    </row>
    <row r="239" spans="1:32" ht="11.25" customHeight="1" x14ac:dyDescent="0.25">
      <c r="A239" s="3" t="s">
        <v>27</v>
      </c>
      <c r="B239" s="3" t="s">
        <v>40</v>
      </c>
      <c r="C239" s="3" t="s">
        <v>23</v>
      </c>
      <c r="D239" s="3" t="s">
        <v>41</v>
      </c>
      <c r="E239" s="3" t="s">
        <v>53</v>
      </c>
      <c r="F239" s="3" t="s">
        <v>51</v>
      </c>
      <c r="G239" s="3" t="s">
        <v>25</v>
      </c>
      <c r="H239" s="3" t="s">
        <v>25</v>
      </c>
      <c r="I239" s="6">
        <v>44652</v>
      </c>
      <c r="J239" s="4">
        <v>0</v>
      </c>
      <c r="K239" s="4">
        <v>0</v>
      </c>
      <c r="L239" s="4">
        <v>-1.958</v>
      </c>
      <c r="M239" s="4">
        <v>-1.958</v>
      </c>
      <c r="N239" s="4">
        <v>-1.958</v>
      </c>
      <c r="O239" s="4">
        <v>-1.958</v>
      </c>
      <c r="P239" s="4">
        <v>0</v>
      </c>
      <c r="Q239" s="3" t="s">
        <v>26</v>
      </c>
      <c r="R239" s="3">
        <v>0</v>
      </c>
      <c r="S239" s="3">
        <v>0</v>
      </c>
      <c r="T239" s="3">
        <v>24</v>
      </c>
      <c r="U239" s="3">
        <v>63</v>
      </c>
      <c r="V239" s="4">
        <f>IF(ISERROR(VLOOKUP($S$239,'TAR FIN'!$A$1:$O$91,15,0)),0,VLOOKUP($S$239,'TAR FIN'!$A$1:$O$91,15,0))</f>
        <v>0</v>
      </c>
      <c r="W239" s="4">
        <f>IF(ISERROR(VLOOKUP($T$239,'TAR FIN'!$A$1:$O$91,15,0)),0,VLOOKUP($T$239,'TAR FIN'!$A$1:$O$91,15,0))</f>
        <v>275.13</v>
      </c>
      <c r="X239" s="4">
        <f>IF(ISERROR(VLOOKUP($U$239,'TAR FIN'!$A$1:$O$91,15,0)),0,VLOOKUP($U$239,'TAR FIN'!$A$1:$O$91,15,0))</f>
        <v>219.34</v>
      </c>
      <c r="Y239" s="4"/>
      <c r="Z239" s="4">
        <f ca="1">('TUSD BE'!$AM$36+'TUSD BF'!$AM$36+'TUSD CVA'!$AM$36)*(1-CUSTOS!$M$38)</f>
        <v>364.4729686309102</v>
      </c>
      <c r="AA239" s="4">
        <f>('TE BE'!$AB$26+'TE BF'!$AB$26+'TE CVA'!$AB$26)*(1-CUSTOS!$M$38)</f>
        <v>191.17977782719129</v>
      </c>
      <c r="AB239" s="4">
        <f t="shared" si="18"/>
        <v>0</v>
      </c>
      <c r="AC239" s="4">
        <f>(L239-M239)*(W239+X239)+($W$146+$X$146-$W$239-$X$239)*(L239)</f>
        <v>-132.02793999999994</v>
      </c>
      <c r="AD239" s="4">
        <f t="shared" si="19"/>
        <v>0</v>
      </c>
      <c r="AE239" s="4">
        <f ca="1">(L239-M239)*(Z239+AA239)+($Z$146+$AA$146-$Z$239-$AA$239)*(L239)</f>
        <v>-69.444770908402063</v>
      </c>
      <c r="AF239" s="3" t="s">
        <v>667</v>
      </c>
    </row>
    <row r="240" spans="1:32" ht="11.25" customHeight="1" x14ac:dyDescent="0.25">
      <c r="A240" s="3" t="s">
        <v>28</v>
      </c>
      <c r="B240" s="3" t="s">
        <v>40</v>
      </c>
      <c r="C240" s="3" t="s">
        <v>23</v>
      </c>
      <c r="D240" s="3" t="s">
        <v>41</v>
      </c>
      <c r="E240" s="3" t="s">
        <v>53</v>
      </c>
      <c r="F240" s="3" t="s">
        <v>51</v>
      </c>
      <c r="G240" s="3" t="s">
        <v>25</v>
      </c>
      <c r="H240" s="3" t="s">
        <v>25</v>
      </c>
      <c r="I240" s="6">
        <v>44652</v>
      </c>
      <c r="J240" s="4">
        <v>0</v>
      </c>
      <c r="K240" s="4">
        <v>0</v>
      </c>
      <c r="L240" s="4">
        <v>20.260999999999999</v>
      </c>
      <c r="M240" s="4">
        <v>20.260999999999999</v>
      </c>
      <c r="N240" s="4">
        <v>20.260999999999999</v>
      </c>
      <c r="O240" s="4">
        <v>20.260999999999999</v>
      </c>
      <c r="P240" s="4">
        <v>0</v>
      </c>
      <c r="Q240" s="3" t="s">
        <v>26</v>
      </c>
      <c r="R240" s="3">
        <v>0</v>
      </c>
      <c r="S240" s="3">
        <v>0</v>
      </c>
      <c r="T240" s="3">
        <v>24</v>
      </c>
      <c r="U240" s="3">
        <v>63</v>
      </c>
      <c r="V240" s="4">
        <f>IF(ISERROR(VLOOKUP($S$240,'TAR FIN'!$A$1:$O$91,15,0)),0,VLOOKUP($S$240,'TAR FIN'!$A$1:$O$91,15,0))</f>
        <v>0</v>
      </c>
      <c r="W240" s="4">
        <f>IF(ISERROR(VLOOKUP($T$240,'TAR FIN'!$A$1:$O$91,15,0)),0,VLOOKUP($T$240,'TAR FIN'!$A$1:$O$91,15,0))</f>
        <v>275.13</v>
      </c>
      <c r="X240" s="4">
        <f>IF(ISERROR(VLOOKUP($U$240,'TAR FIN'!$A$1:$O$91,15,0)),0,VLOOKUP($U$240,'TAR FIN'!$A$1:$O$91,15,0))</f>
        <v>219.34</v>
      </c>
      <c r="Y240" s="4"/>
      <c r="Z240" s="4">
        <f ca="1">('TUSD BE'!$AM$36+'TUSD BF'!$AM$36+'TUSD CVA'!$AM$36)*(1-CUSTOS!$M$38)</f>
        <v>364.4729686309102</v>
      </c>
      <c r="AA240" s="4">
        <f>('TE BE'!$AB$26+'TE BF'!$AB$26+'TE CVA'!$AB$26)*(1-CUSTOS!$M$38)</f>
        <v>191.17977782719129</v>
      </c>
      <c r="AB240" s="4">
        <f t="shared" si="18"/>
        <v>0</v>
      </c>
      <c r="AC240" s="4">
        <f>(L240-M240)*(W240+X240)+($W$146+$X$146-$W$240-$X$240)*(L240)</f>
        <v>1366.1992299999995</v>
      </c>
      <c r="AD240" s="4">
        <f t="shared" si="19"/>
        <v>0</v>
      </c>
      <c r="AE240" s="4">
        <f ca="1">(L240-M240)*(Z240+AA240)+($Z$146+$AA$146-$Z$240-$AA$240)*(L240)</f>
        <v>718.60086995665699</v>
      </c>
      <c r="AF240" s="3" t="s">
        <v>667</v>
      </c>
    </row>
    <row r="241" spans="1:32" ht="11.25" customHeight="1" x14ac:dyDescent="0.25">
      <c r="A241" s="3" t="s">
        <v>21</v>
      </c>
      <c r="B241" s="3" t="s">
        <v>40</v>
      </c>
      <c r="C241" s="3" t="s">
        <v>23</v>
      </c>
      <c r="D241" s="3" t="s">
        <v>41</v>
      </c>
      <c r="E241" s="3" t="s">
        <v>53</v>
      </c>
      <c r="F241" s="3" t="s">
        <v>51</v>
      </c>
      <c r="G241" s="3" t="s">
        <v>25</v>
      </c>
      <c r="H241" s="3" t="s">
        <v>25</v>
      </c>
      <c r="I241" s="6">
        <v>44682</v>
      </c>
      <c r="J241" s="4">
        <v>0</v>
      </c>
      <c r="K241" s="4">
        <v>0</v>
      </c>
      <c r="L241" s="4">
        <v>75.430999999999997</v>
      </c>
      <c r="M241" s="4">
        <v>75.430999999999997</v>
      </c>
      <c r="N241" s="4">
        <v>75.430999999999997</v>
      </c>
      <c r="O241" s="4">
        <v>75.430999999999997</v>
      </c>
      <c r="P241" s="4">
        <v>0</v>
      </c>
      <c r="Q241" s="3" t="s">
        <v>26</v>
      </c>
      <c r="R241" s="3">
        <v>0</v>
      </c>
      <c r="S241" s="3">
        <v>0</v>
      </c>
      <c r="T241" s="3">
        <v>24</v>
      </c>
      <c r="U241" s="3">
        <v>63</v>
      </c>
      <c r="V241" s="4">
        <f>IF(ISERROR(VLOOKUP($S$241,'TAR FIN'!$A$1:$O$91,15,0)),0,VLOOKUP($S$241,'TAR FIN'!$A$1:$O$91,15,0))</f>
        <v>0</v>
      </c>
      <c r="W241" s="4">
        <f>IF(ISERROR(VLOOKUP($T$241,'TAR FIN'!$A$1:$O$91,15,0)),0,VLOOKUP($T$241,'TAR FIN'!$A$1:$O$91,15,0))</f>
        <v>275.13</v>
      </c>
      <c r="X241" s="4">
        <f>IF(ISERROR(VLOOKUP($U$241,'TAR FIN'!$A$1:$O$91,15,0)),0,VLOOKUP($U$241,'TAR FIN'!$A$1:$O$91,15,0))</f>
        <v>219.34</v>
      </c>
      <c r="Y241" s="4"/>
      <c r="Z241" s="4">
        <f ca="1">('TUSD BE'!$AM$36+'TUSD BF'!$AM$36+'TUSD CVA'!$AM$36)*(1-CUSTOS!$M$38)</f>
        <v>364.4729686309102</v>
      </c>
      <c r="AA241" s="4">
        <f>('TE BE'!$AB$26+'TE BF'!$AB$26+'TE CVA'!$AB$26)*(1-CUSTOS!$M$38)</f>
        <v>191.17977782719129</v>
      </c>
      <c r="AB241" s="4">
        <f t="shared" si="18"/>
        <v>0</v>
      </c>
      <c r="AC241" s="4">
        <f>(L241-M241)*(W241+X241)+($W$146+$X$146-$W$241-$X$241)*(L241)</f>
        <v>5086.3123299999979</v>
      </c>
      <c r="AD241" s="4">
        <f t="shared" si="19"/>
        <v>0</v>
      </c>
      <c r="AE241" s="4">
        <f ca="1">(L241-M241)*(Z241+AA241)+($Z$146+$AA$146-$Z$241-$AA$241)*(L241)</f>
        <v>2675.3261054094364</v>
      </c>
      <c r="AF241" s="3" t="s">
        <v>667</v>
      </c>
    </row>
    <row r="242" spans="1:32" ht="11.25" customHeight="1" x14ac:dyDescent="0.25">
      <c r="A242" s="3" t="s">
        <v>28</v>
      </c>
      <c r="B242" s="3" t="s">
        <v>40</v>
      </c>
      <c r="C242" s="3" t="s">
        <v>23</v>
      </c>
      <c r="D242" s="3" t="s">
        <v>41</v>
      </c>
      <c r="E242" s="3" t="s">
        <v>53</v>
      </c>
      <c r="F242" s="3" t="s">
        <v>51</v>
      </c>
      <c r="G242" s="3" t="s">
        <v>25</v>
      </c>
      <c r="H242" s="3" t="s">
        <v>25</v>
      </c>
      <c r="I242" s="6">
        <v>44682</v>
      </c>
      <c r="J242" s="4">
        <v>0</v>
      </c>
      <c r="K242" s="4">
        <v>0</v>
      </c>
      <c r="L242" s="4">
        <v>21.283000000000001</v>
      </c>
      <c r="M242" s="4">
        <v>21.283000000000001</v>
      </c>
      <c r="N242" s="4">
        <v>21.283000000000001</v>
      </c>
      <c r="O242" s="4">
        <v>21.283000000000001</v>
      </c>
      <c r="P242" s="4">
        <v>0</v>
      </c>
      <c r="Q242" s="3" t="s">
        <v>26</v>
      </c>
      <c r="R242" s="3">
        <v>0</v>
      </c>
      <c r="S242" s="3">
        <v>0</v>
      </c>
      <c r="T242" s="3">
        <v>24</v>
      </c>
      <c r="U242" s="3">
        <v>63</v>
      </c>
      <c r="V242" s="4">
        <f>IF(ISERROR(VLOOKUP($S$242,'TAR FIN'!$A$1:$O$91,15,0)),0,VLOOKUP($S$242,'TAR FIN'!$A$1:$O$91,15,0))</f>
        <v>0</v>
      </c>
      <c r="W242" s="4">
        <f>IF(ISERROR(VLOOKUP($T$242,'TAR FIN'!$A$1:$O$91,15,0)),0,VLOOKUP($T$242,'TAR FIN'!$A$1:$O$91,15,0))</f>
        <v>275.13</v>
      </c>
      <c r="X242" s="4">
        <f>IF(ISERROR(VLOOKUP($U$242,'TAR FIN'!$A$1:$O$91,15,0)),0,VLOOKUP($U$242,'TAR FIN'!$A$1:$O$91,15,0))</f>
        <v>219.34</v>
      </c>
      <c r="Y242" s="4"/>
      <c r="Z242" s="4">
        <f ca="1">('TUSD BE'!$AM$36+'TUSD BF'!$AM$36+'TUSD CVA'!$AM$36)*(1-CUSTOS!$M$38)</f>
        <v>364.4729686309102</v>
      </c>
      <c r="AA242" s="4">
        <f>('TE BE'!$AB$26+'TE BF'!$AB$26+'TE CVA'!$AB$26)*(1-CUSTOS!$M$38)</f>
        <v>191.17977782719129</v>
      </c>
      <c r="AB242" s="4">
        <f t="shared" si="18"/>
        <v>0</v>
      </c>
      <c r="AC242" s="4">
        <f>(L242-M242)*(W242+X242)+($W$146+$X$146-$W$242-$X$242)*(L242)</f>
        <v>1435.1126899999997</v>
      </c>
      <c r="AD242" s="4">
        <f t="shared" si="19"/>
        <v>0</v>
      </c>
      <c r="AE242" s="4">
        <f ca="1">(L242-M242)*(Z242+AA242)+($Z$146+$AA$146-$Z$242-$AA$242)*(L242)</f>
        <v>754.84834486390264</v>
      </c>
      <c r="AF242" s="3" t="s">
        <v>667</v>
      </c>
    </row>
    <row r="243" spans="1:32" ht="11.25" customHeight="1" x14ac:dyDescent="0.25">
      <c r="A243" s="3" t="s">
        <v>21</v>
      </c>
      <c r="B243" s="3" t="s">
        <v>40</v>
      </c>
      <c r="C243" s="3" t="s">
        <v>23</v>
      </c>
      <c r="D243" s="3" t="s">
        <v>41</v>
      </c>
      <c r="E243" s="3" t="s">
        <v>53</v>
      </c>
      <c r="F243" s="3" t="s">
        <v>51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49.536000000000001</v>
      </c>
      <c r="M243" s="4">
        <v>49.536000000000001</v>
      </c>
      <c r="N243" s="4">
        <v>49.536000000000001</v>
      </c>
      <c r="O243" s="4">
        <v>49.536000000000001</v>
      </c>
      <c r="P243" s="4">
        <v>0</v>
      </c>
      <c r="Q243" s="3" t="s">
        <v>26</v>
      </c>
      <c r="R243" s="3">
        <v>0</v>
      </c>
      <c r="S243" s="3">
        <v>0</v>
      </c>
      <c r="T243" s="3">
        <v>24</v>
      </c>
      <c r="U243" s="3">
        <v>63</v>
      </c>
      <c r="V243" s="4">
        <f>IF(ISERROR(VLOOKUP($S$243,'TAR FIN'!$A$1:$O$91,15,0)),0,VLOOKUP($S$243,'TAR FIN'!$A$1:$O$91,15,0))</f>
        <v>0</v>
      </c>
      <c r="W243" s="4">
        <f>IF(ISERROR(VLOOKUP($T$243,'TAR FIN'!$A$1:$O$91,15,0)),0,VLOOKUP($T$243,'TAR FIN'!$A$1:$O$91,15,0))</f>
        <v>275.13</v>
      </c>
      <c r="X243" s="4">
        <f>IF(ISERROR(VLOOKUP($U$243,'TAR FIN'!$A$1:$O$91,15,0)),0,VLOOKUP($U$243,'TAR FIN'!$A$1:$O$91,15,0))</f>
        <v>219.34</v>
      </c>
      <c r="Y243" s="4"/>
      <c r="Z243" s="4">
        <f ca="1">('TUSD BE'!$AM$36+'TUSD BF'!$AM$36+'TUSD CVA'!$AM$36)*(1-CUSTOS!$M$38)</f>
        <v>364.4729686309102</v>
      </c>
      <c r="AA243" s="4">
        <f>('TE BE'!$AB$26+'TE BF'!$AB$26+'TE CVA'!$AB$26)*(1-CUSTOS!$M$38)</f>
        <v>191.17977782719129</v>
      </c>
      <c r="AB243" s="4">
        <f t="shared" si="18"/>
        <v>0</v>
      </c>
      <c r="AC243" s="4">
        <f>(L243-M243)*(W243+X243)+($W$146+$X$146-$W$243-$X$243)*(L243)</f>
        <v>3340.2124799999992</v>
      </c>
      <c r="AD243" s="4">
        <f t="shared" si="19"/>
        <v>0</v>
      </c>
      <c r="AE243" s="4">
        <f ca="1">(L243-M243)*(Z243+AA243)+($Z$146+$AA$146-$Z$243-$AA$243)*(L243)</f>
        <v>1756.9030499073569</v>
      </c>
      <c r="AF243" s="3" t="s">
        <v>667</v>
      </c>
    </row>
    <row r="244" spans="1:32" ht="11.25" customHeight="1" x14ac:dyDescent="0.25">
      <c r="A244" s="3" t="s">
        <v>28</v>
      </c>
      <c r="B244" s="3" t="s">
        <v>40</v>
      </c>
      <c r="C244" s="3" t="s">
        <v>23</v>
      </c>
      <c r="D244" s="3" t="s">
        <v>41</v>
      </c>
      <c r="E244" s="3" t="s">
        <v>53</v>
      </c>
      <c r="F244" s="3" t="s">
        <v>51</v>
      </c>
      <c r="G244" s="3" t="s">
        <v>25</v>
      </c>
      <c r="H244" s="3" t="s">
        <v>25</v>
      </c>
      <c r="I244" s="6">
        <v>44713</v>
      </c>
      <c r="J244" s="4">
        <v>0</v>
      </c>
      <c r="K244" s="4">
        <v>0</v>
      </c>
      <c r="L244" s="4">
        <v>14.411</v>
      </c>
      <c r="M244" s="4">
        <v>14.411</v>
      </c>
      <c r="N244" s="4">
        <v>14.411</v>
      </c>
      <c r="O244" s="4">
        <v>14.411</v>
      </c>
      <c r="P244" s="4">
        <v>0</v>
      </c>
      <c r="Q244" s="3" t="s">
        <v>26</v>
      </c>
      <c r="R244" s="3">
        <v>0</v>
      </c>
      <c r="S244" s="3">
        <v>0</v>
      </c>
      <c r="T244" s="3">
        <v>24</v>
      </c>
      <c r="U244" s="3">
        <v>63</v>
      </c>
      <c r="V244" s="4">
        <f>IF(ISERROR(VLOOKUP($S$244,'TAR FIN'!$A$1:$O$91,15,0)),0,VLOOKUP($S$244,'TAR FIN'!$A$1:$O$91,15,0))</f>
        <v>0</v>
      </c>
      <c r="W244" s="4">
        <f>IF(ISERROR(VLOOKUP($T$244,'TAR FIN'!$A$1:$O$91,15,0)),0,VLOOKUP($T$244,'TAR FIN'!$A$1:$O$91,15,0))</f>
        <v>275.13</v>
      </c>
      <c r="X244" s="4">
        <f>IF(ISERROR(VLOOKUP($U$244,'TAR FIN'!$A$1:$O$91,15,0)),0,VLOOKUP($U$244,'TAR FIN'!$A$1:$O$91,15,0))</f>
        <v>219.34</v>
      </c>
      <c r="Y244" s="4"/>
      <c r="Z244" s="4">
        <f ca="1">('TUSD BE'!$AM$36+'TUSD BF'!$AM$36+'TUSD CVA'!$AM$36)*(1-CUSTOS!$M$38)</f>
        <v>364.4729686309102</v>
      </c>
      <c r="AA244" s="4">
        <f>('TE BE'!$AB$26+'TE BF'!$AB$26+'TE CVA'!$AB$26)*(1-CUSTOS!$M$38)</f>
        <v>191.17977782719129</v>
      </c>
      <c r="AB244" s="4">
        <f t="shared" si="18"/>
        <v>0</v>
      </c>
      <c r="AC244" s="4">
        <f>(L244-M244)*(W244+X244)+($W$146+$X$146-$W$244-$X$244)*(L244)</f>
        <v>971.7337299999997</v>
      </c>
      <c r="AD244" s="4">
        <f t="shared" si="19"/>
        <v>0</v>
      </c>
      <c r="AE244" s="4">
        <f ca="1">(L244-M244)*(Z244+AA244)+($Z$146+$AA$146-$Z$244-$AA$244)*(L244)</f>
        <v>511.11776994942909</v>
      </c>
      <c r="AF244" s="3" t="s">
        <v>667</v>
      </c>
    </row>
    <row r="245" spans="1:32" ht="11.25" customHeight="1" x14ac:dyDescent="0.25">
      <c r="A245" s="3" t="s">
        <v>21</v>
      </c>
      <c r="B245" s="3" t="s">
        <v>40</v>
      </c>
      <c r="C245" s="3" t="s">
        <v>23</v>
      </c>
      <c r="D245" s="3" t="s">
        <v>41</v>
      </c>
      <c r="E245" s="3" t="s">
        <v>53</v>
      </c>
      <c r="F245" s="3" t="s">
        <v>51</v>
      </c>
      <c r="G245" s="3" t="s">
        <v>25</v>
      </c>
      <c r="H245" s="3" t="s">
        <v>25</v>
      </c>
      <c r="I245" s="6">
        <v>44743</v>
      </c>
      <c r="J245" s="4">
        <v>0</v>
      </c>
      <c r="K245" s="4">
        <v>0</v>
      </c>
      <c r="L245" s="4">
        <v>34.773000000000003</v>
      </c>
      <c r="M245" s="4">
        <v>34.773000000000003</v>
      </c>
      <c r="N245" s="4">
        <v>34.773000000000003</v>
      </c>
      <c r="O245" s="4">
        <v>34.773000000000003</v>
      </c>
      <c r="P245" s="4">
        <v>0</v>
      </c>
      <c r="Q245" s="3" t="s">
        <v>26</v>
      </c>
      <c r="R245" s="3">
        <v>0</v>
      </c>
      <c r="S245" s="3">
        <v>0</v>
      </c>
      <c r="T245" s="3">
        <v>24</v>
      </c>
      <c r="U245" s="3">
        <v>63</v>
      </c>
      <c r="V245" s="4">
        <f>IF(ISERROR(VLOOKUP($S$245,'TAR FIN'!$A$1:$O$91,15,0)),0,VLOOKUP($S$245,'TAR FIN'!$A$1:$O$91,15,0))</f>
        <v>0</v>
      </c>
      <c r="W245" s="4">
        <f>IF(ISERROR(VLOOKUP($T$245,'TAR FIN'!$A$1:$O$91,15,0)),0,VLOOKUP($T$245,'TAR FIN'!$A$1:$O$91,15,0))</f>
        <v>275.13</v>
      </c>
      <c r="X245" s="4">
        <f>IF(ISERROR(VLOOKUP($U$245,'TAR FIN'!$A$1:$O$91,15,0)),0,VLOOKUP($U$245,'TAR FIN'!$A$1:$O$91,15,0))</f>
        <v>219.34</v>
      </c>
      <c r="Y245" s="4"/>
      <c r="Z245" s="4">
        <f ca="1">('TUSD BE'!$AM$36+'TUSD BF'!$AM$36+'TUSD CVA'!$AM$36)*(1-CUSTOS!$M$38)</f>
        <v>364.4729686309102</v>
      </c>
      <c r="AA245" s="4">
        <f>('TE BE'!$AB$26+'TE BF'!$AB$26+'TE CVA'!$AB$26)*(1-CUSTOS!$M$38)</f>
        <v>191.17977782719129</v>
      </c>
      <c r="AB245" s="4">
        <f t="shared" si="18"/>
        <v>0</v>
      </c>
      <c r="AC245" s="4">
        <f>(L245-M245)*(W245+X245)+($W$146+$X$146-$W$245-$X$245)*(L245)</f>
        <v>2344.7433899999996</v>
      </c>
      <c r="AD245" s="4">
        <f t="shared" si="19"/>
        <v>0</v>
      </c>
      <c r="AE245" s="4">
        <f ca="1">(L245-M245)*(Z245+AA245)+($Z$146+$AA$146-$Z$245-$AA$245)*(L245)</f>
        <v>1233.3008267609118</v>
      </c>
      <c r="AF245" s="3" t="s">
        <v>667</v>
      </c>
    </row>
    <row r="246" spans="1:32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53</v>
      </c>
      <c r="F246" s="3" t="s">
        <v>51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33.787999999999997</v>
      </c>
      <c r="M246" s="4">
        <v>33.787999999999997</v>
      </c>
      <c r="N246" s="4">
        <v>33.787999999999997</v>
      </c>
      <c r="O246" s="4">
        <v>33.787999999999997</v>
      </c>
      <c r="P246" s="4">
        <v>0</v>
      </c>
      <c r="Q246" s="3" t="s">
        <v>26</v>
      </c>
      <c r="R246" s="3">
        <v>0</v>
      </c>
      <c r="S246" s="3">
        <v>0</v>
      </c>
      <c r="T246" s="3">
        <v>24</v>
      </c>
      <c r="U246" s="3">
        <v>63</v>
      </c>
      <c r="V246" s="4">
        <f>IF(ISERROR(VLOOKUP($S$246,'TAR FIN'!$A$1:$O$91,15,0)),0,VLOOKUP($S$246,'TAR FIN'!$A$1:$O$91,15,0))</f>
        <v>0</v>
      </c>
      <c r="W246" s="4">
        <f>IF(ISERROR(VLOOKUP($T$246,'TAR FIN'!$A$1:$O$91,15,0)),0,VLOOKUP($T$246,'TAR FIN'!$A$1:$O$91,15,0))</f>
        <v>275.13</v>
      </c>
      <c r="X246" s="4">
        <f>IF(ISERROR(VLOOKUP($U$246,'TAR FIN'!$A$1:$O$91,15,0)),0,VLOOKUP($U$246,'TAR FIN'!$A$1:$O$91,15,0))</f>
        <v>219.34</v>
      </c>
      <c r="Y246" s="4"/>
      <c r="Z246" s="4">
        <f ca="1">('TUSD BE'!$AM$36+'TUSD BF'!$AM$36+'TUSD CVA'!$AM$36)*(1-CUSTOS!$M$38)</f>
        <v>364.4729686309102</v>
      </c>
      <c r="AA246" s="4">
        <f>('TE BE'!$AB$26+'TE BF'!$AB$26+'TE CVA'!$AB$26)*(1-CUSTOS!$M$38)</f>
        <v>191.17977782719129</v>
      </c>
      <c r="AB246" s="4">
        <f t="shared" si="18"/>
        <v>0</v>
      </c>
      <c r="AC246" s="4">
        <f>(L246-M246)*(W246+X246)+($W$146+$X$146-$W$246-$X$246)*(L246)</f>
        <v>2278.3248399999989</v>
      </c>
      <c r="AD246" s="4">
        <f t="shared" si="19"/>
        <v>0</v>
      </c>
      <c r="AE246" s="4">
        <f ca="1">(L246-M246)*(Z246+AA246)+($Z$146+$AA$146-$Z$246-$AA$246)*(L246)</f>
        <v>1198.365638127216</v>
      </c>
      <c r="AF246" s="3" t="s">
        <v>667</v>
      </c>
    </row>
    <row r="247" spans="1:32" ht="11.25" customHeight="1" x14ac:dyDescent="0.25">
      <c r="A247" s="3" t="s">
        <v>28</v>
      </c>
      <c r="B247" s="3" t="s">
        <v>40</v>
      </c>
      <c r="C247" s="3" t="s">
        <v>23</v>
      </c>
      <c r="D247" s="3" t="s">
        <v>41</v>
      </c>
      <c r="E247" s="3" t="s">
        <v>53</v>
      </c>
      <c r="F247" s="3" t="s">
        <v>51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10.808999999999999</v>
      </c>
      <c r="M247" s="4">
        <v>10.808999999999999</v>
      </c>
      <c r="N247" s="4">
        <v>10.808999999999999</v>
      </c>
      <c r="O247" s="4">
        <v>10.808999999999999</v>
      </c>
      <c r="P247" s="4">
        <v>0</v>
      </c>
      <c r="Q247" s="3" t="s">
        <v>26</v>
      </c>
      <c r="R247" s="3">
        <v>0</v>
      </c>
      <c r="S247" s="3">
        <v>0</v>
      </c>
      <c r="T247" s="3">
        <v>24</v>
      </c>
      <c r="U247" s="3">
        <v>63</v>
      </c>
      <c r="V247" s="4">
        <f>IF(ISERROR(VLOOKUP($S$247,'TAR FIN'!$A$1:$O$91,15,0)),0,VLOOKUP($S$247,'TAR FIN'!$A$1:$O$91,15,0))</f>
        <v>0</v>
      </c>
      <c r="W247" s="4">
        <f>IF(ISERROR(VLOOKUP($T$247,'TAR FIN'!$A$1:$O$91,15,0)),0,VLOOKUP($T$247,'TAR FIN'!$A$1:$O$91,15,0))</f>
        <v>275.13</v>
      </c>
      <c r="X247" s="4">
        <f>IF(ISERROR(VLOOKUP($U$247,'TAR FIN'!$A$1:$O$91,15,0)),0,VLOOKUP($U$247,'TAR FIN'!$A$1:$O$91,15,0))</f>
        <v>219.34</v>
      </c>
      <c r="Y247" s="4"/>
      <c r="Z247" s="4">
        <f ca="1">('TUSD BE'!$AM$36+'TUSD BF'!$AM$36+'TUSD CVA'!$AM$36)*(1-CUSTOS!$M$38)</f>
        <v>364.4729686309102</v>
      </c>
      <c r="AA247" s="4">
        <f>('TE BE'!$AB$26+'TE BF'!$AB$26+'TE CVA'!$AB$26)*(1-CUSTOS!$M$38)</f>
        <v>191.17977782719129</v>
      </c>
      <c r="AB247" s="4">
        <f t="shared" si="18"/>
        <v>0</v>
      </c>
      <c r="AC247" s="4">
        <f>(L247-M247)*(W247+X247)+($W$146+$X$146-$W$247-$X$247)*(L247)</f>
        <v>728.85086999999976</v>
      </c>
      <c r="AD247" s="4">
        <f t="shared" si="19"/>
        <v>0</v>
      </c>
      <c r="AE247" s="4">
        <f ca="1">(L247-M247)*(Z247+AA247)+($Z$146+$AA$146-$Z$247-$AA$247)*(L247)</f>
        <v>383.36492785950867</v>
      </c>
      <c r="AF247" s="3" t="s">
        <v>667</v>
      </c>
    </row>
    <row r="248" spans="1:32" ht="11.25" customHeight="1" x14ac:dyDescent="0.25">
      <c r="A248" s="3" t="s">
        <v>21</v>
      </c>
      <c r="B248" s="3" t="s">
        <v>40</v>
      </c>
      <c r="C248" s="3" t="s">
        <v>23</v>
      </c>
      <c r="D248" s="3" t="s">
        <v>41</v>
      </c>
      <c r="E248" s="3" t="s">
        <v>53</v>
      </c>
      <c r="F248" s="3" t="s">
        <v>52</v>
      </c>
      <c r="G248" s="3" t="s">
        <v>25</v>
      </c>
      <c r="H248" s="3" t="s">
        <v>25</v>
      </c>
      <c r="I248" s="6">
        <v>44440</v>
      </c>
      <c r="J248" s="4">
        <v>0</v>
      </c>
      <c r="K248" s="4">
        <v>0</v>
      </c>
      <c r="L248" s="4">
        <v>63.085000000000001</v>
      </c>
      <c r="M248" s="4">
        <v>25.234000000000002</v>
      </c>
      <c r="N248" s="4">
        <v>63.085000000000001</v>
      </c>
      <c r="O248" s="4">
        <v>25.234000000000002</v>
      </c>
      <c r="P248" s="4">
        <v>0</v>
      </c>
      <c r="Q248" s="3" t="s">
        <v>26</v>
      </c>
      <c r="R248" s="3">
        <v>0</v>
      </c>
      <c r="S248" s="3">
        <v>0</v>
      </c>
      <c r="T248" s="3">
        <v>24</v>
      </c>
      <c r="U248" s="3">
        <v>63</v>
      </c>
      <c r="V248" s="4">
        <f>IF(ISERROR(VLOOKUP($S$248,'TAR FIN'!$A$1:$O$91,15,0)),0,VLOOKUP($S$248,'TAR FIN'!$A$1:$O$91,15,0))</f>
        <v>0</v>
      </c>
      <c r="W248" s="4">
        <f>IF(ISERROR(VLOOKUP($T$248,'TAR FIN'!$A$1:$O$91,15,0)),0,VLOOKUP($T$248,'TAR FIN'!$A$1:$O$91,15,0))</f>
        <v>275.13</v>
      </c>
      <c r="X248" s="4">
        <f>IF(ISERROR(VLOOKUP($U$248,'TAR FIN'!$A$1:$O$91,15,0)),0,VLOOKUP($U$248,'TAR FIN'!$A$1:$O$91,15,0))</f>
        <v>219.34</v>
      </c>
      <c r="Y248" s="4"/>
      <c r="Z248" s="4">
        <f ca="1">('TUSD BE'!$AM$36+'TUSD BF'!$AM$36+'TUSD CVA'!$AM$36)*(1-CUSTOS!$M$38)</f>
        <v>364.4729686309102</v>
      </c>
      <c r="AA248" s="4">
        <f>('TE BE'!$AB$26+'TE BF'!$AB$26+'TE CVA'!$AB$26)*(1-CUSTOS!$M$38)</f>
        <v>191.17977782719129</v>
      </c>
      <c r="AB248" s="4">
        <f t="shared" si="18"/>
        <v>0</v>
      </c>
      <c r="AC248" s="4">
        <f>(L248-M248)*(W248+X248)+($W$146+$X$146-$W$248-$X$248)*(L248)</f>
        <v>22970.005519999999</v>
      </c>
      <c r="AD248" s="4">
        <f t="shared" si="19"/>
        <v>0</v>
      </c>
      <c r="AE248" s="4">
        <f ca="1">(L248-M248)*(Z248+AA248)+($Z$146+$AA$146-$Z$248-$AA$248)*(L248)</f>
        <v>23269.460202588329</v>
      </c>
      <c r="AF248" s="3" t="s">
        <v>668</v>
      </c>
    </row>
    <row r="249" spans="1:32" ht="11.25" customHeight="1" x14ac:dyDescent="0.25">
      <c r="A249" s="3" t="s">
        <v>28</v>
      </c>
      <c r="B249" s="3" t="s">
        <v>40</v>
      </c>
      <c r="C249" s="3" t="s">
        <v>23</v>
      </c>
      <c r="D249" s="3" t="s">
        <v>41</v>
      </c>
      <c r="E249" s="3" t="s">
        <v>53</v>
      </c>
      <c r="F249" s="3" t="s">
        <v>52</v>
      </c>
      <c r="G249" s="3" t="s">
        <v>25</v>
      </c>
      <c r="H249" s="3" t="s">
        <v>25</v>
      </c>
      <c r="I249" s="6">
        <v>44440</v>
      </c>
      <c r="J249" s="4">
        <v>0</v>
      </c>
      <c r="K249" s="4">
        <v>0</v>
      </c>
      <c r="L249" s="4">
        <v>10.574</v>
      </c>
      <c r="M249" s="4">
        <v>10.574</v>
      </c>
      <c r="N249" s="4">
        <v>10.574</v>
      </c>
      <c r="O249" s="4">
        <v>10.574</v>
      </c>
      <c r="P249" s="4">
        <v>0</v>
      </c>
      <c r="Q249" s="3" t="s">
        <v>26</v>
      </c>
      <c r="R249" s="3">
        <v>0</v>
      </c>
      <c r="S249" s="3">
        <v>0</v>
      </c>
      <c r="T249" s="3">
        <v>24</v>
      </c>
      <c r="U249" s="3">
        <v>63</v>
      </c>
      <c r="V249" s="4">
        <f>IF(ISERROR(VLOOKUP($S$249,'TAR FIN'!$A$1:$O$91,15,0)),0,VLOOKUP($S$249,'TAR FIN'!$A$1:$O$91,15,0))</f>
        <v>0</v>
      </c>
      <c r="W249" s="4">
        <f>IF(ISERROR(VLOOKUP($T$249,'TAR FIN'!$A$1:$O$91,15,0)),0,VLOOKUP($T$249,'TAR FIN'!$A$1:$O$91,15,0))</f>
        <v>275.13</v>
      </c>
      <c r="X249" s="4">
        <f>IF(ISERROR(VLOOKUP($U$249,'TAR FIN'!$A$1:$O$91,15,0)),0,VLOOKUP($U$249,'TAR FIN'!$A$1:$O$91,15,0))</f>
        <v>219.34</v>
      </c>
      <c r="Y249" s="4"/>
      <c r="Z249" s="4">
        <f ca="1">('TUSD BE'!$AM$36+'TUSD BF'!$AM$36+'TUSD CVA'!$AM$36)*(1-CUSTOS!$M$38)</f>
        <v>364.4729686309102</v>
      </c>
      <c r="AA249" s="4">
        <f>('TE BE'!$AB$26+'TE BF'!$AB$26+'TE CVA'!$AB$26)*(1-CUSTOS!$M$38)</f>
        <v>191.17977782719129</v>
      </c>
      <c r="AB249" s="4">
        <f t="shared" si="18"/>
        <v>0</v>
      </c>
      <c r="AC249" s="4">
        <f>(L249-M249)*(W249+X249)+($W$146+$X$146-$W$249-$X$249)*(L249)</f>
        <v>713.00481999999977</v>
      </c>
      <c r="AD249" s="4">
        <f t="shared" si="19"/>
        <v>0</v>
      </c>
      <c r="AE249" s="4">
        <f ca="1">(L249-M249)*(Z249+AA249)+($Z$146+$AA$146-$Z$249-$AA$249)*(L249)</f>
        <v>375.03013666263712</v>
      </c>
      <c r="AF249" s="3" t="s">
        <v>667</v>
      </c>
    </row>
    <row r="250" spans="1:32" ht="11.25" customHeight="1" x14ac:dyDescent="0.25">
      <c r="A250" s="3" t="s">
        <v>21</v>
      </c>
      <c r="B250" s="3" t="s">
        <v>40</v>
      </c>
      <c r="C250" s="3" t="s">
        <v>23</v>
      </c>
      <c r="D250" s="3" t="s">
        <v>41</v>
      </c>
      <c r="E250" s="3" t="s">
        <v>53</v>
      </c>
      <c r="F250" s="3" t="s">
        <v>52</v>
      </c>
      <c r="G250" s="3" t="s">
        <v>25</v>
      </c>
      <c r="H250" s="3" t="s">
        <v>25</v>
      </c>
      <c r="I250" s="6">
        <v>44470</v>
      </c>
      <c r="J250" s="4">
        <v>0</v>
      </c>
      <c r="K250" s="4">
        <v>0</v>
      </c>
      <c r="L250" s="4">
        <v>71.875</v>
      </c>
      <c r="M250" s="4">
        <v>28.75</v>
      </c>
      <c r="N250" s="4">
        <v>71.875</v>
      </c>
      <c r="O250" s="4">
        <v>28.75</v>
      </c>
      <c r="P250" s="4">
        <v>0</v>
      </c>
      <c r="Q250" s="3" t="s">
        <v>26</v>
      </c>
      <c r="R250" s="3">
        <v>0</v>
      </c>
      <c r="S250" s="3">
        <v>0</v>
      </c>
      <c r="T250" s="3">
        <v>24</v>
      </c>
      <c r="U250" s="3">
        <v>63</v>
      </c>
      <c r="V250" s="4">
        <f>IF(ISERROR(VLOOKUP($S$250,'TAR FIN'!$A$1:$O$91,15,0)),0,VLOOKUP($S$250,'TAR FIN'!$A$1:$O$91,15,0))</f>
        <v>0</v>
      </c>
      <c r="W250" s="4">
        <f>IF(ISERROR(VLOOKUP($T$250,'TAR FIN'!$A$1:$O$91,15,0)),0,VLOOKUP($T$250,'TAR FIN'!$A$1:$O$91,15,0))</f>
        <v>275.13</v>
      </c>
      <c r="X250" s="4">
        <f>IF(ISERROR(VLOOKUP($U$250,'TAR FIN'!$A$1:$O$91,15,0)),0,VLOOKUP($U$250,'TAR FIN'!$A$1:$O$91,15,0))</f>
        <v>219.34</v>
      </c>
      <c r="Y250" s="4"/>
      <c r="Z250" s="4">
        <f ca="1">('TUSD BE'!$AM$36+'TUSD BF'!$AM$36+'TUSD CVA'!$AM$36)*(1-CUSTOS!$M$38)</f>
        <v>364.4729686309102</v>
      </c>
      <c r="AA250" s="4">
        <f>('TE BE'!$AB$26+'TE BF'!$AB$26+'TE CVA'!$AB$26)*(1-CUSTOS!$M$38)</f>
        <v>191.17977782719129</v>
      </c>
      <c r="AB250" s="4">
        <f t="shared" si="18"/>
        <v>0</v>
      </c>
      <c r="AC250" s="4">
        <f>(L250-M250)*(W250+X250)+($W$146+$X$146-$W$250-$X$250)*(L250)</f>
        <v>26170.550000000003</v>
      </c>
      <c r="AD250" s="4">
        <f t="shared" si="19"/>
        <v>0</v>
      </c>
      <c r="AE250" s="4">
        <f ca="1">(L250-M250)*(Z250+AA250)+($Z$146+$AA$146-$Z$250-$AA$250)*(L250)</f>
        <v>26511.729445367939</v>
      </c>
      <c r="AF250" s="3" t="s">
        <v>668</v>
      </c>
    </row>
    <row r="251" spans="1:32" ht="11.25" customHeight="1" x14ac:dyDescent="0.25">
      <c r="A251" s="3" t="s">
        <v>28</v>
      </c>
      <c r="B251" s="3" t="s">
        <v>40</v>
      </c>
      <c r="C251" s="3" t="s">
        <v>23</v>
      </c>
      <c r="D251" s="3" t="s">
        <v>41</v>
      </c>
      <c r="E251" s="3" t="s">
        <v>53</v>
      </c>
      <c r="F251" s="3" t="s">
        <v>52</v>
      </c>
      <c r="G251" s="3" t="s">
        <v>25</v>
      </c>
      <c r="H251" s="3" t="s">
        <v>25</v>
      </c>
      <c r="I251" s="6">
        <v>44470</v>
      </c>
      <c r="J251" s="4">
        <v>0</v>
      </c>
      <c r="K251" s="4">
        <v>0</v>
      </c>
      <c r="L251" s="4">
        <v>16.195</v>
      </c>
      <c r="M251" s="4">
        <v>16.195</v>
      </c>
      <c r="N251" s="4">
        <v>16.195</v>
      </c>
      <c r="O251" s="4">
        <v>16.195</v>
      </c>
      <c r="P251" s="4">
        <v>0</v>
      </c>
      <c r="Q251" s="3" t="s">
        <v>26</v>
      </c>
      <c r="R251" s="3">
        <v>0</v>
      </c>
      <c r="S251" s="3">
        <v>0</v>
      </c>
      <c r="T251" s="3">
        <v>24</v>
      </c>
      <c r="U251" s="3">
        <v>63</v>
      </c>
      <c r="V251" s="4">
        <f>IF(ISERROR(VLOOKUP($S$251,'TAR FIN'!$A$1:$O$91,15,0)),0,VLOOKUP($S$251,'TAR FIN'!$A$1:$O$91,15,0))</f>
        <v>0</v>
      </c>
      <c r="W251" s="4">
        <f>IF(ISERROR(VLOOKUP($T$251,'TAR FIN'!$A$1:$O$91,15,0)),0,VLOOKUP($T$251,'TAR FIN'!$A$1:$O$91,15,0))</f>
        <v>275.13</v>
      </c>
      <c r="X251" s="4">
        <f>IF(ISERROR(VLOOKUP($U$251,'TAR FIN'!$A$1:$O$91,15,0)),0,VLOOKUP($U$251,'TAR FIN'!$A$1:$O$91,15,0))</f>
        <v>219.34</v>
      </c>
      <c r="Y251" s="4"/>
      <c r="Z251" s="4">
        <f ca="1">('TUSD BE'!$AM$36+'TUSD BF'!$AM$36+'TUSD CVA'!$AM$36)*(1-CUSTOS!$M$38)</f>
        <v>364.4729686309102</v>
      </c>
      <c r="AA251" s="4">
        <f>('TE BE'!$AB$26+'TE BF'!$AB$26+'TE CVA'!$AB$26)*(1-CUSTOS!$M$38)</f>
        <v>191.17977782719129</v>
      </c>
      <c r="AB251" s="4">
        <f t="shared" si="18"/>
        <v>0</v>
      </c>
      <c r="AC251" s="4">
        <f>(L251-M251)*(W251+X251)+($W$146+$X$146-$W$251-$X$251)*(L251)</f>
        <v>1092.0288499999997</v>
      </c>
      <c r="AD251" s="4">
        <f t="shared" si="19"/>
        <v>0</v>
      </c>
      <c r="AE251" s="4">
        <f ca="1">(L251-M251)*(Z251+AA251)+($Z$146+$AA$146-$Z$251-$AA$251)*(L251)</f>
        <v>574.391248652488</v>
      </c>
      <c r="AF251" s="3" t="s">
        <v>667</v>
      </c>
    </row>
    <row r="252" spans="1:32" ht="11.25" customHeight="1" x14ac:dyDescent="0.25">
      <c r="A252" s="3" t="s">
        <v>21</v>
      </c>
      <c r="B252" s="3" t="s">
        <v>40</v>
      </c>
      <c r="C252" s="3" t="s">
        <v>23</v>
      </c>
      <c r="D252" s="3" t="s">
        <v>41</v>
      </c>
      <c r="E252" s="3" t="s">
        <v>53</v>
      </c>
      <c r="F252" s="3" t="s">
        <v>52</v>
      </c>
      <c r="G252" s="3" t="s">
        <v>25</v>
      </c>
      <c r="H252" s="3" t="s">
        <v>25</v>
      </c>
      <c r="I252" s="6">
        <v>44501</v>
      </c>
      <c r="J252" s="4">
        <v>0</v>
      </c>
      <c r="K252" s="4">
        <v>0</v>
      </c>
      <c r="L252" s="4">
        <v>79.635000000000005</v>
      </c>
      <c r="M252" s="4">
        <v>31.853999999999999</v>
      </c>
      <c r="N252" s="4">
        <v>79.635000000000005</v>
      </c>
      <c r="O252" s="4">
        <v>31.853999999999999</v>
      </c>
      <c r="P252" s="4">
        <v>0</v>
      </c>
      <c r="Q252" s="3" t="s">
        <v>26</v>
      </c>
      <c r="R252" s="3">
        <v>0</v>
      </c>
      <c r="S252" s="3">
        <v>0</v>
      </c>
      <c r="T252" s="3">
        <v>24</v>
      </c>
      <c r="U252" s="3">
        <v>63</v>
      </c>
      <c r="V252" s="4">
        <f>IF(ISERROR(VLOOKUP($S$252,'TAR FIN'!$A$1:$O$91,15,0)),0,VLOOKUP($S$252,'TAR FIN'!$A$1:$O$91,15,0))</f>
        <v>0</v>
      </c>
      <c r="W252" s="4">
        <f>IF(ISERROR(VLOOKUP($T$252,'TAR FIN'!$A$1:$O$91,15,0)),0,VLOOKUP($T$252,'TAR FIN'!$A$1:$O$91,15,0))</f>
        <v>275.13</v>
      </c>
      <c r="X252" s="4">
        <f>IF(ISERROR(VLOOKUP($U$252,'TAR FIN'!$A$1:$O$91,15,0)),0,VLOOKUP($U$252,'TAR FIN'!$A$1:$O$91,15,0))</f>
        <v>219.34</v>
      </c>
      <c r="Y252" s="4"/>
      <c r="Z252" s="4">
        <f ca="1">('TUSD BE'!$AM$36+'TUSD BF'!$AM$36+'TUSD CVA'!$AM$36)*(1-CUSTOS!$M$38)</f>
        <v>364.4729686309102</v>
      </c>
      <c r="AA252" s="4">
        <f>('TE BE'!$AB$26+'TE BF'!$AB$26+'TE CVA'!$AB$26)*(1-CUSTOS!$M$38)</f>
        <v>191.17977782719129</v>
      </c>
      <c r="AB252" s="4">
        <f t="shared" si="18"/>
        <v>0</v>
      </c>
      <c r="AC252" s="4">
        <f>(L252-M252)*(W252+X252)+($W$146+$X$146-$W$252-$X$252)*(L252)</f>
        <v>28996.059120000002</v>
      </c>
      <c r="AD252" s="4">
        <f t="shared" si="19"/>
        <v>0</v>
      </c>
      <c r="AE252" s="4">
        <f ca="1">(L252-M252)*(Z252+AA252)+($Z$146+$AA$146-$Z$252-$AA$252)*(L252)</f>
        <v>29374.074078356534</v>
      </c>
      <c r="AF252" s="3" t="s">
        <v>668</v>
      </c>
    </row>
    <row r="253" spans="1:32" ht="11.25" customHeight="1" x14ac:dyDescent="0.25">
      <c r="A253" s="3" t="s">
        <v>28</v>
      </c>
      <c r="B253" s="3" t="s">
        <v>40</v>
      </c>
      <c r="C253" s="3" t="s">
        <v>23</v>
      </c>
      <c r="D253" s="3" t="s">
        <v>41</v>
      </c>
      <c r="E253" s="3" t="s">
        <v>53</v>
      </c>
      <c r="F253" s="3" t="s">
        <v>52</v>
      </c>
      <c r="G253" s="3" t="s">
        <v>25</v>
      </c>
      <c r="H253" s="3" t="s">
        <v>25</v>
      </c>
      <c r="I253" s="6">
        <v>44501</v>
      </c>
      <c r="J253" s="4">
        <v>0</v>
      </c>
      <c r="K253" s="4">
        <v>0</v>
      </c>
      <c r="L253" s="4">
        <v>14.728</v>
      </c>
      <c r="M253" s="4">
        <v>14.728</v>
      </c>
      <c r="N253" s="4">
        <v>14.728</v>
      </c>
      <c r="O253" s="4">
        <v>14.728</v>
      </c>
      <c r="P253" s="4">
        <v>0</v>
      </c>
      <c r="Q253" s="3" t="s">
        <v>26</v>
      </c>
      <c r="R253" s="3">
        <v>0</v>
      </c>
      <c r="S253" s="3">
        <v>0</v>
      </c>
      <c r="T253" s="3">
        <v>24</v>
      </c>
      <c r="U253" s="3">
        <v>63</v>
      </c>
      <c r="V253" s="4">
        <f>IF(ISERROR(VLOOKUP($S$253,'TAR FIN'!$A$1:$O$91,15,0)),0,VLOOKUP($S$253,'TAR FIN'!$A$1:$O$91,15,0))</f>
        <v>0</v>
      </c>
      <c r="W253" s="4">
        <f>IF(ISERROR(VLOOKUP($T$253,'TAR FIN'!$A$1:$O$91,15,0)),0,VLOOKUP($T$253,'TAR FIN'!$A$1:$O$91,15,0))</f>
        <v>275.13</v>
      </c>
      <c r="X253" s="4">
        <f>IF(ISERROR(VLOOKUP($U$253,'TAR FIN'!$A$1:$O$91,15,0)),0,VLOOKUP($U$253,'TAR FIN'!$A$1:$O$91,15,0))</f>
        <v>219.34</v>
      </c>
      <c r="Y253" s="4"/>
      <c r="Z253" s="4">
        <f ca="1">('TUSD BE'!$AM$36+'TUSD BF'!$AM$36+'TUSD CVA'!$AM$36)*(1-CUSTOS!$M$38)</f>
        <v>364.4729686309102</v>
      </c>
      <c r="AA253" s="4">
        <f>('TE BE'!$AB$26+'TE BF'!$AB$26+'TE CVA'!$AB$26)*(1-CUSTOS!$M$38)</f>
        <v>191.17977782719129</v>
      </c>
      <c r="AB253" s="4">
        <f t="shared" si="18"/>
        <v>0</v>
      </c>
      <c r="AC253" s="4">
        <f>(L253-M253)*(W253+X253)+($W$146+$X$146-$W$253-$X$253)*(L253)</f>
        <v>993.10903999999971</v>
      </c>
      <c r="AD253" s="4">
        <f t="shared" si="19"/>
        <v>0</v>
      </c>
      <c r="AE253" s="4">
        <f ca="1">(L253-M253)*(Z253+AA253)+($Z$146+$AA$146-$Z$253-$AA$253)*(L253)</f>
        <v>522.36087126606014</v>
      </c>
      <c r="AF253" s="3" t="s">
        <v>667</v>
      </c>
    </row>
    <row r="254" spans="1:32" ht="11.25" customHeight="1" x14ac:dyDescent="0.25">
      <c r="A254" s="3" t="s">
        <v>21</v>
      </c>
      <c r="B254" s="3" t="s">
        <v>40</v>
      </c>
      <c r="C254" s="3" t="s">
        <v>23</v>
      </c>
      <c r="D254" s="3" t="s">
        <v>41</v>
      </c>
      <c r="E254" s="3" t="s">
        <v>53</v>
      </c>
      <c r="F254" s="3" t="s">
        <v>52</v>
      </c>
      <c r="G254" s="3" t="s">
        <v>25</v>
      </c>
      <c r="H254" s="3" t="s">
        <v>25</v>
      </c>
      <c r="I254" s="6">
        <v>44531</v>
      </c>
      <c r="J254" s="4">
        <v>0</v>
      </c>
      <c r="K254" s="4">
        <v>0</v>
      </c>
      <c r="L254" s="4">
        <v>92.965999999999994</v>
      </c>
      <c r="M254" s="4">
        <v>37.186399999999999</v>
      </c>
      <c r="N254" s="4">
        <v>92.965999999999994</v>
      </c>
      <c r="O254" s="4">
        <v>37.186399999999999</v>
      </c>
      <c r="P254" s="4">
        <v>0</v>
      </c>
      <c r="Q254" s="3" t="s">
        <v>26</v>
      </c>
      <c r="R254" s="3">
        <v>0</v>
      </c>
      <c r="S254" s="3">
        <v>0</v>
      </c>
      <c r="T254" s="3">
        <v>24</v>
      </c>
      <c r="U254" s="3">
        <v>63</v>
      </c>
      <c r="V254" s="4">
        <f>IF(ISERROR(VLOOKUP($S$254,'TAR FIN'!$A$1:$O$91,15,0)),0,VLOOKUP($S$254,'TAR FIN'!$A$1:$O$91,15,0))</f>
        <v>0</v>
      </c>
      <c r="W254" s="4">
        <f>IF(ISERROR(VLOOKUP($T$254,'TAR FIN'!$A$1:$O$91,15,0)),0,VLOOKUP($T$254,'TAR FIN'!$A$1:$O$91,15,0))</f>
        <v>275.13</v>
      </c>
      <c r="X254" s="4">
        <f>IF(ISERROR(VLOOKUP($U$254,'TAR FIN'!$A$1:$O$91,15,0)),0,VLOOKUP($U$254,'TAR FIN'!$A$1:$O$91,15,0))</f>
        <v>219.34</v>
      </c>
      <c r="Y254" s="4"/>
      <c r="Z254" s="4">
        <f ca="1">('TUSD BE'!$AM$36+'TUSD BF'!$AM$36+'TUSD CVA'!$AM$36)*(1-CUSTOS!$M$38)</f>
        <v>364.4729686309102</v>
      </c>
      <c r="AA254" s="4">
        <f>('TE BE'!$AB$26+'TE BF'!$AB$26+'TE CVA'!$AB$26)*(1-CUSTOS!$M$38)</f>
        <v>191.17977782719129</v>
      </c>
      <c r="AB254" s="4">
        <f t="shared" si="18"/>
        <v>0</v>
      </c>
      <c r="AC254" s="4">
        <f>(L254-M254)*(W254+X254)+($W$146+$X$146-$W$254-$X$254)*(L254)</f>
        <v>33850.036192</v>
      </c>
      <c r="AD254" s="4">
        <f t="shared" si="19"/>
        <v>0</v>
      </c>
      <c r="AE254" s="4">
        <f ca="1">(L254-M254)*(Z254+AA254)+($Z$146+$AA$146-$Z$254-$AA$254)*(L254)</f>
        <v>34291.331333816706</v>
      </c>
      <c r="AF254" s="3" t="s">
        <v>668</v>
      </c>
    </row>
    <row r="255" spans="1:32" ht="11.25" customHeight="1" x14ac:dyDescent="0.25">
      <c r="A255" s="3" t="s">
        <v>28</v>
      </c>
      <c r="B255" s="3" t="s">
        <v>40</v>
      </c>
      <c r="C255" s="3" t="s">
        <v>23</v>
      </c>
      <c r="D255" s="3" t="s">
        <v>41</v>
      </c>
      <c r="E255" s="3" t="s">
        <v>53</v>
      </c>
      <c r="F255" s="3" t="s">
        <v>52</v>
      </c>
      <c r="G255" s="3" t="s">
        <v>25</v>
      </c>
      <c r="H255" s="3" t="s">
        <v>25</v>
      </c>
      <c r="I255" s="6">
        <v>44531</v>
      </c>
      <c r="J255" s="4">
        <v>0</v>
      </c>
      <c r="K255" s="4">
        <v>0</v>
      </c>
      <c r="L255" s="4">
        <v>15.16</v>
      </c>
      <c r="M255" s="4">
        <v>15.16</v>
      </c>
      <c r="N255" s="4">
        <v>15.16</v>
      </c>
      <c r="O255" s="4">
        <v>15.16</v>
      </c>
      <c r="P255" s="4">
        <v>0</v>
      </c>
      <c r="Q255" s="3" t="s">
        <v>26</v>
      </c>
      <c r="R255" s="3">
        <v>0</v>
      </c>
      <c r="S255" s="3">
        <v>0</v>
      </c>
      <c r="T255" s="3">
        <v>24</v>
      </c>
      <c r="U255" s="3">
        <v>63</v>
      </c>
      <c r="V255" s="4">
        <f>IF(ISERROR(VLOOKUP($S$255,'TAR FIN'!$A$1:$O$91,15,0)),0,VLOOKUP($S$255,'TAR FIN'!$A$1:$O$91,15,0))</f>
        <v>0</v>
      </c>
      <c r="W255" s="4">
        <f>IF(ISERROR(VLOOKUP($T$255,'TAR FIN'!$A$1:$O$91,15,0)),0,VLOOKUP($T$255,'TAR FIN'!$A$1:$O$91,15,0))</f>
        <v>275.13</v>
      </c>
      <c r="X255" s="4">
        <f>IF(ISERROR(VLOOKUP($U$255,'TAR FIN'!$A$1:$O$91,15,0)),0,VLOOKUP($U$255,'TAR FIN'!$A$1:$O$91,15,0))</f>
        <v>219.34</v>
      </c>
      <c r="Y255" s="4"/>
      <c r="Z255" s="4">
        <f ca="1">('TUSD BE'!$AM$36+'TUSD BF'!$AM$36+'TUSD CVA'!$AM$36)*(1-CUSTOS!$M$38)</f>
        <v>364.4729686309102</v>
      </c>
      <c r="AA255" s="4">
        <f>('TE BE'!$AB$26+'TE BF'!$AB$26+'TE CVA'!$AB$26)*(1-CUSTOS!$M$38)</f>
        <v>191.17977782719129</v>
      </c>
      <c r="AB255" s="4">
        <f t="shared" si="18"/>
        <v>0</v>
      </c>
      <c r="AC255" s="4">
        <f>(L255-M255)*(W255+X255)+($W$146+$X$146-$W$255-$X$255)*(L255)</f>
        <v>1022.2387999999996</v>
      </c>
      <c r="AD255" s="4">
        <f t="shared" si="19"/>
        <v>0</v>
      </c>
      <c r="AE255" s="4">
        <f ca="1">(L255-M255)*(Z255+AA255)+($Z$146+$AA$146-$Z$255-$AA$255)*(L255)</f>
        <v>537.68270018967075</v>
      </c>
      <c r="AF255" s="3" t="s">
        <v>667</v>
      </c>
    </row>
    <row r="256" spans="1:32" ht="11.25" customHeight="1" x14ac:dyDescent="0.25">
      <c r="A256" s="3" t="s">
        <v>21</v>
      </c>
      <c r="B256" s="3" t="s">
        <v>40</v>
      </c>
      <c r="C256" s="3" t="s">
        <v>23</v>
      </c>
      <c r="D256" s="3" t="s">
        <v>41</v>
      </c>
      <c r="E256" s="3" t="s">
        <v>53</v>
      </c>
      <c r="F256" s="3" t="s">
        <v>52</v>
      </c>
      <c r="G256" s="3" t="s">
        <v>25</v>
      </c>
      <c r="H256" s="3" t="s">
        <v>25</v>
      </c>
      <c r="I256" s="6">
        <v>44562</v>
      </c>
      <c r="J256" s="4">
        <v>0</v>
      </c>
      <c r="K256" s="4">
        <v>0</v>
      </c>
      <c r="L256" s="4">
        <v>93.600999999999999</v>
      </c>
      <c r="M256" s="4">
        <v>37.440399999999997</v>
      </c>
      <c r="N256" s="4">
        <v>93.600999999999999</v>
      </c>
      <c r="O256" s="4">
        <v>37.440399999999997</v>
      </c>
      <c r="P256" s="4">
        <v>0</v>
      </c>
      <c r="Q256" s="3" t="s">
        <v>26</v>
      </c>
      <c r="R256" s="3">
        <v>0</v>
      </c>
      <c r="S256" s="3">
        <v>0</v>
      </c>
      <c r="T256" s="3">
        <v>24</v>
      </c>
      <c r="U256" s="3">
        <v>63</v>
      </c>
      <c r="V256" s="4">
        <f>IF(ISERROR(VLOOKUP($S$256,'TAR FIN'!$A$1:$O$91,15,0)),0,VLOOKUP($S$256,'TAR FIN'!$A$1:$O$91,15,0))</f>
        <v>0</v>
      </c>
      <c r="W256" s="4">
        <f>IF(ISERROR(VLOOKUP($T$256,'TAR FIN'!$A$1:$O$91,15,0)),0,VLOOKUP($T$256,'TAR FIN'!$A$1:$O$91,15,0))</f>
        <v>275.13</v>
      </c>
      <c r="X256" s="4">
        <f>IF(ISERROR(VLOOKUP($U$256,'TAR FIN'!$A$1:$O$91,15,0)),0,VLOOKUP($U$256,'TAR FIN'!$A$1:$O$91,15,0))</f>
        <v>219.34</v>
      </c>
      <c r="Y256" s="4"/>
      <c r="Z256" s="4">
        <f ca="1">('TUSD BE'!$AM$36+'TUSD BF'!$AM$36+'TUSD CVA'!$AM$36)*(1-CUSTOS!$M$38)</f>
        <v>364.4729686309102</v>
      </c>
      <c r="AA256" s="4">
        <f>('TE BE'!$AB$26+'TE BF'!$AB$26+'TE CVA'!$AB$26)*(1-CUSTOS!$M$38)</f>
        <v>191.17977782719129</v>
      </c>
      <c r="AB256" s="4">
        <f t="shared" si="18"/>
        <v>0</v>
      </c>
      <c r="AC256" s="4">
        <f>(L256-M256)*(W256+X256)+($W$146+$X$146-$W$256-$X$256)*(L256)</f>
        <v>34081.247312</v>
      </c>
      <c r="AD256" s="4">
        <f t="shared" si="19"/>
        <v>0</v>
      </c>
      <c r="AE256" s="4">
        <f ca="1">(L256-M256)*(Z256+AA256)+($Z$146+$AA$146-$Z$256-$AA$256)*(L256)</f>
        <v>34525.556700047084</v>
      </c>
      <c r="AF256" s="3" t="s">
        <v>668</v>
      </c>
    </row>
    <row r="257" spans="1:32" ht="11.25" customHeight="1" x14ac:dyDescent="0.25">
      <c r="A257" s="3" t="s">
        <v>28</v>
      </c>
      <c r="B257" s="3" t="s">
        <v>40</v>
      </c>
      <c r="C257" s="3" t="s">
        <v>23</v>
      </c>
      <c r="D257" s="3" t="s">
        <v>41</v>
      </c>
      <c r="E257" s="3" t="s">
        <v>53</v>
      </c>
      <c r="F257" s="3" t="s">
        <v>52</v>
      </c>
      <c r="G257" s="3" t="s">
        <v>25</v>
      </c>
      <c r="H257" s="3" t="s">
        <v>25</v>
      </c>
      <c r="I257" s="6">
        <v>44562</v>
      </c>
      <c r="J257" s="4">
        <v>0</v>
      </c>
      <c r="K257" s="4">
        <v>0</v>
      </c>
      <c r="L257" s="4">
        <v>22.015000000000001</v>
      </c>
      <c r="M257" s="4">
        <v>22.015000000000001</v>
      </c>
      <c r="N257" s="4">
        <v>22.015000000000001</v>
      </c>
      <c r="O257" s="4">
        <v>22.015000000000001</v>
      </c>
      <c r="P257" s="4">
        <v>0</v>
      </c>
      <c r="Q257" s="3" t="s">
        <v>26</v>
      </c>
      <c r="R257" s="3">
        <v>0</v>
      </c>
      <c r="S257" s="3">
        <v>0</v>
      </c>
      <c r="T257" s="3">
        <v>24</v>
      </c>
      <c r="U257" s="3">
        <v>63</v>
      </c>
      <c r="V257" s="4">
        <f>IF(ISERROR(VLOOKUP($S$257,'TAR FIN'!$A$1:$O$91,15,0)),0,VLOOKUP($S$257,'TAR FIN'!$A$1:$O$91,15,0))</f>
        <v>0</v>
      </c>
      <c r="W257" s="4">
        <f>IF(ISERROR(VLOOKUP($T$257,'TAR FIN'!$A$1:$O$91,15,0)),0,VLOOKUP($T$257,'TAR FIN'!$A$1:$O$91,15,0))</f>
        <v>275.13</v>
      </c>
      <c r="X257" s="4">
        <f>IF(ISERROR(VLOOKUP($U$257,'TAR FIN'!$A$1:$O$91,15,0)),0,VLOOKUP($U$257,'TAR FIN'!$A$1:$O$91,15,0))</f>
        <v>219.34</v>
      </c>
      <c r="Y257" s="4"/>
      <c r="Z257" s="4">
        <f ca="1">('TUSD BE'!$AM$36+'TUSD BF'!$AM$36+'TUSD CVA'!$AM$36)*(1-CUSTOS!$M$38)</f>
        <v>364.4729686309102</v>
      </c>
      <c r="AA257" s="4">
        <f>('TE BE'!$AB$26+'TE BF'!$AB$26+'TE CVA'!$AB$26)*(1-CUSTOS!$M$38)</f>
        <v>191.17977782719129</v>
      </c>
      <c r="AB257" s="4">
        <f t="shared" si="18"/>
        <v>0</v>
      </c>
      <c r="AC257" s="4">
        <f>(L257-M257)*(W257+X257)+($W$146+$X$146-$W$257-$X$257)*(L257)</f>
        <v>1484.4714499999995</v>
      </c>
      <c r="AD257" s="4">
        <f t="shared" si="19"/>
        <v>0</v>
      </c>
      <c r="AE257" s="4">
        <f ca="1">(L257-M257)*(Z257+AA257)+($Z$146+$AA$146-$Z$257-$AA$257)*(L257)</f>
        <v>780.81033276224287</v>
      </c>
      <c r="AF257" s="3" t="s">
        <v>667</v>
      </c>
    </row>
    <row r="258" spans="1:32" ht="11.25" customHeight="1" x14ac:dyDescent="0.25">
      <c r="A258" s="3" t="s">
        <v>21</v>
      </c>
      <c r="B258" s="3" t="s">
        <v>40</v>
      </c>
      <c r="C258" s="3" t="s">
        <v>23</v>
      </c>
      <c r="D258" s="3" t="s">
        <v>41</v>
      </c>
      <c r="E258" s="3" t="s">
        <v>53</v>
      </c>
      <c r="F258" s="3" t="s">
        <v>52</v>
      </c>
      <c r="G258" s="3" t="s">
        <v>25</v>
      </c>
      <c r="H258" s="3" t="s">
        <v>25</v>
      </c>
      <c r="I258" s="6">
        <v>44593</v>
      </c>
      <c r="J258" s="4">
        <v>0</v>
      </c>
      <c r="K258" s="4">
        <v>0</v>
      </c>
      <c r="L258" s="4">
        <v>99.396000000000001</v>
      </c>
      <c r="M258" s="4">
        <v>39.758400000000002</v>
      </c>
      <c r="N258" s="4">
        <v>99.396000000000001</v>
      </c>
      <c r="O258" s="4">
        <v>39.758400000000002</v>
      </c>
      <c r="P258" s="4">
        <v>0</v>
      </c>
      <c r="Q258" s="3" t="s">
        <v>26</v>
      </c>
      <c r="R258" s="3">
        <v>0</v>
      </c>
      <c r="S258" s="3">
        <v>0</v>
      </c>
      <c r="T258" s="3">
        <v>24</v>
      </c>
      <c r="U258" s="3">
        <v>63</v>
      </c>
      <c r="V258" s="4">
        <f>IF(ISERROR(VLOOKUP($S$258,'TAR FIN'!$A$1:$O$91,15,0)),0,VLOOKUP($S$258,'TAR FIN'!$A$1:$O$91,15,0))</f>
        <v>0</v>
      </c>
      <c r="W258" s="4">
        <f>IF(ISERROR(VLOOKUP($T$258,'TAR FIN'!$A$1:$O$91,15,0)),0,VLOOKUP($T$258,'TAR FIN'!$A$1:$O$91,15,0))</f>
        <v>275.13</v>
      </c>
      <c r="X258" s="4">
        <f>IF(ISERROR(VLOOKUP($U$258,'TAR FIN'!$A$1:$O$91,15,0)),0,VLOOKUP($U$258,'TAR FIN'!$A$1:$O$91,15,0))</f>
        <v>219.34</v>
      </c>
      <c r="Y258" s="4"/>
      <c r="Z258" s="4">
        <f ca="1">('TUSD BE'!$AM$36+'TUSD BF'!$AM$36+'TUSD CVA'!$AM$36)*(1-CUSTOS!$M$38)</f>
        <v>364.4729686309102</v>
      </c>
      <c r="AA258" s="4">
        <f>('TE BE'!$AB$26+'TE BF'!$AB$26+'TE CVA'!$AB$26)*(1-CUSTOS!$M$38)</f>
        <v>191.17977782719129</v>
      </c>
      <c r="AB258" s="4">
        <f t="shared" ref="AB258:AB300" si="20">(J258-K258)*V258</f>
        <v>0</v>
      </c>
      <c r="AC258" s="4">
        <f>(L258-M258)*(W258+X258)+($W$146+$X$146-$W$258-$X$258)*(L258)</f>
        <v>36191.276352000001</v>
      </c>
      <c r="AD258" s="4">
        <f t="shared" ref="AD258:AD300" si="21">(J258-K258)*Y258</f>
        <v>0</v>
      </c>
      <c r="AE258" s="4">
        <f ca="1">(L258-M258)*(Z258+AA258)+($Z$146+$AA$146-$Z$258-$AA$258)*(L258)</f>
        <v>36663.093703677099</v>
      </c>
      <c r="AF258" s="3" t="s">
        <v>668</v>
      </c>
    </row>
    <row r="259" spans="1:32" ht="11.25" customHeight="1" x14ac:dyDescent="0.25">
      <c r="A259" s="3" t="s">
        <v>28</v>
      </c>
      <c r="B259" s="3" t="s">
        <v>40</v>
      </c>
      <c r="C259" s="3" t="s">
        <v>23</v>
      </c>
      <c r="D259" s="3" t="s">
        <v>41</v>
      </c>
      <c r="E259" s="3" t="s">
        <v>53</v>
      </c>
      <c r="F259" s="3" t="s">
        <v>52</v>
      </c>
      <c r="G259" s="3" t="s">
        <v>25</v>
      </c>
      <c r="H259" s="3" t="s">
        <v>25</v>
      </c>
      <c r="I259" s="6">
        <v>44593</v>
      </c>
      <c r="J259" s="4">
        <v>0</v>
      </c>
      <c r="K259" s="4">
        <v>0</v>
      </c>
      <c r="L259" s="4">
        <v>19.765999999999998</v>
      </c>
      <c r="M259" s="4">
        <v>19.765999999999998</v>
      </c>
      <c r="N259" s="4">
        <v>19.765999999999998</v>
      </c>
      <c r="O259" s="4">
        <v>19.765999999999998</v>
      </c>
      <c r="P259" s="4">
        <v>0</v>
      </c>
      <c r="Q259" s="3" t="s">
        <v>26</v>
      </c>
      <c r="R259" s="3">
        <v>0</v>
      </c>
      <c r="S259" s="3">
        <v>0</v>
      </c>
      <c r="T259" s="3">
        <v>24</v>
      </c>
      <c r="U259" s="3">
        <v>63</v>
      </c>
      <c r="V259" s="4">
        <f>IF(ISERROR(VLOOKUP($S$259,'TAR FIN'!$A$1:$O$91,15,0)),0,VLOOKUP($S$259,'TAR FIN'!$A$1:$O$91,15,0))</f>
        <v>0</v>
      </c>
      <c r="W259" s="4">
        <f>IF(ISERROR(VLOOKUP($T$259,'TAR FIN'!$A$1:$O$91,15,0)),0,VLOOKUP($T$259,'TAR FIN'!$A$1:$O$91,15,0))</f>
        <v>275.13</v>
      </c>
      <c r="X259" s="4">
        <f>IF(ISERROR(VLOOKUP($U$259,'TAR FIN'!$A$1:$O$91,15,0)),0,VLOOKUP($U$259,'TAR FIN'!$A$1:$O$91,15,0))</f>
        <v>219.34</v>
      </c>
      <c r="Y259" s="4"/>
      <c r="Z259" s="4">
        <f ca="1">('TUSD BE'!$AM$36+'TUSD BF'!$AM$36+'TUSD CVA'!$AM$36)*(1-CUSTOS!$M$38)</f>
        <v>364.4729686309102</v>
      </c>
      <c r="AA259" s="4">
        <f>('TE BE'!$AB$26+'TE BF'!$AB$26+'TE CVA'!$AB$26)*(1-CUSTOS!$M$38)</f>
        <v>191.17977782719129</v>
      </c>
      <c r="AB259" s="4">
        <f t="shared" si="20"/>
        <v>0</v>
      </c>
      <c r="AC259" s="4">
        <f>(L259-M259)*(W259+X259)+($W$146+$X$146-$W$259-$X$259)*(L259)</f>
        <v>1332.8213799999994</v>
      </c>
      <c r="AD259" s="4">
        <f t="shared" si="21"/>
        <v>0</v>
      </c>
      <c r="AE259" s="4">
        <f ca="1">(L259-M259)*(Z259+AA259)+($Z$146+$AA$146-$Z$259-$AA$259)*(L259)</f>
        <v>701.04460764835301</v>
      </c>
      <c r="AF259" s="3" t="s">
        <v>667</v>
      </c>
    </row>
    <row r="260" spans="1:32" ht="11.25" customHeight="1" x14ac:dyDescent="0.25">
      <c r="A260" s="3" t="s">
        <v>21</v>
      </c>
      <c r="B260" s="3" t="s">
        <v>40</v>
      </c>
      <c r="C260" s="3" t="s">
        <v>23</v>
      </c>
      <c r="D260" s="3" t="s">
        <v>41</v>
      </c>
      <c r="E260" s="3" t="s">
        <v>53</v>
      </c>
      <c r="F260" s="3" t="s">
        <v>52</v>
      </c>
      <c r="G260" s="3" t="s">
        <v>25</v>
      </c>
      <c r="H260" s="3" t="s">
        <v>25</v>
      </c>
      <c r="I260" s="6">
        <v>44621</v>
      </c>
      <c r="J260" s="4">
        <v>0</v>
      </c>
      <c r="K260" s="4">
        <v>0</v>
      </c>
      <c r="L260" s="4">
        <v>96.036000000000001</v>
      </c>
      <c r="M260" s="4">
        <v>38.414400000000001</v>
      </c>
      <c r="N260" s="4">
        <v>96.036000000000001</v>
      </c>
      <c r="O260" s="4">
        <v>38.414400000000001</v>
      </c>
      <c r="P260" s="4">
        <v>0</v>
      </c>
      <c r="Q260" s="3" t="s">
        <v>26</v>
      </c>
      <c r="R260" s="3">
        <v>0</v>
      </c>
      <c r="S260" s="3">
        <v>0</v>
      </c>
      <c r="T260" s="3">
        <v>24</v>
      </c>
      <c r="U260" s="3">
        <v>63</v>
      </c>
      <c r="V260" s="4">
        <f>IF(ISERROR(VLOOKUP($S$260,'TAR FIN'!$A$1:$O$91,15,0)),0,VLOOKUP($S$260,'TAR FIN'!$A$1:$O$91,15,0))</f>
        <v>0</v>
      </c>
      <c r="W260" s="4">
        <f>IF(ISERROR(VLOOKUP($T$260,'TAR FIN'!$A$1:$O$91,15,0)),0,VLOOKUP($T$260,'TAR FIN'!$A$1:$O$91,15,0))</f>
        <v>275.13</v>
      </c>
      <c r="X260" s="4">
        <f>IF(ISERROR(VLOOKUP($U$260,'TAR FIN'!$A$1:$O$91,15,0)),0,VLOOKUP($U$260,'TAR FIN'!$A$1:$O$91,15,0))</f>
        <v>219.34</v>
      </c>
      <c r="Y260" s="4"/>
      <c r="Z260" s="4">
        <f ca="1">('TUSD BE'!$AM$36+'TUSD BF'!$AM$36+'TUSD CVA'!$AM$36)*(1-CUSTOS!$M$38)</f>
        <v>364.4729686309102</v>
      </c>
      <c r="AA260" s="4">
        <f>('TE BE'!$AB$26+'TE BF'!$AB$26+'TE CVA'!$AB$26)*(1-CUSTOS!$M$38)</f>
        <v>191.17977782719129</v>
      </c>
      <c r="AB260" s="4">
        <f t="shared" si="20"/>
        <v>0</v>
      </c>
      <c r="AC260" s="4">
        <f>(L260-M260)*(W260+X260)+($W$146+$X$146-$W$260-$X$260)*(L260)</f>
        <v>34967.860032000004</v>
      </c>
      <c r="AD260" s="4">
        <f t="shared" si="21"/>
        <v>0</v>
      </c>
      <c r="AE260" s="4">
        <f ca="1">(L260-M260)*(Z260+AA260)+($Z$146+$AA$146-$Z$260-$AA$260)*(L260)</f>
        <v>35423.727986300597</v>
      </c>
      <c r="AF260" s="3" t="s">
        <v>668</v>
      </c>
    </row>
    <row r="261" spans="1:32" ht="11.25" customHeight="1" x14ac:dyDescent="0.25">
      <c r="A261" s="3" t="s">
        <v>28</v>
      </c>
      <c r="B261" s="3" t="s">
        <v>40</v>
      </c>
      <c r="C261" s="3" t="s">
        <v>23</v>
      </c>
      <c r="D261" s="3" t="s">
        <v>41</v>
      </c>
      <c r="E261" s="3" t="s">
        <v>53</v>
      </c>
      <c r="F261" s="3" t="s">
        <v>52</v>
      </c>
      <c r="G261" s="3" t="s">
        <v>25</v>
      </c>
      <c r="H261" s="3" t="s">
        <v>25</v>
      </c>
      <c r="I261" s="6">
        <v>44621</v>
      </c>
      <c r="J261" s="4">
        <v>0</v>
      </c>
      <c r="K261" s="4">
        <v>0</v>
      </c>
      <c r="L261" s="4">
        <v>29.123999999999999</v>
      </c>
      <c r="M261" s="4">
        <v>29.123999999999999</v>
      </c>
      <c r="N261" s="4">
        <v>29.123999999999999</v>
      </c>
      <c r="O261" s="4">
        <v>29.123999999999999</v>
      </c>
      <c r="P261" s="4">
        <v>0</v>
      </c>
      <c r="Q261" s="3" t="s">
        <v>26</v>
      </c>
      <c r="R261" s="3">
        <v>0</v>
      </c>
      <c r="S261" s="3">
        <v>0</v>
      </c>
      <c r="T261" s="3">
        <v>24</v>
      </c>
      <c r="U261" s="3">
        <v>63</v>
      </c>
      <c r="V261" s="4">
        <f>IF(ISERROR(VLOOKUP($S$261,'TAR FIN'!$A$1:$O$91,15,0)),0,VLOOKUP($S$261,'TAR FIN'!$A$1:$O$91,15,0))</f>
        <v>0</v>
      </c>
      <c r="W261" s="4">
        <f>IF(ISERROR(VLOOKUP($T$261,'TAR FIN'!$A$1:$O$91,15,0)),0,VLOOKUP($T$261,'TAR FIN'!$A$1:$O$91,15,0))</f>
        <v>275.13</v>
      </c>
      <c r="X261" s="4">
        <f>IF(ISERROR(VLOOKUP($U$261,'TAR FIN'!$A$1:$O$91,15,0)),0,VLOOKUP($U$261,'TAR FIN'!$A$1:$O$91,15,0))</f>
        <v>219.34</v>
      </c>
      <c r="Y261" s="4"/>
      <c r="Z261" s="4">
        <f ca="1">('TUSD BE'!$AM$36+'TUSD BF'!$AM$36+'TUSD CVA'!$AM$36)*(1-CUSTOS!$M$38)</f>
        <v>364.4729686309102</v>
      </c>
      <c r="AA261" s="4">
        <f>('TE BE'!$AB$26+'TE BF'!$AB$26+'TE CVA'!$AB$26)*(1-CUSTOS!$M$38)</f>
        <v>191.17977782719129</v>
      </c>
      <c r="AB261" s="4">
        <f t="shared" si="20"/>
        <v>0</v>
      </c>
      <c r="AC261" s="4">
        <f>(L261-M261)*(W261+X261)+($W$146+$X$146-$W$261-$X$261)*(L261)</f>
        <v>1963.8313199999993</v>
      </c>
      <c r="AD261" s="4">
        <f t="shared" si="21"/>
        <v>0</v>
      </c>
      <c r="AE261" s="4">
        <f ca="1">(L261-M261)*(Z261+AA261)+($Z$146+$AA$146-$Z$261-$AA$261)*(L261)</f>
        <v>1032.9466332667528</v>
      </c>
      <c r="AF261" s="3" t="s">
        <v>667</v>
      </c>
    </row>
    <row r="262" spans="1:32" ht="11.25" customHeight="1" x14ac:dyDescent="0.25">
      <c r="A262" s="3" t="s">
        <v>21</v>
      </c>
      <c r="B262" s="3" t="s">
        <v>40</v>
      </c>
      <c r="C262" s="3" t="s">
        <v>23</v>
      </c>
      <c r="D262" s="3" t="s">
        <v>41</v>
      </c>
      <c r="E262" s="3" t="s">
        <v>53</v>
      </c>
      <c r="F262" s="3" t="s">
        <v>52</v>
      </c>
      <c r="G262" s="3" t="s">
        <v>25</v>
      </c>
      <c r="H262" s="3" t="s">
        <v>25</v>
      </c>
      <c r="I262" s="6">
        <v>44652</v>
      </c>
      <c r="J262" s="4">
        <v>0</v>
      </c>
      <c r="K262" s="4">
        <v>0</v>
      </c>
      <c r="L262" s="4">
        <v>86.561000000000007</v>
      </c>
      <c r="M262" s="4">
        <v>34.624400000000001</v>
      </c>
      <c r="N262" s="4">
        <v>86.561000000000007</v>
      </c>
      <c r="O262" s="4">
        <v>34.624400000000001</v>
      </c>
      <c r="P262" s="4">
        <v>0</v>
      </c>
      <c r="Q262" s="3" t="s">
        <v>26</v>
      </c>
      <c r="R262" s="3">
        <v>0</v>
      </c>
      <c r="S262" s="3">
        <v>0</v>
      </c>
      <c r="T262" s="3">
        <v>24</v>
      </c>
      <c r="U262" s="3">
        <v>63</v>
      </c>
      <c r="V262" s="4">
        <f>IF(ISERROR(VLOOKUP($S$262,'TAR FIN'!$A$1:$O$91,15,0)),0,VLOOKUP($S$262,'TAR FIN'!$A$1:$O$91,15,0))</f>
        <v>0</v>
      </c>
      <c r="W262" s="4">
        <f>IF(ISERROR(VLOOKUP($T$262,'TAR FIN'!$A$1:$O$91,15,0)),0,VLOOKUP($T$262,'TAR FIN'!$A$1:$O$91,15,0))</f>
        <v>275.13</v>
      </c>
      <c r="X262" s="4">
        <f>IF(ISERROR(VLOOKUP($U$262,'TAR FIN'!$A$1:$O$91,15,0)),0,VLOOKUP($U$262,'TAR FIN'!$A$1:$O$91,15,0))</f>
        <v>219.34</v>
      </c>
      <c r="Y262" s="4"/>
      <c r="Z262" s="4">
        <f ca="1">('TUSD BE'!$AM$36+'TUSD BF'!$AM$36+'TUSD CVA'!$AM$36)*(1-CUSTOS!$M$38)</f>
        <v>364.4729686309102</v>
      </c>
      <c r="AA262" s="4">
        <f>('TE BE'!$AB$26+'TE BF'!$AB$26+'TE CVA'!$AB$26)*(1-CUSTOS!$M$38)</f>
        <v>191.17977782719129</v>
      </c>
      <c r="AB262" s="4">
        <f t="shared" si="20"/>
        <v>0</v>
      </c>
      <c r="AC262" s="4">
        <f>(L262-M262)*(W262+X262)+($W$146+$X$146-$W$262-$X$262)*(L262)</f>
        <v>31517.898832000003</v>
      </c>
      <c r="AD262" s="4">
        <f t="shared" si="21"/>
        <v>0</v>
      </c>
      <c r="AE262" s="4">
        <f ca="1">(L262-M262)*(Z262+AA262)+($Z$146+$AA$146-$Z$262-$AA$262)*(L262)</f>
        <v>31928.790435067745</v>
      </c>
      <c r="AF262" s="3" t="s">
        <v>668</v>
      </c>
    </row>
    <row r="263" spans="1:32" ht="11.25" customHeight="1" x14ac:dyDescent="0.25">
      <c r="A263" s="3" t="s">
        <v>27</v>
      </c>
      <c r="B263" s="3" t="s">
        <v>40</v>
      </c>
      <c r="C263" s="3" t="s">
        <v>23</v>
      </c>
      <c r="D263" s="3" t="s">
        <v>41</v>
      </c>
      <c r="E263" s="3" t="s">
        <v>53</v>
      </c>
      <c r="F263" s="3" t="s">
        <v>52</v>
      </c>
      <c r="G263" s="3" t="s">
        <v>25</v>
      </c>
      <c r="H263" s="3" t="s">
        <v>25</v>
      </c>
      <c r="I263" s="6">
        <v>44652</v>
      </c>
      <c r="J263" s="4">
        <v>0</v>
      </c>
      <c r="K263" s="4">
        <v>0</v>
      </c>
      <c r="L263" s="4">
        <v>1.958</v>
      </c>
      <c r="M263" s="4">
        <v>0.78320000000000001</v>
      </c>
      <c r="N263" s="4">
        <v>1.958</v>
      </c>
      <c r="O263" s="4">
        <v>0.78320000000000001</v>
      </c>
      <c r="P263" s="4">
        <v>0</v>
      </c>
      <c r="Q263" s="3" t="s">
        <v>26</v>
      </c>
      <c r="R263" s="3">
        <v>0</v>
      </c>
      <c r="S263" s="3">
        <v>0</v>
      </c>
      <c r="T263" s="3">
        <v>24</v>
      </c>
      <c r="U263" s="3">
        <v>63</v>
      </c>
      <c r="V263" s="4">
        <f>IF(ISERROR(VLOOKUP($S$263,'TAR FIN'!$A$1:$O$91,15,0)),0,VLOOKUP($S$263,'TAR FIN'!$A$1:$O$91,15,0))</f>
        <v>0</v>
      </c>
      <c r="W263" s="4">
        <f>IF(ISERROR(VLOOKUP($T$263,'TAR FIN'!$A$1:$O$91,15,0)),0,VLOOKUP($T$263,'TAR FIN'!$A$1:$O$91,15,0))</f>
        <v>275.13</v>
      </c>
      <c r="X263" s="4">
        <f>IF(ISERROR(VLOOKUP($U$263,'TAR FIN'!$A$1:$O$91,15,0)),0,VLOOKUP($U$263,'TAR FIN'!$A$1:$O$91,15,0))</f>
        <v>219.34</v>
      </c>
      <c r="Y263" s="4"/>
      <c r="Z263" s="4">
        <f ca="1">('TUSD BE'!$AM$36+'TUSD BF'!$AM$36+'TUSD CVA'!$AM$36)*(1-CUSTOS!$M$38)</f>
        <v>364.4729686309102</v>
      </c>
      <c r="AA263" s="4">
        <f>('TE BE'!$AB$26+'TE BF'!$AB$26+'TE CVA'!$AB$26)*(1-CUSTOS!$M$38)</f>
        <v>191.17977782719129</v>
      </c>
      <c r="AB263" s="4">
        <f t="shared" si="20"/>
        <v>0</v>
      </c>
      <c r="AC263" s="4">
        <f>(L263-M263)*(W263+X263)+($W$146+$X$146-$W$263-$X$263)*(L263)</f>
        <v>712.93129599999986</v>
      </c>
      <c r="AD263" s="4">
        <f t="shared" si="21"/>
        <v>0</v>
      </c>
      <c r="AE263" s="4">
        <f ca="1">(L263-M263)*(Z263+AA263)+($Z$146+$AA$146-$Z$263-$AA$263)*(L263)</f>
        <v>722.22561744737959</v>
      </c>
      <c r="AF263" s="3" t="s">
        <v>668</v>
      </c>
    </row>
    <row r="264" spans="1:32" ht="11.25" customHeight="1" x14ac:dyDescent="0.25">
      <c r="A264" s="3" t="s">
        <v>28</v>
      </c>
      <c r="B264" s="3" t="s">
        <v>40</v>
      </c>
      <c r="C264" s="3" t="s">
        <v>23</v>
      </c>
      <c r="D264" s="3" t="s">
        <v>41</v>
      </c>
      <c r="E264" s="3" t="s">
        <v>53</v>
      </c>
      <c r="F264" s="3" t="s">
        <v>52</v>
      </c>
      <c r="G264" s="3" t="s">
        <v>25</v>
      </c>
      <c r="H264" s="3" t="s">
        <v>25</v>
      </c>
      <c r="I264" s="6">
        <v>44652</v>
      </c>
      <c r="J264" s="4">
        <v>0</v>
      </c>
      <c r="K264" s="4">
        <v>0</v>
      </c>
      <c r="L264" s="4">
        <v>30.641999999999999</v>
      </c>
      <c r="M264" s="4">
        <v>30.641999999999999</v>
      </c>
      <c r="N264" s="4">
        <v>30.641999999999999</v>
      </c>
      <c r="O264" s="4">
        <v>30.641999999999999</v>
      </c>
      <c r="P264" s="4">
        <v>0</v>
      </c>
      <c r="Q264" s="3" t="s">
        <v>26</v>
      </c>
      <c r="R264" s="3">
        <v>0</v>
      </c>
      <c r="S264" s="3">
        <v>0</v>
      </c>
      <c r="T264" s="3">
        <v>24</v>
      </c>
      <c r="U264" s="3">
        <v>63</v>
      </c>
      <c r="V264" s="4">
        <f>IF(ISERROR(VLOOKUP($S$264,'TAR FIN'!$A$1:$O$91,15,0)),0,VLOOKUP($S$264,'TAR FIN'!$A$1:$O$91,15,0))</f>
        <v>0</v>
      </c>
      <c r="W264" s="4">
        <f>IF(ISERROR(VLOOKUP($T$264,'TAR FIN'!$A$1:$O$91,15,0)),0,VLOOKUP($T$264,'TAR FIN'!$A$1:$O$91,15,0))</f>
        <v>275.13</v>
      </c>
      <c r="X264" s="4">
        <f>IF(ISERROR(VLOOKUP($U$264,'TAR FIN'!$A$1:$O$91,15,0)),0,VLOOKUP($U$264,'TAR FIN'!$A$1:$O$91,15,0))</f>
        <v>219.34</v>
      </c>
      <c r="Y264" s="4"/>
      <c r="Z264" s="4">
        <f ca="1">('TUSD BE'!$AM$36+'TUSD BF'!$AM$36+'TUSD CVA'!$AM$36)*(1-CUSTOS!$M$38)</f>
        <v>364.4729686309102</v>
      </c>
      <c r="AA264" s="4">
        <f>('TE BE'!$AB$26+'TE BF'!$AB$26+'TE CVA'!$AB$26)*(1-CUSTOS!$M$38)</f>
        <v>191.17977782719129</v>
      </c>
      <c r="AB264" s="4">
        <f t="shared" si="20"/>
        <v>0</v>
      </c>
      <c r="AC264" s="4">
        <f>(L264-M264)*(W264+X264)+($W$146+$X$146-$W$264-$X$264)*(L264)</f>
        <v>2066.1900599999994</v>
      </c>
      <c r="AD264" s="4">
        <f t="shared" si="21"/>
        <v>0</v>
      </c>
      <c r="AE264" s="4">
        <f ca="1">(L264-M264)*(Z264+AA264)+($Z$146+$AA$146-$Z$264-$AA$264)*(L264)</f>
        <v>1086.7858376788847</v>
      </c>
      <c r="AF264" s="3" t="s">
        <v>667</v>
      </c>
    </row>
    <row r="265" spans="1:32" ht="11.25" customHeight="1" x14ac:dyDescent="0.25">
      <c r="A265" s="3" t="s">
        <v>21</v>
      </c>
      <c r="B265" s="3" t="s">
        <v>40</v>
      </c>
      <c r="C265" s="3" t="s">
        <v>23</v>
      </c>
      <c r="D265" s="3" t="s">
        <v>41</v>
      </c>
      <c r="E265" s="3" t="s">
        <v>53</v>
      </c>
      <c r="F265" s="3" t="s">
        <v>52</v>
      </c>
      <c r="G265" s="3" t="s">
        <v>25</v>
      </c>
      <c r="H265" s="3" t="s">
        <v>25</v>
      </c>
      <c r="I265" s="6">
        <v>44682</v>
      </c>
      <c r="J265" s="4">
        <v>0</v>
      </c>
      <c r="K265" s="4">
        <v>0</v>
      </c>
      <c r="L265" s="4">
        <v>76.91</v>
      </c>
      <c r="M265" s="4">
        <v>30.763999999999999</v>
      </c>
      <c r="N265" s="4">
        <v>76.91</v>
      </c>
      <c r="O265" s="4">
        <v>30.763999999999999</v>
      </c>
      <c r="P265" s="4">
        <v>0</v>
      </c>
      <c r="Q265" s="3" t="s">
        <v>26</v>
      </c>
      <c r="R265" s="3">
        <v>0</v>
      </c>
      <c r="S265" s="3">
        <v>0</v>
      </c>
      <c r="T265" s="3">
        <v>24</v>
      </c>
      <c r="U265" s="3">
        <v>63</v>
      </c>
      <c r="V265" s="4">
        <f>IF(ISERROR(VLOOKUP($S$265,'TAR FIN'!$A$1:$O$91,15,0)),0,VLOOKUP($S$265,'TAR FIN'!$A$1:$O$91,15,0))</f>
        <v>0</v>
      </c>
      <c r="W265" s="4">
        <f>IF(ISERROR(VLOOKUP($T$265,'TAR FIN'!$A$1:$O$91,15,0)),0,VLOOKUP($T$265,'TAR FIN'!$A$1:$O$91,15,0))</f>
        <v>275.13</v>
      </c>
      <c r="X265" s="4">
        <f>IF(ISERROR(VLOOKUP($U$265,'TAR FIN'!$A$1:$O$91,15,0)),0,VLOOKUP($U$265,'TAR FIN'!$A$1:$O$91,15,0))</f>
        <v>219.34</v>
      </c>
      <c r="Y265" s="4"/>
      <c r="Z265" s="4">
        <f ca="1">('TUSD BE'!$AM$36+'TUSD BF'!$AM$36+'TUSD CVA'!$AM$36)*(1-CUSTOS!$M$38)</f>
        <v>364.4729686309102</v>
      </c>
      <c r="AA265" s="4">
        <f>('TE BE'!$AB$26+'TE BF'!$AB$26+'TE CVA'!$AB$26)*(1-CUSTOS!$M$38)</f>
        <v>191.17977782719129</v>
      </c>
      <c r="AB265" s="4">
        <f t="shared" si="20"/>
        <v>0</v>
      </c>
      <c r="AC265" s="4">
        <f>(L265-M265)*(W265+X265)+($W$146+$X$146-$W$265-$X$265)*(L265)</f>
        <v>28003.853919999998</v>
      </c>
      <c r="AD265" s="4">
        <f t="shared" si="21"/>
        <v>0</v>
      </c>
      <c r="AE265" s="4">
        <f ca="1">(L265-M265)*(Z265+AA265)+($Z$146+$AA$146-$Z$265-$AA$265)*(L265)</f>
        <v>28368.933727210409</v>
      </c>
      <c r="AF265" s="3" t="s">
        <v>668</v>
      </c>
    </row>
    <row r="266" spans="1:32" ht="11.25" customHeight="1" x14ac:dyDescent="0.25">
      <c r="A266" s="3" t="s">
        <v>28</v>
      </c>
      <c r="B266" s="3" t="s">
        <v>40</v>
      </c>
      <c r="C266" s="3" t="s">
        <v>23</v>
      </c>
      <c r="D266" s="3" t="s">
        <v>41</v>
      </c>
      <c r="E266" s="3" t="s">
        <v>53</v>
      </c>
      <c r="F266" s="3" t="s">
        <v>52</v>
      </c>
      <c r="G266" s="3" t="s">
        <v>25</v>
      </c>
      <c r="H266" s="3" t="s">
        <v>25</v>
      </c>
      <c r="I266" s="6">
        <v>44682</v>
      </c>
      <c r="J266" s="4">
        <v>0</v>
      </c>
      <c r="K266" s="4">
        <v>0</v>
      </c>
      <c r="L266" s="4">
        <v>34.271000000000001</v>
      </c>
      <c r="M266" s="4">
        <v>34.271000000000001</v>
      </c>
      <c r="N266" s="4">
        <v>34.271000000000001</v>
      </c>
      <c r="O266" s="4">
        <v>34.271000000000001</v>
      </c>
      <c r="P266" s="4">
        <v>0</v>
      </c>
      <c r="Q266" s="3" t="s">
        <v>26</v>
      </c>
      <c r="R266" s="3">
        <v>0</v>
      </c>
      <c r="S266" s="3">
        <v>0</v>
      </c>
      <c r="T266" s="3">
        <v>24</v>
      </c>
      <c r="U266" s="3">
        <v>63</v>
      </c>
      <c r="V266" s="4">
        <f>IF(ISERROR(VLOOKUP($S$266,'TAR FIN'!$A$1:$O$91,15,0)),0,VLOOKUP($S$266,'TAR FIN'!$A$1:$O$91,15,0))</f>
        <v>0</v>
      </c>
      <c r="W266" s="4">
        <f>IF(ISERROR(VLOOKUP($T$266,'TAR FIN'!$A$1:$O$91,15,0)),0,VLOOKUP($T$266,'TAR FIN'!$A$1:$O$91,15,0))</f>
        <v>275.13</v>
      </c>
      <c r="X266" s="4">
        <f>IF(ISERROR(VLOOKUP($U$266,'TAR FIN'!$A$1:$O$91,15,0)),0,VLOOKUP($U$266,'TAR FIN'!$A$1:$O$91,15,0))</f>
        <v>219.34</v>
      </c>
      <c r="Y266" s="4"/>
      <c r="Z266" s="4">
        <f ca="1">('TUSD BE'!$AM$36+'TUSD BF'!$AM$36+'TUSD CVA'!$AM$36)*(1-CUSTOS!$M$38)</f>
        <v>364.4729686309102</v>
      </c>
      <c r="AA266" s="4">
        <f>('TE BE'!$AB$26+'TE BF'!$AB$26+'TE CVA'!$AB$26)*(1-CUSTOS!$M$38)</f>
        <v>191.17977782719129</v>
      </c>
      <c r="AB266" s="4">
        <f t="shared" si="20"/>
        <v>0</v>
      </c>
      <c r="AC266" s="4">
        <f>(L266-M266)*(W266+X266)+($W$146+$X$146-$W$266-$X$266)*(L266)</f>
        <v>2310.8935299999994</v>
      </c>
      <c r="AD266" s="4">
        <f t="shared" si="21"/>
        <v>0</v>
      </c>
      <c r="AE266" s="4">
        <f ca="1">(L266-M266)*(Z266+AA266)+($Z$146+$AA$146-$Z$266-$AA$266)*(L266)</f>
        <v>1215.4962940765308</v>
      </c>
      <c r="AF266" s="3" t="s">
        <v>667</v>
      </c>
    </row>
    <row r="267" spans="1:32" ht="11.25" customHeight="1" x14ac:dyDescent="0.25">
      <c r="A267" s="3" t="s">
        <v>21</v>
      </c>
      <c r="B267" s="3" t="s">
        <v>40</v>
      </c>
      <c r="C267" s="3" t="s">
        <v>23</v>
      </c>
      <c r="D267" s="3" t="s">
        <v>41</v>
      </c>
      <c r="E267" s="3" t="s">
        <v>53</v>
      </c>
      <c r="F267" s="3" t="s">
        <v>52</v>
      </c>
      <c r="G267" s="3" t="s">
        <v>25</v>
      </c>
      <c r="H267" s="3" t="s">
        <v>25</v>
      </c>
      <c r="I267" s="6">
        <v>44713</v>
      </c>
      <c r="J267" s="4">
        <v>0</v>
      </c>
      <c r="K267" s="4">
        <v>0</v>
      </c>
      <c r="L267" s="4">
        <v>51.064999999999998</v>
      </c>
      <c r="M267" s="4">
        <v>20.425999999999998</v>
      </c>
      <c r="N267" s="4">
        <v>51.064999999999998</v>
      </c>
      <c r="O267" s="4">
        <v>20.425999999999998</v>
      </c>
      <c r="P267" s="4">
        <v>0</v>
      </c>
      <c r="Q267" s="3" t="s">
        <v>26</v>
      </c>
      <c r="R267" s="3">
        <v>0</v>
      </c>
      <c r="S267" s="3">
        <v>0</v>
      </c>
      <c r="T267" s="3">
        <v>24</v>
      </c>
      <c r="U267" s="3">
        <v>63</v>
      </c>
      <c r="V267" s="4">
        <f>IF(ISERROR(VLOOKUP($S$267,'TAR FIN'!$A$1:$O$91,15,0)),0,VLOOKUP($S$267,'TAR FIN'!$A$1:$O$91,15,0))</f>
        <v>0</v>
      </c>
      <c r="W267" s="4">
        <f>IF(ISERROR(VLOOKUP($T$267,'TAR FIN'!$A$1:$O$91,15,0)),0,VLOOKUP($T$267,'TAR FIN'!$A$1:$O$91,15,0))</f>
        <v>275.13</v>
      </c>
      <c r="X267" s="4">
        <f>IF(ISERROR(VLOOKUP($U$267,'TAR FIN'!$A$1:$O$91,15,0)),0,VLOOKUP($U$267,'TAR FIN'!$A$1:$O$91,15,0))</f>
        <v>219.34</v>
      </c>
      <c r="Y267" s="4"/>
      <c r="Z267" s="4">
        <f ca="1">('TUSD BE'!$AM$36+'TUSD BF'!$AM$36+'TUSD CVA'!$AM$36)*(1-CUSTOS!$M$38)</f>
        <v>364.4729686309102</v>
      </c>
      <c r="AA267" s="4">
        <f>('TE BE'!$AB$26+'TE BF'!$AB$26+'TE CVA'!$AB$26)*(1-CUSTOS!$M$38)</f>
        <v>191.17977782719129</v>
      </c>
      <c r="AB267" s="4">
        <f t="shared" si="20"/>
        <v>0</v>
      </c>
      <c r="AC267" s="4">
        <f>(L267-M267)*(W267+X267)+($W$146+$X$146-$W$267-$X$267)*(L267)</f>
        <v>18593.379279999997</v>
      </c>
      <c r="AD267" s="4">
        <f t="shared" si="21"/>
        <v>0</v>
      </c>
      <c r="AE267" s="4">
        <f ca="1">(L267-M267)*(Z267+AA267)+($Z$146+$AA$146-$Z$267-$AA$267)*(L267)</f>
        <v>18835.776892211667</v>
      </c>
      <c r="AF267" s="3" t="s">
        <v>668</v>
      </c>
    </row>
    <row r="268" spans="1:32" ht="11.25" customHeight="1" x14ac:dyDescent="0.25">
      <c r="A268" s="3" t="s">
        <v>28</v>
      </c>
      <c r="B268" s="3" t="s">
        <v>40</v>
      </c>
      <c r="C268" s="3" t="s">
        <v>23</v>
      </c>
      <c r="D268" s="3" t="s">
        <v>41</v>
      </c>
      <c r="E268" s="3" t="s">
        <v>53</v>
      </c>
      <c r="F268" s="3" t="s">
        <v>52</v>
      </c>
      <c r="G268" s="3" t="s">
        <v>25</v>
      </c>
      <c r="H268" s="3" t="s">
        <v>25</v>
      </c>
      <c r="I268" s="6">
        <v>44713</v>
      </c>
      <c r="J268" s="4">
        <v>0</v>
      </c>
      <c r="K268" s="4">
        <v>0</v>
      </c>
      <c r="L268" s="4">
        <v>31.675999999999998</v>
      </c>
      <c r="M268" s="4">
        <v>31.675999999999998</v>
      </c>
      <c r="N268" s="4">
        <v>31.675999999999998</v>
      </c>
      <c r="O268" s="4">
        <v>31.675999999999998</v>
      </c>
      <c r="P268" s="4">
        <v>0</v>
      </c>
      <c r="Q268" s="3" t="s">
        <v>26</v>
      </c>
      <c r="R268" s="3">
        <v>0</v>
      </c>
      <c r="S268" s="3">
        <v>0</v>
      </c>
      <c r="T268" s="3">
        <v>24</v>
      </c>
      <c r="U268" s="3">
        <v>63</v>
      </c>
      <c r="V268" s="4">
        <f>IF(ISERROR(VLOOKUP($S$268,'TAR FIN'!$A$1:$O$91,15,0)),0,VLOOKUP($S$268,'TAR FIN'!$A$1:$O$91,15,0))</f>
        <v>0</v>
      </c>
      <c r="W268" s="4">
        <f>IF(ISERROR(VLOOKUP($T$268,'TAR FIN'!$A$1:$O$91,15,0)),0,VLOOKUP($T$268,'TAR FIN'!$A$1:$O$91,15,0))</f>
        <v>275.13</v>
      </c>
      <c r="X268" s="4">
        <f>IF(ISERROR(VLOOKUP($U$268,'TAR FIN'!$A$1:$O$91,15,0)),0,VLOOKUP($U$268,'TAR FIN'!$A$1:$O$91,15,0))</f>
        <v>219.34</v>
      </c>
      <c r="Y268" s="4"/>
      <c r="Z268" s="4">
        <f ca="1">('TUSD BE'!$AM$36+'TUSD BF'!$AM$36+'TUSD CVA'!$AM$36)*(1-CUSTOS!$M$38)</f>
        <v>364.4729686309102</v>
      </c>
      <c r="AA268" s="4">
        <f>('TE BE'!$AB$26+'TE BF'!$AB$26+'TE CVA'!$AB$26)*(1-CUSTOS!$M$38)</f>
        <v>191.17977782719129</v>
      </c>
      <c r="AB268" s="4">
        <f t="shared" si="20"/>
        <v>0</v>
      </c>
      <c r="AC268" s="4">
        <f>(L268-M268)*(W268+X268)+($W$146+$X$146-$W$268-$X$268)*(L268)</f>
        <v>2135.912679999999</v>
      </c>
      <c r="AD268" s="4">
        <f t="shared" si="21"/>
        <v>0</v>
      </c>
      <c r="AE268" s="4">
        <f ca="1">(L268-M268)*(Z268+AA268)+($Z$146+$AA$146-$Z$268-$AA$268)*(L268)</f>
        <v>1123.4589189451194</v>
      </c>
      <c r="AF268" s="3" t="s">
        <v>667</v>
      </c>
    </row>
    <row r="269" spans="1:32" ht="11.25" customHeight="1" x14ac:dyDescent="0.25">
      <c r="A269" s="3" t="s">
        <v>21</v>
      </c>
      <c r="B269" s="3" t="s">
        <v>40</v>
      </c>
      <c r="C269" s="3" t="s">
        <v>23</v>
      </c>
      <c r="D269" s="3" t="s">
        <v>41</v>
      </c>
      <c r="E269" s="3" t="s">
        <v>53</v>
      </c>
      <c r="F269" s="3" t="s">
        <v>52</v>
      </c>
      <c r="G269" s="3" t="s">
        <v>25</v>
      </c>
      <c r="H269" s="3" t="s">
        <v>25</v>
      </c>
      <c r="I269" s="6">
        <v>44743</v>
      </c>
      <c r="J269" s="4">
        <v>0</v>
      </c>
      <c r="K269" s="4">
        <v>0</v>
      </c>
      <c r="L269" s="4">
        <v>40.271000000000001</v>
      </c>
      <c r="M269" s="4">
        <v>16.1084</v>
      </c>
      <c r="N269" s="4">
        <v>40.271000000000001</v>
      </c>
      <c r="O269" s="4">
        <v>16.1084</v>
      </c>
      <c r="P269" s="4">
        <v>0</v>
      </c>
      <c r="Q269" s="3" t="s">
        <v>26</v>
      </c>
      <c r="R269" s="3">
        <v>0</v>
      </c>
      <c r="S269" s="3">
        <v>0</v>
      </c>
      <c r="T269" s="3">
        <v>24</v>
      </c>
      <c r="U269" s="3">
        <v>63</v>
      </c>
      <c r="V269" s="4">
        <f>IF(ISERROR(VLOOKUP($S$269,'TAR FIN'!$A$1:$O$91,15,0)),0,VLOOKUP($S$269,'TAR FIN'!$A$1:$O$91,15,0))</f>
        <v>0</v>
      </c>
      <c r="W269" s="4">
        <f>IF(ISERROR(VLOOKUP($T$269,'TAR FIN'!$A$1:$O$91,15,0)),0,VLOOKUP($T$269,'TAR FIN'!$A$1:$O$91,15,0))</f>
        <v>275.13</v>
      </c>
      <c r="X269" s="4">
        <f>IF(ISERROR(VLOOKUP($U$269,'TAR FIN'!$A$1:$O$91,15,0)),0,VLOOKUP($U$269,'TAR FIN'!$A$1:$O$91,15,0))</f>
        <v>219.34</v>
      </c>
      <c r="Y269" s="4"/>
      <c r="Z269" s="4">
        <f ca="1">('TUSD BE'!$AM$36+'TUSD BF'!$AM$36+'TUSD CVA'!$AM$36)*(1-CUSTOS!$M$38)</f>
        <v>364.4729686309102</v>
      </c>
      <c r="AA269" s="4">
        <f>('TE BE'!$AB$26+'TE BF'!$AB$26+'TE CVA'!$AB$26)*(1-CUSTOS!$M$38)</f>
        <v>191.17977782719129</v>
      </c>
      <c r="AB269" s="4">
        <f t="shared" si="20"/>
        <v>0</v>
      </c>
      <c r="AC269" s="4">
        <f>(L269-M269)*(W269+X269)+($W$146+$X$146-$W$269-$X$269)*(L269)</f>
        <v>14663.154352000001</v>
      </c>
      <c r="AD269" s="4">
        <f t="shared" si="21"/>
        <v>0</v>
      </c>
      <c r="AE269" s="4">
        <f ca="1">(L269-M269)*(Z269+AA269)+($Z$146+$AA$146-$Z$269-$AA$269)*(L269)</f>
        <v>14854.314525139649</v>
      </c>
      <c r="AF269" s="3" t="s">
        <v>668</v>
      </c>
    </row>
    <row r="270" spans="1:32" ht="11.25" customHeight="1" x14ac:dyDescent="0.25">
      <c r="A270" s="3" t="s">
        <v>21</v>
      </c>
      <c r="B270" s="3" t="s">
        <v>40</v>
      </c>
      <c r="C270" s="3" t="s">
        <v>23</v>
      </c>
      <c r="D270" s="3" t="s">
        <v>41</v>
      </c>
      <c r="E270" s="3" t="s">
        <v>53</v>
      </c>
      <c r="F270" s="3" t="s">
        <v>52</v>
      </c>
      <c r="G270" s="3" t="s">
        <v>25</v>
      </c>
      <c r="H270" s="3" t="s">
        <v>25</v>
      </c>
      <c r="I270" s="6">
        <v>44774</v>
      </c>
      <c r="J270" s="4">
        <v>0</v>
      </c>
      <c r="K270" s="4">
        <v>0</v>
      </c>
      <c r="L270" s="4">
        <v>41</v>
      </c>
      <c r="M270" s="4">
        <v>16.399999999999999</v>
      </c>
      <c r="N270" s="4">
        <v>41</v>
      </c>
      <c r="O270" s="4">
        <v>16.399999999999999</v>
      </c>
      <c r="P270" s="4">
        <v>0</v>
      </c>
      <c r="Q270" s="3" t="s">
        <v>26</v>
      </c>
      <c r="R270" s="3">
        <v>0</v>
      </c>
      <c r="S270" s="3">
        <v>0</v>
      </c>
      <c r="T270" s="3">
        <v>24</v>
      </c>
      <c r="U270" s="3">
        <v>63</v>
      </c>
      <c r="V270" s="4">
        <f>IF(ISERROR(VLOOKUP($S$270,'TAR FIN'!$A$1:$O$91,15,0)),0,VLOOKUP($S$270,'TAR FIN'!$A$1:$O$91,15,0))</f>
        <v>0</v>
      </c>
      <c r="W270" s="4">
        <f>IF(ISERROR(VLOOKUP($T$270,'TAR FIN'!$A$1:$O$91,15,0)),0,VLOOKUP($T$270,'TAR FIN'!$A$1:$O$91,15,0))</f>
        <v>275.13</v>
      </c>
      <c r="X270" s="4">
        <f>IF(ISERROR(VLOOKUP($U$270,'TAR FIN'!$A$1:$O$91,15,0)),0,VLOOKUP($U$270,'TAR FIN'!$A$1:$O$91,15,0))</f>
        <v>219.34</v>
      </c>
      <c r="Y270" s="4"/>
      <c r="Z270" s="4">
        <f ca="1">('TUSD BE'!$AM$36+'TUSD BF'!$AM$36+'TUSD CVA'!$AM$36)*(1-CUSTOS!$M$38)</f>
        <v>364.4729686309102</v>
      </c>
      <c r="AA270" s="4">
        <f>('TE BE'!$AB$26+'TE BF'!$AB$26+'TE CVA'!$AB$26)*(1-CUSTOS!$M$38)</f>
        <v>191.17977782719129</v>
      </c>
      <c r="AB270" s="4">
        <f t="shared" si="20"/>
        <v>0</v>
      </c>
      <c r="AC270" s="4">
        <f>(L270-M270)*(W270+X270)+($W$146+$X$146-$W$270-$X$270)*(L270)</f>
        <v>14928.592000000001</v>
      </c>
      <c r="AD270" s="4">
        <f t="shared" si="21"/>
        <v>0</v>
      </c>
      <c r="AE270" s="4">
        <f ca="1">(L270-M270)*(Z270+AA270)+($Z$146+$AA$146-$Z$270-$AA$270)*(L270)</f>
        <v>15123.212622749015</v>
      </c>
      <c r="AF270" s="3" t="s">
        <v>668</v>
      </c>
    </row>
    <row r="271" spans="1:32" ht="11.25" customHeight="1" x14ac:dyDescent="0.25">
      <c r="A271" s="3" t="s">
        <v>28</v>
      </c>
      <c r="B271" s="3" t="s">
        <v>40</v>
      </c>
      <c r="C271" s="3" t="s">
        <v>23</v>
      </c>
      <c r="D271" s="3" t="s">
        <v>41</v>
      </c>
      <c r="E271" s="3" t="s">
        <v>53</v>
      </c>
      <c r="F271" s="3" t="s">
        <v>52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24.759</v>
      </c>
      <c r="M271" s="4">
        <v>24.759</v>
      </c>
      <c r="N271" s="4">
        <v>24.759</v>
      </c>
      <c r="O271" s="4">
        <v>24.759</v>
      </c>
      <c r="P271" s="4">
        <v>0</v>
      </c>
      <c r="Q271" s="3" t="s">
        <v>26</v>
      </c>
      <c r="R271" s="3">
        <v>0</v>
      </c>
      <c r="S271" s="3">
        <v>0</v>
      </c>
      <c r="T271" s="3">
        <v>24</v>
      </c>
      <c r="U271" s="3">
        <v>63</v>
      </c>
      <c r="V271" s="4">
        <f>IF(ISERROR(VLOOKUP($S$271,'TAR FIN'!$A$1:$O$91,15,0)),0,VLOOKUP($S$271,'TAR FIN'!$A$1:$O$91,15,0))</f>
        <v>0</v>
      </c>
      <c r="W271" s="4">
        <f>IF(ISERROR(VLOOKUP($T$271,'TAR FIN'!$A$1:$O$91,15,0)),0,VLOOKUP($T$271,'TAR FIN'!$A$1:$O$91,15,0))</f>
        <v>275.13</v>
      </c>
      <c r="X271" s="4">
        <f>IF(ISERROR(VLOOKUP($U$271,'TAR FIN'!$A$1:$O$91,15,0)),0,VLOOKUP($U$271,'TAR FIN'!$A$1:$O$91,15,0))</f>
        <v>219.34</v>
      </c>
      <c r="Y271" s="4"/>
      <c r="Z271" s="4">
        <f ca="1">('TUSD BE'!$AM$36+'TUSD BF'!$AM$36+'TUSD CVA'!$AM$36)*(1-CUSTOS!$M$38)</f>
        <v>364.4729686309102</v>
      </c>
      <c r="AA271" s="4">
        <f>('TE BE'!$AB$26+'TE BF'!$AB$26+'TE CVA'!$AB$26)*(1-CUSTOS!$M$38)</f>
        <v>191.17977782719129</v>
      </c>
      <c r="AB271" s="4">
        <f t="shared" si="20"/>
        <v>0</v>
      </c>
      <c r="AC271" s="4">
        <f>(L271-M271)*(W271+X271)+($W$146+$X$146-$W$271-$X$271)*(L271)</f>
        <v>1669.4993699999995</v>
      </c>
      <c r="AD271" s="4">
        <f t="shared" si="21"/>
        <v>0</v>
      </c>
      <c r="AE271" s="4">
        <f ca="1">(L271-M271)*(Z271+AA271)+($Z$146+$AA$146-$Z$271-$AA$271)*(L271)</f>
        <v>878.13232018443659</v>
      </c>
      <c r="AF271" s="3" t="s">
        <v>667</v>
      </c>
    </row>
    <row r="272" spans="1:32" ht="11.25" customHeight="1" x14ac:dyDescent="0.25">
      <c r="A272" s="3" t="s">
        <v>21</v>
      </c>
      <c r="B272" s="3" t="s">
        <v>40</v>
      </c>
      <c r="C272" s="3" t="s">
        <v>23</v>
      </c>
      <c r="D272" s="3" t="s">
        <v>41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44440</v>
      </c>
      <c r="J272" s="4">
        <v>0</v>
      </c>
      <c r="K272" s="4">
        <v>0</v>
      </c>
      <c r="L272" s="4">
        <v>1994.5889999999999</v>
      </c>
      <c r="M272" s="4">
        <v>1994.5889999999999</v>
      </c>
      <c r="N272" s="4">
        <v>1994.5889999999999</v>
      </c>
      <c r="O272" s="4">
        <v>1994.5889999999999</v>
      </c>
      <c r="P272" s="4">
        <v>2816</v>
      </c>
      <c r="Q272" s="3" t="s">
        <v>26</v>
      </c>
      <c r="R272" s="3">
        <v>0</v>
      </c>
      <c r="S272" s="3">
        <v>0</v>
      </c>
      <c r="T272" s="3">
        <v>24</v>
      </c>
      <c r="U272" s="3">
        <v>63</v>
      </c>
      <c r="V272" s="4">
        <f>IF(ISERROR(VLOOKUP($S$272,'TAR FIN'!$A$1:$O$91,15,0)),0,VLOOKUP($S$272,'TAR FIN'!$A$1:$O$91,15,0))</f>
        <v>0</v>
      </c>
      <c r="W272" s="4">
        <f>IF(ISERROR(VLOOKUP($T$272,'TAR FIN'!$A$1:$O$91,15,0)),0,VLOOKUP($T$272,'TAR FIN'!$A$1:$O$91,15,0))</f>
        <v>275.13</v>
      </c>
      <c r="X272" s="4">
        <f>IF(ISERROR(VLOOKUP($U$272,'TAR FIN'!$A$1:$O$91,15,0)),0,VLOOKUP($U$272,'TAR FIN'!$A$1:$O$91,15,0))</f>
        <v>219.34</v>
      </c>
      <c r="Y272" s="4"/>
      <c r="Z272" s="4">
        <f ca="1">('TUSD BE'!$AM$36+'TUSD BF'!$AM$36+'TUSD CVA'!$AM$36)*(1-CUSTOS!$M$38)</f>
        <v>364.4729686309102</v>
      </c>
      <c r="AA272" s="4">
        <f>('TE BE'!$AB$26+'TE BF'!$AB$26+'TE CVA'!$AB$26)*(1-CUSTOS!$M$38)</f>
        <v>191.17977782719129</v>
      </c>
      <c r="AB272" s="4">
        <f t="shared" si="20"/>
        <v>0</v>
      </c>
      <c r="AC272" s="4">
        <f>(L272-M272)*(W272+X272)+($W$146+$X$146-$W$272-$X$272)*(L272)</f>
        <v>134495.13626999996</v>
      </c>
      <c r="AD272" s="4">
        <f t="shared" si="21"/>
        <v>0</v>
      </c>
      <c r="AE272" s="4">
        <f ca="1">(L272-M272)*(Z272+AA272)+($Z$146+$AA$146-$Z$272-$AA$272)*(L272)</f>
        <v>70742.480164156674</v>
      </c>
      <c r="AF272" s="3" t="s">
        <v>667</v>
      </c>
    </row>
    <row r="273" spans="1:32" ht="11.25" customHeight="1" x14ac:dyDescent="0.25">
      <c r="A273" s="3" t="s">
        <v>27</v>
      </c>
      <c r="B273" s="3" t="s">
        <v>40</v>
      </c>
      <c r="C273" s="3" t="s">
        <v>23</v>
      </c>
      <c r="D273" s="3" t="s">
        <v>41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44440</v>
      </c>
      <c r="J273" s="4">
        <v>0</v>
      </c>
      <c r="K273" s="4">
        <v>0</v>
      </c>
      <c r="L273" s="4">
        <v>-1.4830000000000001</v>
      </c>
      <c r="M273" s="4">
        <v>-1.4830000000000001</v>
      </c>
      <c r="N273" s="4">
        <v>-1.4830000000000001</v>
      </c>
      <c r="O273" s="4">
        <v>-1.4830000000000001</v>
      </c>
      <c r="P273" s="4">
        <v>0</v>
      </c>
      <c r="Q273" s="3" t="s">
        <v>26</v>
      </c>
      <c r="R273" s="3">
        <v>0</v>
      </c>
      <c r="S273" s="3">
        <v>0</v>
      </c>
      <c r="T273" s="3">
        <v>24</v>
      </c>
      <c r="U273" s="3">
        <v>63</v>
      </c>
      <c r="V273" s="4">
        <f>IF(ISERROR(VLOOKUP($S$273,'TAR FIN'!$A$1:$O$91,15,0)),0,VLOOKUP($S$273,'TAR FIN'!$A$1:$O$91,15,0))</f>
        <v>0</v>
      </c>
      <c r="W273" s="4">
        <f>IF(ISERROR(VLOOKUP($T$273,'TAR FIN'!$A$1:$O$91,15,0)),0,VLOOKUP($T$273,'TAR FIN'!$A$1:$O$91,15,0))</f>
        <v>275.13</v>
      </c>
      <c r="X273" s="4">
        <f>IF(ISERROR(VLOOKUP($U$273,'TAR FIN'!$A$1:$O$91,15,0)),0,VLOOKUP($U$273,'TAR FIN'!$A$1:$O$91,15,0))</f>
        <v>219.34</v>
      </c>
      <c r="Y273" s="4"/>
      <c r="Z273" s="4">
        <f ca="1">('TUSD BE'!$AM$36+'TUSD BF'!$AM$36+'TUSD CVA'!$AM$36)*(1-CUSTOS!$M$38)</f>
        <v>364.4729686309102</v>
      </c>
      <c r="AA273" s="4">
        <f>('TE BE'!$AB$26+'TE BF'!$AB$26+'TE CVA'!$AB$26)*(1-CUSTOS!$M$38)</f>
        <v>191.17977782719129</v>
      </c>
      <c r="AB273" s="4">
        <f t="shared" si="20"/>
        <v>0</v>
      </c>
      <c r="AC273" s="4">
        <f>(L273-M273)*(W273+X273)+($W$146+$X$146-$W$273-$X$273)*(L273)</f>
        <v>-99.998689999999968</v>
      </c>
      <c r="AD273" s="4">
        <f t="shared" si="21"/>
        <v>0</v>
      </c>
      <c r="AE273" s="4">
        <f ca="1">(L273-M273)*(Z273+AA273)+($Z$146+$AA$146-$Z$273-$AA$273)*(L273)</f>
        <v>-52.597852531746824</v>
      </c>
      <c r="AF273" s="3" t="s">
        <v>667</v>
      </c>
    </row>
    <row r="274" spans="1:32" ht="11.25" customHeight="1" x14ac:dyDescent="0.25">
      <c r="A274" s="3" t="s">
        <v>28</v>
      </c>
      <c r="B274" s="3" t="s">
        <v>40</v>
      </c>
      <c r="C274" s="3" t="s">
        <v>23</v>
      </c>
      <c r="D274" s="3" t="s">
        <v>41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44440</v>
      </c>
      <c r="J274" s="4">
        <v>0</v>
      </c>
      <c r="K274" s="4">
        <v>0</v>
      </c>
      <c r="L274" s="4">
        <v>163.57599999999999</v>
      </c>
      <c r="M274" s="4">
        <v>163.57599999999999</v>
      </c>
      <c r="N274" s="4">
        <v>163.57599999999999</v>
      </c>
      <c r="O274" s="4">
        <v>163.57599999999999</v>
      </c>
      <c r="P274" s="4">
        <v>130</v>
      </c>
      <c r="Q274" s="3" t="s">
        <v>26</v>
      </c>
      <c r="R274" s="3">
        <v>0</v>
      </c>
      <c r="S274" s="3">
        <v>0</v>
      </c>
      <c r="T274" s="3">
        <v>24</v>
      </c>
      <c r="U274" s="3">
        <v>63</v>
      </c>
      <c r="V274" s="4">
        <f>IF(ISERROR(VLOOKUP($S$274,'TAR FIN'!$A$1:$O$91,15,0)),0,VLOOKUP($S$274,'TAR FIN'!$A$1:$O$91,15,0))</f>
        <v>0</v>
      </c>
      <c r="W274" s="4">
        <f>IF(ISERROR(VLOOKUP($T$274,'TAR FIN'!$A$1:$O$91,15,0)),0,VLOOKUP($T$274,'TAR FIN'!$A$1:$O$91,15,0))</f>
        <v>275.13</v>
      </c>
      <c r="X274" s="4">
        <f>IF(ISERROR(VLOOKUP($U$274,'TAR FIN'!$A$1:$O$91,15,0)),0,VLOOKUP($U$274,'TAR FIN'!$A$1:$O$91,15,0))</f>
        <v>219.34</v>
      </c>
      <c r="Y274" s="4"/>
      <c r="Z274" s="4">
        <f ca="1">('TUSD BE'!$AM$36+'TUSD BF'!$AM$36+'TUSD CVA'!$AM$36)*(1-CUSTOS!$M$38)</f>
        <v>364.4729686309102</v>
      </c>
      <c r="AA274" s="4">
        <f>('TE BE'!$AB$26+'TE BF'!$AB$26+'TE CVA'!$AB$26)*(1-CUSTOS!$M$38)</f>
        <v>191.17977782719129</v>
      </c>
      <c r="AB274" s="4">
        <f t="shared" si="20"/>
        <v>0</v>
      </c>
      <c r="AC274" s="4">
        <f>(L274-M274)*(W274+X274)+($W$146+$X$146-$W$274-$X$274)*(L274)</f>
        <v>11029.929679999996</v>
      </c>
      <c r="AD274" s="4">
        <f t="shared" si="21"/>
        <v>0</v>
      </c>
      <c r="AE274" s="4">
        <f ca="1">(L274-M274)*(Z274+AA274)+($Z$146+$AA$146-$Z$274-$AA$274)*(L274)</f>
        <v>5801.5821481679141</v>
      </c>
      <c r="AF274" s="3" t="s">
        <v>667</v>
      </c>
    </row>
    <row r="275" spans="1:32" ht="11.25" customHeight="1" x14ac:dyDescent="0.25">
      <c r="A275" s="3" t="s">
        <v>21</v>
      </c>
      <c r="B275" s="3" t="s">
        <v>40</v>
      </c>
      <c r="C275" s="3" t="s">
        <v>23</v>
      </c>
      <c r="D275" s="3" t="s">
        <v>41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44470</v>
      </c>
      <c r="J275" s="4">
        <v>0</v>
      </c>
      <c r="K275" s="4">
        <v>0</v>
      </c>
      <c r="L275" s="4">
        <v>2005.1969999999999</v>
      </c>
      <c r="M275" s="4">
        <v>2005.1969999999999</v>
      </c>
      <c r="N275" s="4">
        <v>2005.1969999999999</v>
      </c>
      <c r="O275" s="4">
        <v>2005.1969999999999</v>
      </c>
      <c r="P275" s="4">
        <v>2802</v>
      </c>
      <c r="Q275" s="3" t="s">
        <v>26</v>
      </c>
      <c r="R275" s="3">
        <v>0</v>
      </c>
      <c r="S275" s="3">
        <v>0</v>
      </c>
      <c r="T275" s="3">
        <v>24</v>
      </c>
      <c r="U275" s="3">
        <v>63</v>
      </c>
      <c r="V275" s="4">
        <f>IF(ISERROR(VLOOKUP($S$275,'TAR FIN'!$A$1:$O$91,15,0)),0,VLOOKUP($S$275,'TAR FIN'!$A$1:$O$91,15,0))</f>
        <v>0</v>
      </c>
      <c r="W275" s="4">
        <f>IF(ISERROR(VLOOKUP($T$275,'TAR FIN'!$A$1:$O$91,15,0)),0,VLOOKUP($T$275,'TAR FIN'!$A$1:$O$91,15,0))</f>
        <v>275.13</v>
      </c>
      <c r="X275" s="4">
        <f>IF(ISERROR(VLOOKUP($U$275,'TAR FIN'!$A$1:$O$91,15,0)),0,VLOOKUP($U$275,'TAR FIN'!$A$1:$O$91,15,0))</f>
        <v>219.34</v>
      </c>
      <c r="Y275" s="4"/>
      <c r="Z275" s="4">
        <f ca="1">('TUSD BE'!$AM$36+'TUSD BF'!$AM$36+'TUSD CVA'!$AM$36)*(1-CUSTOS!$M$38)</f>
        <v>364.4729686309102</v>
      </c>
      <c r="AA275" s="4">
        <f>('TE BE'!$AB$26+'TE BF'!$AB$26+'TE CVA'!$AB$26)*(1-CUSTOS!$M$38)</f>
        <v>191.17977782719129</v>
      </c>
      <c r="AB275" s="4">
        <f t="shared" si="20"/>
        <v>0</v>
      </c>
      <c r="AC275" s="4">
        <f>(L275-M275)*(W275+X275)+($W$146+$X$146-$W$275-$X$275)*(L275)</f>
        <v>135210.43370999995</v>
      </c>
      <c r="AD275" s="4">
        <f t="shared" si="21"/>
        <v>0</v>
      </c>
      <c r="AE275" s="4">
        <f ca="1">(L275-M275)*(Z275+AA275)+($Z$146+$AA$146-$Z$275-$AA$275)*(L275)</f>
        <v>71118.716185503115</v>
      </c>
      <c r="AF275" s="3" t="s">
        <v>667</v>
      </c>
    </row>
    <row r="276" spans="1:32" ht="11.25" customHeight="1" x14ac:dyDescent="0.25">
      <c r="A276" s="3" t="s">
        <v>27</v>
      </c>
      <c r="B276" s="3" t="s">
        <v>40</v>
      </c>
      <c r="C276" s="3" t="s">
        <v>23</v>
      </c>
      <c r="D276" s="3" t="s">
        <v>41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44470</v>
      </c>
      <c r="J276" s="4">
        <v>0</v>
      </c>
      <c r="K276" s="4">
        <v>0</v>
      </c>
      <c r="L276" s="4">
        <v>272.85000000000002</v>
      </c>
      <c r="M276" s="4">
        <v>272.85000000000002</v>
      </c>
      <c r="N276" s="4">
        <v>272.85000000000002</v>
      </c>
      <c r="O276" s="4">
        <v>272.85000000000002</v>
      </c>
      <c r="P276" s="4">
        <v>0</v>
      </c>
      <c r="Q276" s="3" t="s">
        <v>26</v>
      </c>
      <c r="R276" s="3">
        <v>0</v>
      </c>
      <c r="S276" s="3">
        <v>0</v>
      </c>
      <c r="T276" s="3">
        <v>24</v>
      </c>
      <c r="U276" s="3">
        <v>63</v>
      </c>
      <c r="V276" s="4">
        <f>IF(ISERROR(VLOOKUP($S$276,'TAR FIN'!$A$1:$O$91,15,0)),0,VLOOKUP($S$276,'TAR FIN'!$A$1:$O$91,15,0))</f>
        <v>0</v>
      </c>
      <c r="W276" s="4">
        <f>IF(ISERROR(VLOOKUP($T$276,'TAR FIN'!$A$1:$O$91,15,0)),0,VLOOKUP($T$276,'TAR FIN'!$A$1:$O$91,15,0))</f>
        <v>275.13</v>
      </c>
      <c r="X276" s="4">
        <f>IF(ISERROR(VLOOKUP($U$276,'TAR FIN'!$A$1:$O$91,15,0)),0,VLOOKUP($U$276,'TAR FIN'!$A$1:$O$91,15,0))</f>
        <v>219.34</v>
      </c>
      <c r="Y276" s="4"/>
      <c r="Z276" s="4">
        <f ca="1">('TUSD BE'!$AM$36+'TUSD BF'!$AM$36+'TUSD CVA'!$AM$36)*(1-CUSTOS!$M$38)</f>
        <v>364.4729686309102</v>
      </c>
      <c r="AA276" s="4">
        <f>('TE BE'!$AB$26+'TE BF'!$AB$26+'TE CVA'!$AB$26)*(1-CUSTOS!$M$38)</f>
        <v>191.17977782719129</v>
      </c>
      <c r="AB276" s="4">
        <f t="shared" si="20"/>
        <v>0</v>
      </c>
      <c r="AC276" s="4">
        <f>(L276-M276)*(W276+X276)+($W$146+$X$146-$W$276-$X$276)*(L276)</f>
        <v>18398.275499999996</v>
      </c>
      <c r="AD276" s="4">
        <f t="shared" si="21"/>
        <v>0</v>
      </c>
      <c r="AE276" s="4">
        <f ca="1">(L276-M276)*(Z276+AA276)+($Z$146+$AA$146-$Z$276-$AA$276)*(L276)</f>
        <v>9677.2245875166027</v>
      </c>
      <c r="AF276" s="3" t="s">
        <v>667</v>
      </c>
    </row>
    <row r="277" spans="1:32" ht="11.25" customHeight="1" x14ac:dyDescent="0.25">
      <c r="A277" s="3" t="s">
        <v>28</v>
      </c>
      <c r="B277" s="3" t="s">
        <v>40</v>
      </c>
      <c r="C277" s="3" t="s">
        <v>23</v>
      </c>
      <c r="D277" s="3" t="s">
        <v>41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44470</v>
      </c>
      <c r="J277" s="4">
        <v>0</v>
      </c>
      <c r="K277" s="4">
        <v>0</v>
      </c>
      <c r="L277" s="4">
        <v>198.13399999999999</v>
      </c>
      <c r="M277" s="4">
        <v>198.13399999999999</v>
      </c>
      <c r="N277" s="4">
        <v>198.13399999999999</v>
      </c>
      <c r="O277" s="4">
        <v>198.13399999999999</v>
      </c>
      <c r="P277" s="4">
        <v>140</v>
      </c>
      <c r="Q277" s="3" t="s">
        <v>26</v>
      </c>
      <c r="R277" s="3">
        <v>0</v>
      </c>
      <c r="S277" s="3">
        <v>0</v>
      </c>
      <c r="T277" s="3">
        <v>24</v>
      </c>
      <c r="U277" s="3">
        <v>63</v>
      </c>
      <c r="V277" s="4">
        <f>IF(ISERROR(VLOOKUP($S$277,'TAR FIN'!$A$1:$O$91,15,0)),0,VLOOKUP($S$277,'TAR FIN'!$A$1:$O$91,15,0))</f>
        <v>0</v>
      </c>
      <c r="W277" s="4">
        <f>IF(ISERROR(VLOOKUP($T$277,'TAR FIN'!$A$1:$O$91,15,0)),0,VLOOKUP($T$277,'TAR FIN'!$A$1:$O$91,15,0))</f>
        <v>275.13</v>
      </c>
      <c r="X277" s="4">
        <f>IF(ISERROR(VLOOKUP($U$277,'TAR FIN'!$A$1:$O$91,15,0)),0,VLOOKUP($U$277,'TAR FIN'!$A$1:$O$91,15,0))</f>
        <v>219.34</v>
      </c>
      <c r="Y277" s="4"/>
      <c r="Z277" s="4">
        <f ca="1">('TUSD BE'!$AM$36+'TUSD BF'!$AM$36+'TUSD CVA'!$AM$36)*(1-CUSTOS!$M$38)</f>
        <v>364.4729686309102</v>
      </c>
      <c r="AA277" s="4">
        <f>('TE BE'!$AB$26+'TE BF'!$AB$26+'TE CVA'!$AB$26)*(1-CUSTOS!$M$38)</f>
        <v>191.17977782719129</v>
      </c>
      <c r="AB277" s="4">
        <f t="shared" si="20"/>
        <v>0</v>
      </c>
      <c r="AC277" s="4">
        <f>(L277-M277)*(W277+X277)+($W$146+$X$146-$W$277-$X$277)*(L277)</f>
        <v>13360.175619999995</v>
      </c>
      <c r="AD277" s="4">
        <f t="shared" si="21"/>
        <v>0</v>
      </c>
      <c r="AE277" s="4">
        <f ca="1">(L277-M277)*(Z277+AA277)+($Z$146+$AA$146-$Z$277-$AA$277)*(L277)</f>
        <v>7027.2575276636035</v>
      </c>
      <c r="AF277" s="3" t="s">
        <v>667</v>
      </c>
    </row>
    <row r="278" spans="1:32" ht="11.25" customHeight="1" x14ac:dyDescent="0.25">
      <c r="A278" s="3" t="s">
        <v>21</v>
      </c>
      <c r="B278" s="3" t="s">
        <v>40</v>
      </c>
      <c r="C278" s="3" t="s">
        <v>23</v>
      </c>
      <c r="D278" s="3" t="s">
        <v>41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44501</v>
      </c>
      <c r="J278" s="4">
        <v>0</v>
      </c>
      <c r="K278" s="4">
        <v>0</v>
      </c>
      <c r="L278" s="4">
        <v>2034.308</v>
      </c>
      <c r="M278" s="4">
        <v>2034.308</v>
      </c>
      <c r="N278" s="4">
        <v>2034.308</v>
      </c>
      <c r="O278" s="4">
        <v>2034.308</v>
      </c>
      <c r="P278" s="4">
        <v>2784</v>
      </c>
      <c r="Q278" s="3" t="s">
        <v>26</v>
      </c>
      <c r="R278" s="3">
        <v>0</v>
      </c>
      <c r="S278" s="3">
        <v>0</v>
      </c>
      <c r="T278" s="3">
        <v>24</v>
      </c>
      <c r="U278" s="3">
        <v>63</v>
      </c>
      <c r="V278" s="4">
        <f>IF(ISERROR(VLOOKUP($S$278,'TAR FIN'!$A$1:$O$91,15,0)),0,VLOOKUP($S$278,'TAR FIN'!$A$1:$O$91,15,0))</f>
        <v>0</v>
      </c>
      <c r="W278" s="4">
        <f>IF(ISERROR(VLOOKUP($T$278,'TAR FIN'!$A$1:$O$91,15,0)),0,VLOOKUP($T$278,'TAR FIN'!$A$1:$O$91,15,0))</f>
        <v>275.13</v>
      </c>
      <c r="X278" s="4">
        <f>IF(ISERROR(VLOOKUP($U$278,'TAR FIN'!$A$1:$O$91,15,0)),0,VLOOKUP($U$278,'TAR FIN'!$A$1:$O$91,15,0))</f>
        <v>219.34</v>
      </c>
      <c r="Y278" s="4"/>
      <c r="Z278" s="4">
        <f ca="1">('TUSD BE'!$AM$36+'TUSD BF'!$AM$36+'TUSD CVA'!$AM$36)*(1-CUSTOS!$M$38)</f>
        <v>364.4729686309102</v>
      </c>
      <c r="AA278" s="4">
        <f>('TE BE'!$AB$26+'TE BF'!$AB$26+'TE CVA'!$AB$26)*(1-CUSTOS!$M$38)</f>
        <v>191.17977782719129</v>
      </c>
      <c r="AB278" s="4">
        <f t="shared" si="20"/>
        <v>0</v>
      </c>
      <c r="AC278" s="4">
        <f>(L278-M278)*(W278+X278)+($W$146+$X$146-$W$278-$X$278)*(L278)</f>
        <v>137173.38843999995</v>
      </c>
      <c r="AD278" s="4">
        <f t="shared" si="21"/>
        <v>0</v>
      </c>
      <c r="AE278" s="4">
        <f ca="1">(L278-M278)*(Z278+AA278)+($Z$146+$AA$146-$Z$278-$AA$278)*(L278)</f>
        <v>72151.201745214305</v>
      </c>
      <c r="AF278" s="3" t="s">
        <v>667</v>
      </c>
    </row>
    <row r="279" spans="1:32" ht="11.25" customHeight="1" x14ac:dyDescent="0.25">
      <c r="A279" s="3" t="s">
        <v>27</v>
      </c>
      <c r="B279" s="3" t="s">
        <v>40</v>
      </c>
      <c r="C279" s="3" t="s">
        <v>23</v>
      </c>
      <c r="D279" s="3" t="s">
        <v>41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44501</v>
      </c>
      <c r="J279" s="4">
        <v>0</v>
      </c>
      <c r="K279" s="4">
        <v>0</v>
      </c>
      <c r="L279" s="4">
        <v>232.19200000000001</v>
      </c>
      <c r="M279" s="4">
        <v>232.19200000000001</v>
      </c>
      <c r="N279" s="4">
        <v>232.19200000000001</v>
      </c>
      <c r="O279" s="4">
        <v>232.19200000000001</v>
      </c>
      <c r="P279" s="4">
        <v>0</v>
      </c>
      <c r="Q279" s="3" t="s">
        <v>26</v>
      </c>
      <c r="R279" s="3">
        <v>0</v>
      </c>
      <c r="S279" s="3">
        <v>0</v>
      </c>
      <c r="T279" s="3">
        <v>24</v>
      </c>
      <c r="U279" s="3">
        <v>63</v>
      </c>
      <c r="V279" s="4">
        <f>IF(ISERROR(VLOOKUP($S$279,'TAR FIN'!$A$1:$O$91,15,0)),0,VLOOKUP($S$279,'TAR FIN'!$A$1:$O$91,15,0))</f>
        <v>0</v>
      </c>
      <c r="W279" s="4">
        <f>IF(ISERROR(VLOOKUP($T$279,'TAR FIN'!$A$1:$O$91,15,0)),0,VLOOKUP($T$279,'TAR FIN'!$A$1:$O$91,15,0))</f>
        <v>275.13</v>
      </c>
      <c r="X279" s="4">
        <f>IF(ISERROR(VLOOKUP($U$279,'TAR FIN'!$A$1:$O$91,15,0)),0,VLOOKUP($U$279,'TAR FIN'!$A$1:$O$91,15,0))</f>
        <v>219.34</v>
      </c>
      <c r="Y279" s="4"/>
      <c r="Z279" s="4">
        <f ca="1">('TUSD BE'!$AM$36+'TUSD BF'!$AM$36+'TUSD CVA'!$AM$36)*(1-CUSTOS!$M$38)</f>
        <v>364.4729686309102</v>
      </c>
      <c r="AA279" s="4">
        <f>('TE BE'!$AB$26+'TE BF'!$AB$26+'TE CVA'!$AB$26)*(1-CUSTOS!$M$38)</f>
        <v>191.17977782719129</v>
      </c>
      <c r="AB279" s="4">
        <f t="shared" si="20"/>
        <v>0</v>
      </c>
      <c r="AC279" s="4">
        <f>(L279-M279)*(W279+X279)+($W$146+$X$146-$W$279-$X$279)*(L279)</f>
        <v>15656.706559999995</v>
      </c>
      <c r="AD279" s="4">
        <f t="shared" si="21"/>
        <v>0</v>
      </c>
      <c r="AE279" s="4">
        <f ca="1">(L279-M279)*(Z279+AA279)+($Z$146+$AA$146-$Z$279-$AA$279)*(L279)</f>
        <v>8235.1993088680774</v>
      </c>
      <c r="AF279" s="3" t="s">
        <v>667</v>
      </c>
    </row>
    <row r="280" spans="1:32" ht="11.25" customHeight="1" x14ac:dyDescent="0.25">
      <c r="A280" s="3" t="s">
        <v>28</v>
      </c>
      <c r="B280" s="3" t="s">
        <v>40</v>
      </c>
      <c r="C280" s="3" t="s">
        <v>23</v>
      </c>
      <c r="D280" s="3" t="s">
        <v>41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44501</v>
      </c>
      <c r="J280" s="4">
        <v>0</v>
      </c>
      <c r="K280" s="4">
        <v>0</v>
      </c>
      <c r="L280" s="4">
        <v>145.69200000000001</v>
      </c>
      <c r="M280" s="4">
        <v>145.69200000000001</v>
      </c>
      <c r="N280" s="4">
        <v>145.69200000000001</v>
      </c>
      <c r="O280" s="4">
        <v>145.69200000000001</v>
      </c>
      <c r="P280" s="4">
        <v>154</v>
      </c>
      <c r="Q280" s="3" t="s">
        <v>26</v>
      </c>
      <c r="R280" s="3">
        <v>0</v>
      </c>
      <c r="S280" s="3">
        <v>0</v>
      </c>
      <c r="T280" s="3">
        <v>24</v>
      </c>
      <c r="U280" s="3">
        <v>63</v>
      </c>
      <c r="V280" s="4">
        <f>IF(ISERROR(VLOOKUP($S$280,'TAR FIN'!$A$1:$O$91,15,0)),0,VLOOKUP($S$280,'TAR FIN'!$A$1:$O$91,15,0))</f>
        <v>0</v>
      </c>
      <c r="W280" s="4">
        <f>IF(ISERROR(VLOOKUP($T$280,'TAR FIN'!$A$1:$O$91,15,0)),0,VLOOKUP($T$280,'TAR FIN'!$A$1:$O$91,15,0))</f>
        <v>275.13</v>
      </c>
      <c r="X280" s="4">
        <f>IF(ISERROR(VLOOKUP($U$280,'TAR FIN'!$A$1:$O$91,15,0)),0,VLOOKUP($U$280,'TAR FIN'!$A$1:$O$91,15,0))</f>
        <v>219.34</v>
      </c>
      <c r="Y280" s="4"/>
      <c r="Z280" s="4">
        <f ca="1">('TUSD BE'!$AM$36+'TUSD BF'!$AM$36+'TUSD CVA'!$AM$36)*(1-CUSTOS!$M$38)</f>
        <v>364.4729686309102</v>
      </c>
      <c r="AA280" s="4">
        <f>('TE BE'!$AB$26+'TE BF'!$AB$26+'TE CVA'!$AB$26)*(1-CUSTOS!$M$38)</f>
        <v>191.17977782719129</v>
      </c>
      <c r="AB280" s="4">
        <f t="shared" si="20"/>
        <v>0</v>
      </c>
      <c r="AC280" s="4">
        <f>(L280-M280)*(W280+X280)+($W$146+$X$146-$W$280-$X$280)*(L280)</f>
        <v>9824.0115599999972</v>
      </c>
      <c r="AD280" s="4">
        <f t="shared" si="21"/>
        <v>0</v>
      </c>
      <c r="AE280" s="4">
        <f ca="1">(L280-M280)*(Z280+AA280)+($Z$146+$AA$146-$Z$280-$AA$280)*(L280)</f>
        <v>5167.2868044876996</v>
      </c>
      <c r="AF280" s="3" t="s">
        <v>667</v>
      </c>
    </row>
    <row r="281" spans="1:32" ht="11.25" customHeight="1" x14ac:dyDescent="0.25">
      <c r="A281" s="3" t="s">
        <v>21</v>
      </c>
      <c r="B281" s="3" t="s">
        <v>40</v>
      </c>
      <c r="C281" s="3" t="s">
        <v>23</v>
      </c>
      <c r="D281" s="3" t="s">
        <v>41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44531</v>
      </c>
      <c r="J281" s="4">
        <v>0</v>
      </c>
      <c r="K281" s="4">
        <v>0</v>
      </c>
      <c r="L281" s="4">
        <v>2076.846</v>
      </c>
      <c r="M281" s="4">
        <v>2076.846</v>
      </c>
      <c r="N281" s="4">
        <v>2076.846</v>
      </c>
      <c r="O281" s="4">
        <v>2076.846</v>
      </c>
      <c r="P281" s="4">
        <v>2764</v>
      </c>
      <c r="Q281" s="3" t="s">
        <v>26</v>
      </c>
      <c r="R281" s="3">
        <v>0</v>
      </c>
      <c r="S281" s="3">
        <v>0</v>
      </c>
      <c r="T281" s="3">
        <v>24</v>
      </c>
      <c r="U281" s="3">
        <v>63</v>
      </c>
      <c r="V281" s="4">
        <f>IF(ISERROR(VLOOKUP($S$281,'TAR FIN'!$A$1:$O$91,15,0)),0,VLOOKUP($S$281,'TAR FIN'!$A$1:$O$91,15,0))</f>
        <v>0</v>
      </c>
      <c r="W281" s="4">
        <f>IF(ISERROR(VLOOKUP($T$281,'TAR FIN'!$A$1:$O$91,15,0)),0,VLOOKUP($T$281,'TAR FIN'!$A$1:$O$91,15,0))</f>
        <v>275.13</v>
      </c>
      <c r="X281" s="4">
        <f>IF(ISERROR(VLOOKUP($U$281,'TAR FIN'!$A$1:$O$91,15,0)),0,VLOOKUP($U$281,'TAR FIN'!$A$1:$O$91,15,0))</f>
        <v>219.34</v>
      </c>
      <c r="Y281" s="4"/>
      <c r="Z281" s="4">
        <f ca="1">('TUSD BE'!$AM$36+'TUSD BF'!$AM$36+'TUSD CVA'!$AM$36)*(1-CUSTOS!$M$38)</f>
        <v>364.4729686309102</v>
      </c>
      <c r="AA281" s="4">
        <f>('TE BE'!$AB$26+'TE BF'!$AB$26+'TE CVA'!$AB$26)*(1-CUSTOS!$M$38)</f>
        <v>191.17977782719129</v>
      </c>
      <c r="AB281" s="4">
        <f t="shared" si="20"/>
        <v>0</v>
      </c>
      <c r="AC281" s="4">
        <f>(L281-M281)*(W281+X281)+($W$146+$X$146-$W$281-$X$281)*(L281)</f>
        <v>140041.72577999995</v>
      </c>
      <c r="AD281" s="4">
        <f t="shared" si="21"/>
        <v>0</v>
      </c>
      <c r="AE281" s="4">
        <f ca="1">(L281-M281)*(Z281+AA281)+($Z$146+$AA$146-$Z$281-$AA$281)*(L281)</f>
        <v>73659.905353437789</v>
      </c>
      <c r="AF281" s="3" t="s">
        <v>667</v>
      </c>
    </row>
    <row r="282" spans="1:32" ht="11.25" customHeight="1" x14ac:dyDescent="0.25">
      <c r="A282" s="3" t="s">
        <v>28</v>
      </c>
      <c r="B282" s="3" t="s">
        <v>40</v>
      </c>
      <c r="C282" s="3" t="s">
        <v>23</v>
      </c>
      <c r="D282" s="3" t="s">
        <v>41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44531</v>
      </c>
      <c r="J282" s="4">
        <v>0</v>
      </c>
      <c r="K282" s="4">
        <v>0</v>
      </c>
      <c r="L282" s="4">
        <v>145.10400000000001</v>
      </c>
      <c r="M282" s="4">
        <v>145.10400000000001</v>
      </c>
      <c r="N282" s="4">
        <v>145.10400000000001</v>
      </c>
      <c r="O282" s="4">
        <v>145.10400000000001</v>
      </c>
      <c r="P282" s="4">
        <v>167</v>
      </c>
      <c r="Q282" s="3" t="s">
        <v>26</v>
      </c>
      <c r="R282" s="3">
        <v>0</v>
      </c>
      <c r="S282" s="3">
        <v>0</v>
      </c>
      <c r="T282" s="3">
        <v>24</v>
      </c>
      <c r="U282" s="3">
        <v>63</v>
      </c>
      <c r="V282" s="4">
        <f>IF(ISERROR(VLOOKUP($S$282,'TAR FIN'!$A$1:$O$91,15,0)),0,VLOOKUP($S$282,'TAR FIN'!$A$1:$O$91,15,0))</f>
        <v>0</v>
      </c>
      <c r="W282" s="4">
        <f>IF(ISERROR(VLOOKUP($T$282,'TAR FIN'!$A$1:$O$91,15,0)),0,VLOOKUP($T$282,'TAR FIN'!$A$1:$O$91,15,0))</f>
        <v>275.13</v>
      </c>
      <c r="X282" s="4">
        <f>IF(ISERROR(VLOOKUP($U$282,'TAR FIN'!$A$1:$O$91,15,0)),0,VLOOKUP($U$282,'TAR FIN'!$A$1:$O$91,15,0))</f>
        <v>219.34</v>
      </c>
      <c r="Y282" s="4"/>
      <c r="Z282" s="4">
        <f ca="1">('TUSD BE'!$AM$36+'TUSD BF'!$AM$36+'TUSD CVA'!$AM$36)*(1-CUSTOS!$M$38)</f>
        <v>364.4729686309102</v>
      </c>
      <c r="AA282" s="4">
        <f>('TE BE'!$AB$26+'TE BF'!$AB$26+'TE CVA'!$AB$26)*(1-CUSTOS!$M$38)</f>
        <v>191.17977782719129</v>
      </c>
      <c r="AB282" s="4">
        <f t="shared" si="20"/>
        <v>0</v>
      </c>
      <c r="AC282" s="4">
        <f>(L282-M282)*(W282+X282)+($W$146+$X$146-$W$282-$X$282)*(L282)</f>
        <v>9784.3627199999974</v>
      </c>
      <c r="AD282" s="4">
        <f t="shared" si="21"/>
        <v>0</v>
      </c>
      <c r="AE282" s="4">
        <f ca="1">(L282-M282)*(Z282+AA282)+($Z$146+$AA$146-$Z$282-$AA$282)*(L282)</f>
        <v>5146.4320928972293</v>
      </c>
      <c r="AF282" s="3" t="s">
        <v>667</v>
      </c>
    </row>
    <row r="283" spans="1:32" ht="11.25" customHeight="1" x14ac:dyDescent="0.25">
      <c r="A283" s="3" t="s">
        <v>21</v>
      </c>
      <c r="B283" s="3" t="s">
        <v>40</v>
      </c>
      <c r="C283" s="3" t="s">
        <v>23</v>
      </c>
      <c r="D283" s="3" t="s">
        <v>41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44562</v>
      </c>
      <c r="J283" s="4">
        <v>0</v>
      </c>
      <c r="K283" s="4">
        <v>0</v>
      </c>
      <c r="L283" s="4">
        <v>2167.7890000000002</v>
      </c>
      <c r="M283" s="4">
        <v>2167.7890000000002</v>
      </c>
      <c r="N283" s="4">
        <v>2167.7890000000002</v>
      </c>
      <c r="O283" s="4">
        <v>2167.7890000000002</v>
      </c>
      <c r="P283" s="4">
        <v>2747</v>
      </c>
      <c r="Q283" s="3" t="s">
        <v>26</v>
      </c>
      <c r="R283" s="3">
        <v>0</v>
      </c>
      <c r="S283" s="3">
        <v>0</v>
      </c>
      <c r="T283" s="3">
        <v>24</v>
      </c>
      <c r="U283" s="3">
        <v>63</v>
      </c>
      <c r="V283" s="4">
        <f>IF(ISERROR(VLOOKUP($S$283,'TAR FIN'!$A$1:$O$91,15,0)),0,VLOOKUP($S$283,'TAR FIN'!$A$1:$O$91,15,0))</f>
        <v>0</v>
      </c>
      <c r="W283" s="4">
        <f>IF(ISERROR(VLOOKUP($T$283,'TAR FIN'!$A$1:$O$91,15,0)),0,VLOOKUP($T$283,'TAR FIN'!$A$1:$O$91,15,0))</f>
        <v>275.13</v>
      </c>
      <c r="X283" s="4">
        <f>IF(ISERROR(VLOOKUP($U$283,'TAR FIN'!$A$1:$O$91,15,0)),0,VLOOKUP($U$283,'TAR FIN'!$A$1:$O$91,15,0))</f>
        <v>219.34</v>
      </c>
      <c r="Y283" s="4"/>
      <c r="Z283" s="4">
        <f ca="1">('TUSD BE'!$AM$36+'TUSD BF'!$AM$36+'TUSD CVA'!$AM$36)*(1-CUSTOS!$M$38)</f>
        <v>364.4729686309102</v>
      </c>
      <c r="AA283" s="4">
        <f>('TE BE'!$AB$26+'TE BF'!$AB$26+'TE CVA'!$AB$26)*(1-CUSTOS!$M$38)</f>
        <v>191.17977782719129</v>
      </c>
      <c r="AB283" s="4">
        <f t="shared" si="20"/>
        <v>0</v>
      </c>
      <c r="AC283" s="4">
        <f>(L283-M283)*(W283+X283)+($W$146+$X$146-$W$283-$X$283)*(L283)</f>
        <v>146174.01226999998</v>
      </c>
      <c r="AD283" s="4">
        <f t="shared" si="21"/>
        <v>0</v>
      </c>
      <c r="AE283" s="4">
        <f ca="1">(L283-M283)*(Z283+AA283)+($Z$146+$AA$146-$Z$283-$AA$283)*(L283)</f>
        <v>76885.398612233927</v>
      </c>
      <c r="AF283" s="3" t="s">
        <v>667</v>
      </c>
    </row>
    <row r="284" spans="1:32" ht="11.25" customHeight="1" x14ac:dyDescent="0.25">
      <c r="A284" s="3" t="s">
        <v>28</v>
      </c>
      <c r="B284" s="3" t="s">
        <v>40</v>
      </c>
      <c r="C284" s="3" t="s">
        <v>23</v>
      </c>
      <c r="D284" s="3" t="s">
        <v>41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44562</v>
      </c>
      <c r="J284" s="4">
        <v>0</v>
      </c>
      <c r="K284" s="4">
        <v>0</v>
      </c>
      <c r="L284" s="4">
        <v>142.58199999999999</v>
      </c>
      <c r="M284" s="4">
        <v>142.58199999999999</v>
      </c>
      <c r="N284" s="4">
        <v>142.58199999999999</v>
      </c>
      <c r="O284" s="4">
        <v>142.58199999999999</v>
      </c>
      <c r="P284" s="4">
        <v>179</v>
      </c>
      <c r="Q284" s="3" t="s">
        <v>26</v>
      </c>
      <c r="R284" s="3">
        <v>0</v>
      </c>
      <c r="S284" s="3">
        <v>0</v>
      </c>
      <c r="T284" s="3">
        <v>24</v>
      </c>
      <c r="U284" s="3">
        <v>63</v>
      </c>
      <c r="V284" s="4">
        <f>IF(ISERROR(VLOOKUP($S$284,'TAR FIN'!$A$1:$O$91,15,0)),0,VLOOKUP($S$284,'TAR FIN'!$A$1:$O$91,15,0))</f>
        <v>0</v>
      </c>
      <c r="W284" s="4">
        <f>IF(ISERROR(VLOOKUP($T$284,'TAR FIN'!$A$1:$O$91,15,0)),0,VLOOKUP($T$284,'TAR FIN'!$A$1:$O$91,15,0))</f>
        <v>275.13</v>
      </c>
      <c r="X284" s="4">
        <f>IF(ISERROR(VLOOKUP($U$284,'TAR FIN'!$A$1:$O$91,15,0)),0,VLOOKUP($U$284,'TAR FIN'!$A$1:$O$91,15,0))</f>
        <v>219.34</v>
      </c>
      <c r="Y284" s="4"/>
      <c r="Z284" s="4">
        <f ca="1">('TUSD BE'!$AM$36+'TUSD BF'!$AM$36+'TUSD CVA'!$AM$36)*(1-CUSTOS!$M$38)</f>
        <v>364.4729686309102</v>
      </c>
      <c r="AA284" s="4">
        <f>('TE BE'!$AB$26+'TE BF'!$AB$26+'TE CVA'!$AB$26)*(1-CUSTOS!$M$38)</f>
        <v>191.17977782719129</v>
      </c>
      <c r="AB284" s="4">
        <f t="shared" si="20"/>
        <v>0</v>
      </c>
      <c r="AC284" s="4">
        <f>(L284-M284)*(W284+X284)+($W$146+$X$146-$W$284-$X$284)*(L284)</f>
        <v>9614.3042599999972</v>
      </c>
      <c r="AD284" s="4">
        <f t="shared" si="21"/>
        <v>0</v>
      </c>
      <c r="AE284" s="4">
        <f ca="1">(L284-M284)*(Z284+AA284)+($Z$146+$AA$146-$Z$284-$AA$284)*(L284)</f>
        <v>5056.9838231163349</v>
      </c>
      <c r="AF284" s="3" t="s">
        <v>667</v>
      </c>
    </row>
    <row r="285" spans="1:32" ht="11.25" customHeight="1" x14ac:dyDescent="0.25">
      <c r="A285" s="3" t="s">
        <v>21</v>
      </c>
      <c r="B285" s="3" t="s">
        <v>40</v>
      </c>
      <c r="C285" s="3" t="s">
        <v>23</v>
      </c>
      <c r="D285" s="3" t="s">
        <v>41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44593</v>
      </c>
      <c r="J285" s="4">
        <v>0</v>
      </c>
      <c r="K285" s="4">
        <v>0</v>
      </c>
      <c r="L285" s="4">
        <v>2222.8310000000001</v>
      </c>
      <c r="M285" s="4">
        <v>2222.8310000000001</v>
      </c>
      <c r="N285" s="4">
        <v>2222.8310000000001</v>
      </c>
      <c r="O285" s="4">
        <v>2222.8310000000001</v>
      </c>
      <c r="P285" s="4">
        <v>2732</v>
      </c>
      <c r="Q285" s="3" t="s">
        <v>26</v>
      </c>
      <c r="R285" s="3">
        <v>0</v>
      </c>
      <c r="S285" s="3">
        <v>0</v>
      </c>
      <c r="T285" s="3">
        <v>24</v>
      </c>
      <c r="U285" s="3">
        <v>63</v>
      </c>
      <c r="V285" s="4">
        <f>IF(ISERROR(VLOOKUP($S$285,'TAR FIN'!$A$1:$O$91,15,0)),0,VLOOKUP($S$285,'TAR FIN'!$A$1:$O$91,15,0))</f>
        <v>0</v>
      </c>
      <c r="W285" s="4">
        <f>IF(ISERROR(VLOOKUP($T$285,'TAR FIN'!$A$1:$O$91,15,0)),0,VLOOKUP($T$285,'TAR FIN'!$A$1:$O$91,15,0))</f>
        <v>275.13</v>
      </c>
      <c r="X285" s="4">
        <f>IF(ISERROR(VLOOKUP($U$285,'TAR FIN'!$A$1:$O$91,15,0)),0,VLOOKUP($U$285,'TAR FIN'!$A$1:$O$91,15,0))</f>
        <v>219.34</v>
      </c>
      <c r="Y285" s="4"/>
      <c r="Z285" s="4">
        <f ca="1">('TUSD BE'!$AM$36+'TUSD BF'!$AM$36+'TUSD CVA'!$AM$36)*(1-CUSTOS!$M$38)</f>
        <v>364.4729686309102</v>
      </c>
      <c r="AA285" s="4">
        <f>('TE BE'!$AB$26+'TE BF'!$AB$26+'TE CVA'!$AB$26)*(1-CUSTOS!$M$38)</f>
        <v>191.17977782719129</v>
      </c>
      <c r="AB285" s="4">
        <f t="shared" si="20"/>
        <v>0</v>
      </c>
      <c r="AC285" s="4">
        <f>(L285-M285)*(W285+X285)+($W$146+$X$146-$W$285-$X$285)*(L285)</f>
        <v>149885.49432999996</v>
      </c>
      <c r="AD285" s="4">
        <f t="shared" si="21"/>
        <v>0</v>
      </c>
      <c r="AE285" s="4">
        <f ca="1">(L285-M285)*(Z285+AA285)+($Z$146+$AA$146-$Z$285-$AA$285)*(L285)</f>
        <v>78837.584046524149</v>
      </c>
      <c r="AF285" s="3" t="s">
        <v>667</v>
      </c>
    </row>
    <row r="286" spans="1:32" ht="11.25" customHeight="1" x14ac:dyDescent="0.25">
      <c r="A286" s="3" t="s">
        <v>27</v>
      </c>
      <c r="B286" s="3" t="s">
        <v>40</v>
      </c>
      <c r="C286" s="3" t="s">
        <v>23</v>
      </c>
      <c r="D286" s="3" t="s">
        <v>41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44593</v>
      </c>
      <c r="J286" s="4">
        <v>0</v>
      </c>
      <c r="K286" s="4">
        <v>0</v>
      </c>
      <c r="L286" s="4">
        <v>-1.3819999999999999</v>
      </c>
      <c r="M286" s="4">
        <v>-1.3819999999999999</v>
      </c>
      <c r="N286" s="4">
        <v>-1.3819999999999999</v>
      </c>
      <c r="O286" s="4">
        <v>-1.3819999999999999</v>
      </c>
      <c r="P286" s="4">
        <v>0</v>
      </c>
      <c r="Q286" s="3" t="s">
        <v>26</v>
      </c>
      <c r="R286" s="3">
        <v>0</v>
      </c>
      <c r="S286" s="3">
        <v>0</v>
      </c>
      <c r="T286" s="3">
        <v>24</v>
      </c>
      <c r="U286" s="3">
        <v>63</v>
      </c>
      <c r="V286" s="4">
        <f>IF(ISERROR(VLOOKUP($S$286,'TAR FIN'!$A$1:$O$91,15,0)),0,VLOOKUP($S$286,'TAR FIN'!$A$1:$O$91,15,0))</f>
        <v>0</v>
      </c>
      <c r="W286" s="4">
        <f>IF(ISERROR(VLOOKUP($T$286,'TAR FIN'!$A$1:$O$91,15,0)),0,VLOOKUP($T$286,'TAR FIN'!$A$1:$O$91,15,0))</f>
        <v>275.13</v>
      </c>
      <c r="X286" s="4">
        <f>IF(ISERROR(VLOOKUP($U$286,'TAR FIN'!$A$1:$O$91,15,0)),0,VLOOKUP($U$286,'TAR FIN'!$A$1:$O$91,15,0))</f>
        <v>219.34</v>
      </c>
      <c r="Y286" s="4"/>
      <c r="Z286" s="4">
        <f ca="1">('TUSD BE'!$AM$36+'TUSD BF'!$AM$36+'TUSD CVA'!$AM$36)*(1-CUSTOS!$M$38)</f>
        <v>364.4729686309102</v>
      </c>
      <c r="AA286" s="4">
        <f>('TE BE'!$AB$26+'TE BF'!$AB$26+'TE CVA'!$AB$26)*(1-CUSTOS!$M$38)</f>
        <v>191.17977782719129</v>
      </c>
      <c r="AB286" s="4">
        <f t="shared" si="20"/>
        <v>0</v>
      </c>
      <c r="AC286" s="4">
        <f>(L286-M286)*(W286+X286)+($W$146+$X$146-$W$286-$X$286)*(L286)</f>
        <v>-93.188259999999957</v>
      </c>
      <c r="AD286" s="4">
        <f t="shared" si="21"/>
        <v>0</v>
      </c>
      <c r="AE286" s="4">
        <f ca="1">(L286-M286)*(Z286+AA286)+($Z$146+$AA$146-$Z$286-$AA$286)*(L286)</f>
        <v>-49.015665676921174</v>
      </c>
      <c r="AF286" s="3" t="s">
        <v>667</v>
      </c>
    </row>
    <row r="287" spans="1:32" ht="11.25" customHeight="1" x14ac:dyDescent="0.25">
      <c r="A287" s="3" t="s">
        <v>28</v>
      </c>
      <c r="B287" s="3" t="s">
        <v>40</v>
      </c>
      <c r="C287" s="3" t="s">
        <v>23</v>
      </c>
      <c r="D287" s="3" t="s">
        <v>41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44593</v>
      </c>
      <c r="J287" s="4">
        <v>0</v>
      </c>
      <c r="K287" s="4">
        <v>0</v>
      </c>
      <c r="L287" s="4">
        <v>166.44300000000001</v>
      </c>
      <c r="M287" s="4">
        <v>166.44300000000001</v>
      </c>
      <c r="N287" s="4">
        <v>166.44300000000001</v>
      </c>
      <c r="O287" s="4">
        <v>166.44300000000001</v>
      </c>
      <c r="P287" s="4">
        <v>190</v>
      </c>
      <c r="Q287" s="3" t="s">
        <v>26</v>
      </c>
      <c r="R287" s="3">
        <v>0</v>
      </c>
      <c r="S287" s="3">
        <v>0</v>
      </c>
      <c r="T287" s="3">
        <v>24</v>
      </c>
      <c r="U287" s="3">
        <v>63</v>
      </c>
      <c r="V287" s="4">
        <f>IF(ISERROR(VLOOKUP($S$287,'TAR FIN'!$A$1:$O$91,15,0)),0,VLOOKUP($S$287,'TAR FIN'!$A$1:$O$91,15,0))</f>
        <v>0</v>
      </c>
      <c r="W287" s="4">
        <f>IF(ISERROR(VLOOKUP($T$287,'TAR FIN'!$A$1:$O$91,15,0)),0,VLOOKUP($T$287,'TAR FIN'!$A$1:$O$91,15,0))</f>
        <v>275.13</v>
      </c>
      <c r="X287" s="4">
        <f>IF(ISERROR(VLOOKUP($U$287,'TAR FIN'!$A$1:$O$91,15,0)),0,VLOOKUP($U$287,'TAR FIN'!$A$1:$O$91,15,0))</f>
        <v>219.34</v>
      </c>
      <c r="Y287" s="4"/>
      <c r="Z287" s="4">
        <f ca="1">('TUSD BE'!$AM$36+'TUSD BF'!$AM$36+'TUSD CVA'!$AM$36)*(1-CUSTOS!$M$38)</f>
        <v>364.4729686309102</v>
      </c>
      <c r="AA287" s="4">
        <f>('TE BE'!$AB$26+'TE BF'!$AB$26+'TE CVA'!$AB$26)*(1-CUSTOS!$M$38)</f>
        <v>191.17977782719129</v>
      </c>
      <c r="AB287" s="4">
        <f t="shared" si="20"/>
        <v>0</v>
      </c>
      <c r="AC287" s="4">
        <f>(L287-M287)*(W287+X287)+($W$146+$X$146-$W$287-$X$287)*(L287)</f>
        <v>11223.251489999997</v>
      </c>
      <c r="AD287" s="4">
        <f t="shared" si="21"/>
        <v>0</v>
      </c>
      <c r="AE287" s="4">
        <f ca="1">(L287-M287)*(Z287+AA287)+($Z$146+$AA$146-$Z$287-$AA$287)*(L287)</f>
        <v>5903.266600769748</v>
      </c>
      <c r="AF287" s="3" t="s">
        <v>667</v>
      </c>
    </row>
    <row r="288" spans="1:32" ht="11.25" customHeight="1" x14ac:dyDescent="0.25">
      <c r="A288" s="3" t="s">
        <v>21</v>
      </c>
      <c r="B288" s="3" t="s">
        <v>40</v>
      </c>
      <c r="C288" s="3" t="s">
        <v>23</v>
      </c>
      <c r="D288" s="3" t="s">
        <v>41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44621</v>
      </c>
      <c r="J288" s="4">
        <v>0</v>
      </c>
      <c r="K288" s="4">
        <v>0</v>
      </c>
      <c r="L288" s="4">
        <v>2046.8019999999999</v>
      </c>
      <c r="M288" s="4">
        <v>2046.8019999999999</v>
      </c>
      <c r="N288" s="4">
        <v>2046.8019999999999</v>
      </c>
      <c r="O288" s="4">
        <v>2046.8019999999999</v>
      </c>
      <c r="P288" s="4">
        <v>2718</v>
      </c>
      <c r="Q288" s="3" t="s">
        <v>26</v>
      </c>
      <c r="R288" s="3">
        <v>0</v>
      </c>
      <c r="S288" s="3">
        <v>0</v>
      </c>
      <c r="T288" s="3">
        <v>24</v>
      </c>
      <c r="U288" s="3">
        <v>63</v>
      </c>
      <c r="V288" s="4">
        <f>IF(ISERROR(VLOOKUP($S$288,'TAR FIN'!$A$1:$O$91,15,0)),0,VLOOKUP($S$288,'TAR FIN'!$A$1:$O$91,15,0))</f>
        <v>0</v>
      </c>
      <c r="W288" s="4">
        <f>IF(ISERROR(VLOOKUP($T$288,'TAR FIN'!$A$1:$O$91,15,0)),0,VLOOKUP($T$288,'TAR FIN'!$A$1:$O$91,15,0))</f>
        <v>275.13</v>
      </c>
      <c r="X288" s="4">
        <f>IF(ISERROR(VLOOKUP($U$288,'TAR FIN'!$A$1:$O$91,15,0)),0,VLOOKUP($U$288,'TAR FIN'!$A$1:$O$91,15,0))</f>
        <v>219.34</v>
      </c>
      <c r="Y288" s="4"/>
      <c r="Z288" s="4">
        <f ca="1">('TUSD BE'!$AM$36+'TUSD BF'!$AM$36+'TUSD CVA'!$AM$36)*(1-CUSTOS!$M$38)</f>
        <v>364.4729686309102</v>
      </c>
      <c r="AA288" s="4">
        <f>('TE BE'!$AB$26+'TE BF'!$AB$26+'TE CVA'!$AB$26)*(1-CUSTOS!$M$38)</f>
        <v>191.17977782719129</v>
      </c>
      <c r="AB288" s="4">
        <f t="shared" si="20"/>
        <v>0</v>
      </c>
      <c r="AC288" s="4">
        <f>(L288-M288)*(W288+X288)+($W$146+$X$146-$W$288-$X$288)*(L288)</f>
        <v>138015.85885999995</v>
      </c>
      <c r="AD288" s="4">
        <f t="shared" si="21"/>
        <v>0</v>
      </c>
      <c r="AE288" s="4">
        <f ca="1">(L288-M288)*(Z288+AA288)+($Z$146+$AA$146-$Z$288-$AA$288)*(L288)</f>
        <v>72594.328899315209</v>
      </c>
      <c r="AF288" s="3" t="s">
        <v>667</v>
      </c>
    </row>
    <row r="289" spans="1:32" ht="11.25" customHeight="1" x14ac:dyDescent="0.25">
      <c r="A289" s="3" t="s">
        <v>28</v>
      </c>
      <c r="B289" s="3" t="s">
        <v>40</v>
      </c>
      <c r="C289" s="3" t="s">
        <v>23</v>
      </c>
      <c r="D289" s="3" t="s">
        <v>41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44621</v>
      </c>
      <c r="J289" s="4">
        <v>0</v>
      </c>
      <c r="K289" s="4">
        <v>0</v>
      </c>
      <c r="L289" s="4">
        <v>189.286</v>
      </c>
      <c r="M289" s="4">
        <v>189.286</v>
      </c>
      <c r="N289" s="4">
        <v>189.286</v>
      </c>
      <c r="O289" s="4">
        <v>189.286</v>
      </c>
      <c r="P289" s="4">
        <v>200</v>
      </c>
      <c r="Q289" s="3" t="s">
        <v>26</v>
      </c>
      <c r="R289" s="3">
        <v>0</v>
      </c>
      <c r="S289" s="3">
        <v>0</v>
      </c>
      <c r="T289" s="3">
        <v>24</v>
      </c>
      <c r="U289" s="3">
        <v>63</v>
      </c>
      <c r="V289" s="4">
        <f>IF(ISERROR(VLOOKUP($S$289,'TAR FIN'!$A$1:$O$91,15,0)),0,VLOOKUP($S$289,'TAR FIN'!$A$1:$O$91,15,0))</f>
        <v>0</v>
      </c>
      <c r="W289" s="4">
        <f>IF(ISERROR(VLOOKUP($T$289,'TAR FIN'!$A$1:$O$91,15,0)),0,VLOOKUP($T$289,'TAR FIN'!$A$1:$O$91,15,0))</f>
        <v>275.13</v>
      </c>
      <c r="X289" s="4">
        <f>IF(ISERROR(VLOOKUP($U$289,'TAR FIN'!$A$1:$O$91,15,0)),0,VLOOKUP($U$289,'TAR FIN'!$A$1:$O$91,15,0))</f>
        <v>219.34</v>
      </c>
      <c r="Y289" s="4"/>
      <c r="Z289" s="4">
        <f ca="1">('TUSD BE'!$AM$36+'TUSD BF'!$AM$36+'TUSD CVA'!$AM$36)*(1-CUSTOS!$M$38)</f>
        <v>364.4729686309102</v>
      </c>
      <c r="AA289" s="4">
        <f>('TE BE'!$AB$26+'TE BF'!$AB$26+'TE CVA'!$AB$26)*(1-CUSTOS!$M$38)</f>
        <v>191.17977782719129</v>
      </c>
      <c r="AB289" s="4">
        <f t="shared" si="20"/>
        <v>0</v>
      </c>
      <c r="AC289" s="4">
        <f>(L289-M289)*(W289+X289)+($W$146+$X$146-$W$289-$X$289)*(L289)</f>
        <v>12763.554979999995</v>
      </c>
      <c r="AD289" s="4">
        <f t="shared" si="21"/>
        <v>0</v>
      </c>
      <c r="AE289" s="4">
        <f ca="1">(L289-M289)*(Z289+AA289)+($Z$146+$AA$146-$Z$289-$AA$289)*(L289)</f>
        <v>6713.4437723022438</v>
      </c>
      <c r="AF289" s="3" t="s">
        <v>667</v>
      </c>
    </row>
    <row r="290" spans="1:32" ht="11.25" customHeight="1" x14ac:dyDescent="0.25">
      <c r="A290" s="3" t="s">
        <v>21</v>
      </c>
      <c r="B290" s="3" t="s">
        <v>40</v>
      </c>
      <c r="C290" s="3" t="s">
        <v>23</v>
      </c>
      <c r="D290" s="3" t="s">
        <v>41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44652</v>
      </c>
      <c r="J290" s="4">
        <v>0</v>
      </c>
      <c r="K290" s="4">
        <v>0</v>
      </c>
      <c r="L290" s="4">
        <v>1817.9490000000001</v>
      </c>
      <c r="M290" s="4">
        <v>1817.9490000000001</v>
      </c>
      <c r="N290" s="4">
        <v>1817.9490000000001</v>
      </c>
      <c r="O290" s="4">
        <v>1817.9490000000001</v>
      </c>
      <c r="P290" s="4">
        <v>2700</v>
      </c>
      <c r="Q290" s="3" t="s">
        <v>26</v>
      </c>
      <c r="R290" s="3">
        <v>0</v>
      </c>
      <c r="S290" s="3">
        <v>0</v>
      </c>
      <c r="T290" s="3">
        <v>24</v>
      </c>
      <c r="U290" s="3">
        <v>63</v>
      </c>
      <c r="V290" s="4">
        <f>IF(ISERROR(VLOOKUP($S$290,'TAR FIN'!$A$1:$O$91,15,0)),0,VLOOKUP($S$290,'TAR FIN'!$A$1:$O$91,15,0))</f>
        <v>0</v>
      </c>
      <c r="W290" s="4">
        <f>IF(ISERROR(VLOOKUP($T$290,'TAR FIN'!$A$1:$O$91,15,0)),0,VLOOKUP($T$290,'TAR FIN'!$A$1:$O$91,15,0))</f>
        <v>275.13</v>
      </c>
      <c r="X290" s="4">
        <f>IF(ISERROR(VLOOKUP($U$290,'TAR FIN'!$A$1:$O$91,15,0)),0,VLOOKUP($U$290,'TAR FIN'!$A$1:$O$91,15,0))</f>
        <v>219.34</v>
      </c>
      <c r="Y290" s="4"/>
      <c r="Z290" s="4">
        <f ca="1">('TUSD BE'!$AM$36+'TUSD BF'!$AM$36+'TUSD CVA'!$AM$36)*(1-CUSTOS!$M$38)</f>
        <v>364.4729686309102</v>
      </c>
      <c r="AA290" s="4">
        <f>('TE BE'!$AB$26+'TE BF'!$AB$26+'TE CVA'!$AB$26)*(1-CUSTOS!$M$38)</f>
        <v>191.17977782719129</v>
      </c>
      <c r="AB290" s="4">
        <f t="shared" si="20"/>
        <v>0</v>
      </c>
      <c r="AC290" s="4">
        <f>(L290-M290)*(W290+X290)+($W$146+$X$146-$W$290-$X$290)*(L290)</f>
        <v>122584.30106999997</v>
      </c>
      <c r="AD290" s="4">
        <f t="shared" si="21"/>
        <v>0</v>
      </c>
      <c r="AE290" s="4">
        <f ca="1">(L290-M290)*(Z290+AA290)+($Z$146+$AA$146-$Z$290-$AA$290)*(L290)</f>
        <v>64477.554559835873</v>
      </c>
      <c r="AF290" s="3" t="s">
        <v>667</v>
      </c>
    </row>
    <row r="291" spans="1:32" ht="11.25" customHeight="1" x14ac:dyDescent="0.25">
      <c r="A291" s="3" t="s">
        <v>28</v>
      </c>
      <c r="B291" s="3" t="s">
        <v>40</v>
      </c>
      <c r="C291" s="3" t="s">
        <v>23</v>
      </c>
      <c r="D291" s="3" t="s">
        <v>41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44652</v>
      </c>
      <c r="J291" s="4">
        <v>0</v>
      </c>
      <c r="K291" s="4">
        <v>0</v>
      </c>
      <c r="L291" s="4">
        <v>220.4</v>
      </c>
      <c r="M291" s="4">
        <v>220.4</v>
      </c>
      <c r="N291" s="4">
        <v>220.4</v>
      </c>
      <c r="O291" s="4">
        <v>220.4</v>
      </c>
      <c r="P291" s="4">
        <v>211</v>
      </c>
      <c r="Q291" s="3" t="s">
        <v>26</v>
      </c>
      <c r="R291" s="3">
        <v>0</v>
      </c>
      <c r="S291" s="3">
        <v>0</v>
      </c>
      <c r="T291" s="3">
        <v>24</v>
      </c>
      <c r="U291" s="3">
        <v>63</v>
      </c>
      <c r="V291" s="4">
        <f>IF(ISERROR(VLOOKUP($S$291,'TAR FIN'!$A$1:$O$91,15,0)),0,VLOOKUP($S$291,'TAR FIN'!$A$1:$O$91,15,0))</f>
        <v>0</v>
      </c>
      <c r="W291" s="4">
        <f>IF(ISERROR(VLOOKUP($T$291,'TAR FIN'!$A$1:$O$91,15,0)),0,VLOOKUP($T$291,'TAR FIN'!$A$1:$O$91,15,0))</f>
        <v>275.13</v>
      </c>
      <c r="X291" s="4">
        <f>IF(ISERROR(VLOOKUP($U$291,'TAR FIN'!$A$1:$O$91,15,0)),0,VLOOKUP($U$291,'TAR FIN'!$A$1:$O$91,15,0))</f>
        <v>219.34</v>
      </c>
      <c r="Y291" s="4"/>
      <c r="Z291" s="4">
        <f ca="1">('TUSD BE'!$AM$36+'TUSD BF'!$AM$36+'TUSD CVA'!$AM$36)*(1-CUSTOS!$M$38)</f>
        <v>364.4729686309102</v>
      </c>
      <c r="AA291" s="4">
        <f>('TE BE'!$AB$26+'TE BF'!$AB$26+'TE CVA'!$AB$26)*(1-CUSTOS!$M$38)</f>
        <v>191.17977782719129</v>
      </c>
      <c r="AB291" s="4">
        <f t="shared" si="20"/>
        <v>0</v>
      </c>
      <c r="AC291" s="4">
        <f>(L291-M291)*(W291+X291)+($W$146+$X$146-$W$291-$X$291)*(L291)</f>
        <v>14861.571999999996</v>
      </c>
      <c r="AD291" s="4">
        <f t="shared" si="21"/>
        <v>0</v>
      </c>
      <c r="AE291" s="4">
        <f ca="1">(L291-M291)*(Z291+AA291)+($Z$146+$AA$146-$Z$291-$AA$291)*(L291)</f>
        <v>7816.9701267680366</v>
      </c>
      <c r="AF291" s="3" t="s">
        <v>667</v>
      </c>
    </row>
    <row r="292" spans="1:32" ht="11.25" customHeight="1" x14ac:dyDescent="0.25">
      <c r="A292" s="3" t="s">
        <v>21</v>
      </c>
      <c r="B292" s="3" t="s">
        <v>40</v>
      </c>
      <c r="C292" s="3" t="s">
        <v>23</v>
      </c>
      <c r="D292" s="3" t="s">
        <v>41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44682</v>
      </c>
      <c r="J292" s="4">
        <v>0</v>
      </c>
      <c r="K292" s="4">
        <v>0</v>
      </c>
      <c r="L292" s="4">
        <v>1770.2080000000001</v>
      </c>
      <c r="M292" s="4">
        <v>1770.2080000000001</v>
      </c>
      <c r="N292" s="4">
        <v>1770.2080000000001</v>
      </c>
      <c r="O292" s="4">
        <v>1770.2080000000001</v>
      </c>
      <c r="P292" s="4">
        <v>2683</v>
      </c>
      <c r="Q292" s="3" t="s">
        <v>26</v>
      </c>
      <c r="R292" s="3">
        <v>0</v>
      </c>
      <c r="S292" s="3">
        <v>0</v>
      </c>
      <c r="T292" s="3">
        <v>24</v>
      </c>
      <c r="U292" s="3">
        <v>63</v>
      </c>
      <c r="V292" s="4">
        <f>IF(ISERROR(VLOOKUP($S$292,'TAR FIN'!$A$1:$O$91,15,0)),0,VLOOKUP($S$292,'TAR FIN'!$A$1:$O$91,15,0))</f>
        <v>0</v>
      </c>
      <c r="W292" s="4">
        <f>IF(ISERROR(VLOOKUP($T$292,'TAR FIN'!$A$1:$O$91,15,0)),0,VLOOKUP($T$292,'TAR FIN'!$A$1:$O$91,15,0))</f>
        <v>275.13</v>
      </c>
      <c r="X292" s="4">
        <f>IF(ISERROR(VLOOKUP($U$292,'TAR FIN'!$A$1:$O$91,15,0)),0,VLOOKUP($U$292,'TAR FIN'!$A$1:$O$91,15,0))</f>
        <v>219.34</v>
      </c>
      <c r="Y292" s="4"/>
      <c r="Z292" s="4">
        <f ca="1">('TUSD BE'!$AM$36+'TUSD BF'!$AM$36+'TUSD CVA'!$AM$36)*(1-CUSTOS!$M$38)</f>
        <v>364.4729686309102</v>
      </c>
      <c r="AA292" s="4">
        <f>('TE BE'!$AB$26+'TE BF'!$AB$26+'TE CVA'!$AB$26)*(1-CUSTOS!$M$38)</f>
        <v>191.17977782719129</v>
      </c>
      <c r="AB292" s="4">
        <f t="shared" si="20"/>
        <v>0</v>
      </c>
      <c r="AC292" s="4">
        <f>(L292-M292)*(W292+X292)+($W$146+$X$146-$W$292-$X$292)*(L292)</f>
        <v>119365.12543999997</v>
      </c>
      <c r="AD292" s="4">
        <f t="shared" si="21"/>
        <v>0</v>
      </c>
      <c r="AE292" s="4">
        <f ca="1">(L292-M292)*(Z292+AA292)+($Z$146+$AA$146-$Z$292-$AA$292)*(L292)</f>
        <v>62784.315127793983</v>
      </c>
      <c r="AF292" s="3" t="s">
        <v>667</v>
      </c>
    </row>
    <row r="293" spans="1:32" ht="11.25" customHeight="1" x14ac:dyDescent="0.25">
      <c r="A293" s="3" t="s">
        <v>27</v>
      </c>
      <c r="B293" s="3" t="s">
        <v>40</v>
      </c>
      <c r="C293" s="3" t="s">
        <v>23</v>
      </c>
      <c r="D293" s="3" t="s">
        <v>41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44682</v>
      </c>
      <c r="J293" s="4">
        <v>0</v>
      </c>
      <c r="K293" s="4">
        <v>0</v>
      </c>
      <c r="L293" s="4">
        <v>-1.9430000000000001</v>
      </c>
      <c r="M293" s="4">
        <v>-1.9430000000000001</v>
      </c>
      <c r="N293" s="4">
        <v>-1.9430000000000001</v>
      </c>
      <c r="O293" s="4">
        <v>-1.9430000000000001</v>
      </c>
      <c r="P293" s="4">
        <v>0</v>
      </c>
      <c r="Q293" s="3" t="s">
        <v>26</v>
      </c>
      <c r="R293" s="3">
        <v>0</v>
      </c>
      <c r="S293" s="3">
        <v>0</v>
      </c>
      <c r="T293" s="3">
        <v>24</v>
      </c>
      <c r="U293" s="3">
        <v>63</v>
      </c>
      <c r="V293" s="4">
        <f>IF(ISERROR(VLOOKUP($S$293,'TAR FIN'!$A$1:$O$91,15,0)),0,VLOOKUP($S$293,'TAR FIN'!$A$1:$O$91,15,0))</f>
        <v>0</v>
      </c>
      <c r="W293" s="4">
        <f>IF(ISERROR(VLOOKUP($T$293,'TAR FIN'!$A$1:$O$91,15,0)),0,VLOOKUP($T$293,'TAR FIN'!$A$1:$O$91,15,0))</f>
        <v>275.13</v>
      </c>
      <c r="X293" s="4">
        <f>IF(ISERROR(VLOOKUP($U$293,'TAR FIN'!$A$1:$O$91,15,0)),0,VLOOKUP($U$293,'TAR FIN'!$A$1:$O$91,15,0))</f>
        <v>219.34</v>
      </c>
      <c r="Y293" s="4"/>
      <c r="Z293" s="4">
        <f ca="1">('TUSD BE'!$AM$36+'TUSD BF'!$AM$36+'TUSD CVA'!$AM$36)*(1-CUSTOS!$M$38)</f>
        <v>364.4729686309102</v>
      </c>
      <c r="AA293" s="4">
        <f>('TE BE'!$AB$26+'TE BF'!$AB$26+'TE CVA'!$AB$26)*(1-CUSTOS!$M$38)</f>
        <v>191.17977782719129</v>
      </c>
      <c r="AB293" s="4">
        <f t="shared" si="20"/>
        <v>0</v>
      </c>
      <c r="AC293" s="4">
        <f>(L293-M293)*(W293+X293)+($W$146+$X$146-$W$293-$X$293)*(L293)</f>
        <v>-131.01648999999998</v>
      </c>
      <c r="AD293" s="4">
        <f t="shared" si="21"/>
        <v>0</v>
      </c>
      <c r="AE293" s="4">
        <f ca="1">(L293-M293)*(Z293+AA293)+($Z$146+$AA$146-$Z$293-$AA$293)*(L293)</f>
        <v>-68.912762959665585</v>
      </c>
      <c r="AF293" s="3" t="s">
        <v>667</v>
      </c>
    </row>
    <row r="294" spans="1:32" ht="11.25" customHeight="1" x14ac:dyDescent="0.25">
      <c r="A294" s="3" t="s">
        <v>28</v>
      </c>
      <c r="B294" s="3" t="s">
        <v>40</v>
      </c>
      <c r="C294" s="3" t="s">
        <v>23</v>
      </c>
      <c r="D294" s="3" t="s">
        <v>41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44682</v>
      </c>
      <c r="J294" s="4">
        <v>0</v>
      </c>
      <c r="K294" s="4">
        <v>0</v>
      </c>
      <c r="L294" s="4">
        <v>215.05799999999999</v>
      </c>
      <c r="M294" s="4">
        <v>215.05799999999999</v>
      </c>
      <c r="N294" s="4">
        <v>215.05799999999999</v>
      </c>
      <c r="O294" s="4">
        <v>215.05799999999999</v>
      </c>
      <c r="P294" s="4">
        <v>220</v>
      </c>
      <c r="Q294" s="3" t="s">
        <v>26</v>
      </c>
      <c r="R294" s="3">
        <v>0</v>
      </c>
      <c r="S294" s="3">
        <v>0</v>
      </c>
      <c r="T294" s="3">
        <v>24</v>
      </c>
      <c r="U294" s="3">
        <v>63</v>
      </c>
      <c r="V294" s="4">
        <f>IF(ISERROR(VLOOKUP($S$294,'TAR FIN'!$A$1:$O$91,15,0)),0,VLOOKUP($S$294,'TAR FIN'!$A$1:$O$91,15,0))</f>
        <v>0</v>
      </c>
      <c r="W294" s="4">
        <f>IF(ISERROR(VLOOKUP($T$294,'TAR FIN'!$A$1:$O$91,15,0)),0,VLOOKUP($T$294,'TAR FIN'!$A$1:$O$91,15,0))</f>
        <v>275.13</v>
      </c>
      <c r="X294" s="4">
        <f>IF(ISERROR(VLOOKUP($U$294,'TAR FIN'!$A$1:$O$91,15,0)),0,VLOOKUP($U$294,'TAR FIN'!$A$1:$O$91,15,0))</f>
        <v>219.34</v>
      </c>
      <c r="Y294" s="4"/>
      <c r="Z294" s="4">
        <f ca="1">('TUSD BE'!$AM$36+'TUSD BF'!$AM$36+'TUSD CVA'!$AM$36)*(1-CUSTOS!$M$38)</f>
        <v>364.4729686309102</v>
      </c>
      <c r="AA294" s="4">
        <f>('TE BE'!$AB$26+'TE BF'!$AB$26+'TE CVA'!$AB$26)*(1-CUSTOS!$M$38)</f>
        <v>191.17977782719129</v>
      </c>
      <c r="AB294" s="4">
        <f t="shared" si="20"/>
        <v>0</v>
      </c>
      <c r="AC294" s="4">
        <f>(L294-M294)*(W294+X294)+($W$146+$X$146-$W$294-$X$294)*(L294)</f>
        <v>14501.360939999995</v>
      </c>
      <c r="AD294" s="4">
        <f t="shared" si="21"/>
        <v>0</v>
      </c>
      <c r="AE294" s="4">
        <f ca="1">(L294-M294)*(Z294+AA294)+($Z$146+$AA$146-$Z$294-$AA$294)*(L294)</f>
        <v>7627.5043626246843</v>
      </c>
      <c r="AF294" s="3" t="s">
        <v>667</v>
      </c>
    </row>
    <row r="295" spans="1:32" ht="11.25" customHeight="1" x14ac:dyDescent="0.25">
      <c r="A295" s="3" t="s">
        <v>21</v>
      </c>
      <c r="B295" s="3" t="s">
        <v>40</v>
      </c>
      <c r="C295" s="3" t="s">
        <v>23</v>
      </c>
      <c r="D295" s="3" t="s">
        <v>41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44713</v>
      </c>
      <c r="J295" s="4">
        <v>0</v>
      </c>
      <c r="K295" s="4">
        <v>0</v>
      </c>
      <c r="L295" s="4">
        <v>1768.6010000000001</v>
      </c>
      <c r="M295" s="4">
        <v>1768.6010000000001</v>
      </c>
      <c r="N295" s="4">
        <v>1768.6010000000001</v>
      </c>
      <c r="O295" s="4">
        <v>1768.6010000000001</v>
      </c>
      <c r="P295" s="4">
        <v>2659</v>
      </c>
      <c r="Q295" s="3" t="s">
        <v>26</v>
      </c>
      <c r="R295" s="3">
        <v>0</v>
      </c>
      <c r="S295" s="3">
        <v>0</v>
      </c>
      <c r="T295" s="3">
        <v>24</v>
      </c>
      <c r="U295" s="3">
        <v>63</v>
      </c>
      <c r="V295" s="4">
        <f>IF(ISERROR(VLOOKUP($S$295,'TAR FIN'!$A$1:$O$91,15,0)),0,VLOOKUP($S$295,'TAR FIN'!$A$1:$O$91,15,0))</f>
        <v>0</v>
      </c>
      <c r="W295" s="4">
        <f>IF(ISERROR(VLOOKUP($T$295,'TAR FIN'!$A$1:$O$91,15,0)),0,VLOOKUP($T$295,'TAR FIN'!$A$1:$O$91,15,0))</f>
        <v>275.13</v>
      </c>
      <c r="X295" s="4">
        <f>IF(ISERROR(VLOOKUP($U$295,'TAR FIN'!$A$1:$O$91,15,0)),0,VLOOKUP($U$295,'TAR FIN'!$A$1:$O$91,15,0))</f>
        <v>219.34</v>
      </c>
      <c r="Y295" s="4"/>
      <c r="Z295" s="4">
        <f ca="1">('TUSD BE'!$AM$36+'TUSD BF'!$AM$36+'TUSD CVA'!$AM$36)*(1-CUSTOS!$M$38)</f>
        <v>364.4729686309102</v>
      </c>
      <c r="AA295" s="4">
        <f>('TE BE'!$AB$26+'TE BF'!$AB$26+'TE CVA'!$AB$26)*(1-CUSTOS!$M$38)</f>
        <v>191.17977782719129</v>
      </c>
      <c r="AB295" s="4">
        <f t="shared" si="20"/>
        <v>0</v>
      </c>
      <c r="AC295" s="4">
        <f>(L295-M295)*(W295+X295)+($W$146+$X$146-$W$295-$X$295)*(L295)</f>
        <v>119256.76542999997</v>
      </c>
      <c r="AD295" s="4">
        <f t="shared" si="21"/>
        <v>0</v>
      </c>
      <c r="AE295" s="4">
        <f ca="1">(L295-M295)*(Z295+AA295)+($Z$146+$AA$146-$Z$295-$AA$295)*(L295)</f>
        <v>62727.319342886018</v>
      </c>
      <c r="AF295" s="3" t="s">
        <v>667</v>
      </c>
    </row>
    <row r="296" spans="1:32" ht="11.25" customHeight="1" x14ac:dyDescent="0.25">
      <c r="A296" s="3" t="s">
        <v>27</v>
      </c>
      <c r="B296" s="3" t="s">
        <v>40</v>
      </c>
      <c r="C296" s="3" t="s">
        <v>23</v>
      </c>
      <c r="D296" s="3" t="s">
        <v>41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44713</v>
      </c>
      <c r="J296" s="4">
        <v>0</v>
      </c>
      <c r="K296" s="4">
        <v>0</v>
      </c>
      <c r="L296" s="4">
        <v>1.6E-2</v>
      </c>
      <c r="M296" s="4">
        <v>1.6E-2</v>
      </c>
      <c r="N296" s="4">
        <v>1.6E-2</v>
      </c>
      <c r="O296" s="4">
        <v>1.6E-2</v>
      </c>
      <c r="P296" s="4">
        <v>0</v>
      </c>
      <c r="Q296" s="3" t="s">
        <v>26</v>
      </c>
      <c r="R296" s="3">
        <v>0</v>
      </c>
      <c r="S296" s="3">
        <v>0</v>
      </c>
      <c r="T296" s="3">
        <v>24</v>
      </c>
      <c r="U296" s="3">
        <v>63</v>
      </c>
      <c r="V296" s="4">
        <f>IF(ISERROR(VLOOKUP($S$296,'TAR FIN'!$A$1:$O$91,15,0)),0,VLOOKUP($S$296,'TAR FIN'!$A$1:$O$91,15,0))</f>
        <v>0</v>
      </c>
      <c r="W296" s="4">
        <f>IF(ISERROR(VLOOKUP($T$296,'TAR FIN'!$A$1:$O$91,15,0)),0,VLOOKUP($T$296,'TAR FIN'!$A$1:$O$91,15,0))</f>
        <v>275.13</v>
      </c>
      <c r="X296" s="4">
        <f>IF(ISERROR(VLOOKUP($U$296,'TAR FIN'!$A$1:$O$91,15,0)),0,VLOOKUP($U$296,'TAR FIN'!$A$1:$O$91,15,0))</f>
        <v>219.34</v>
      </c>
      <c r="Y296" s="4"/>
      <c r="Z296" s="4">
        <f ca="1">('TUSD BE'!$AM$36+'TUSD BF'!$AM$36+'TUSD CVA'!$AM$36)*(1-CUSTOS!$M$38)</f>
        <v>364.4729686309102</v>
      </c>
      <c r="AA296" s="4">
        <f>('TE BE'!$AB$26+'TE BF'!$AB$26+'TE CVA'!$AB$26)*(1-CUSTOS!$M$38)</f>
        <v>191.17977782719129</v>
      </c>
      <c r="AB296" s="4">
        <f t="shared" si="20"/>
        <v>0</v>
      </c>
      <c r="AC296" s="4">
        <f>(L296-M296)*(W296+X296)+($W$146+$X$146-$W$296-$X$296)*(L296)</f>
        <v>1.0788799999999996</v>
      </c>
      <c r="AD296" s="4">
        <f t="shared" si="21"/>
        <v>0</v>
      </c>
      <c r="AE296" s="4">
        <f ca="1">(L296-M296)*(Z296+AA296)+($Z$146+$AA$146-$Z$296-$AA$296)*(L296)</f>
        <v>0.56747514531891374</v>
      </c>
      <c r="AF296" s="3" t="s">
        <v>667</v>
      </c>
    </row>
    <row r="297" spans="1:32" ht="11.25" customHeight="1" x14ac:dyDescent="0.25">
      <c r="A297" s="3" t="s">
        <v>28</v>
      </c>
      <c r="B297" s="3" t="s">
        <v>40</v>
      </c>
      <c r="C297" s="3" t="s">
        <v>23</v>
      </c>
      <c r="D297" s="3" t="s">
        <v>41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44713</v>
      </c>
      <c r="J297" s="4">
        <v>0</v>
      </c>
      <c r="K297" s="4">
        <v>0</v>
      </c>
      <c r="L297" s="4">
        <v>272.21699999999998</v>
      </c>
      <c r="M297" s="4">
        <v>272.21699999999998</v>
      </c>
      <c r="N297" s="4">
        <v>272.21699999999998</v>
      </c>
      <c r="O297" s="4">
        <v>272.21699999999998</v>
      </c>
      <c r="P297" s="4">
        <v>234</v>
      </c>
      <c r="Q297" s="3" t="s">
        <v>26</v>
      </c>
      <c r="R297" s="3">
        <v>0</v>
      </c>
      <c r="S297" s="3">
        <v>0</v>
      </c>
      <c r="T297" s="3">
        <v>24</v>
      </c>
      <c r="U297" s="3">
        <v>63</v>
      </c>
      <c r="V297" s="4">
        <f>IF(ISERROR(VLOOKUP($S$297,'TAR FIN'!$A$1:$O$91,15,0)),0,VLOOKUP($S$297,'TAR FIN'!$A$1:$O$91,15,0))</f>
        <v>0</v>
      </c>
      <c r="W297" s="4">
        <f>IF(ISERROR(VLOOKUP($T$297,'TAR FIN'!$A$1:$O$91,15,0)),0,VLOOKUP($T$297,'TAR FIN'!$A$1:$O$91,15,0))</f>
        <v>275.13</v>
      </c>
      <c r="X297" s="4">
        <f>IF(ISERROR(VLOOKUP($U$297,'TAR FIN'!$A$1:$O$91,15,0)),0,VLOOKUP($U$297,'TAR FIN'!$A$1:$O$91,15,0))</f>
        <v>219.34</v>
      </c>
      <c r="Y297" s="4"/>
      <c r="Z297" s="4">
        <f ca="1">('TUSD BE'!$AM$36+'TUSD BF'!$AM$36+'TUSD CVA'!$AM$36)*(1-CUSTOS!$M$38)</f>
        <v>364.4729686309102</v>
      </c>
      <c r="AA297" s="4">
        <f>('TE BE'!$AB$26+'TE BF'!$AB$26+'TE CVA'!$AB$26)*(1-CUSTOS!$M$38)</f>
        <v>191.17977782719129</v>
      </c>
      <c r="AB297" s="4">
        <f t="shared" si="20"/>
        <v>0</v>
      </c>
      <c r="AC297" s="4">
        <f>(L297-M297)*(W297+X297)+($W$146+$X$146-$W$297-$X$297)*(L297)</f>
        <v>18355.592309999993</v>
      </c>
      <c r="AD297" s="4">
        <f t="shared" si="21"/>
        <v>0</v>
      </c>
      <c r="AE297" s="4">
        <f ca="1">(L297-M297)*(Z297+AA297)+($Z$146+$AA$146-$Z$297-$AA$297)*(L297)</f>
        <v>9654.7738520799212</v>
      </c>
      <c r="AF297" s="3" t="s">
        <v>667</v>
      </c>
    </row>
    <row r="298" spans="1:32" ht="11.25" customHeight="1" x14ac:dyDescent="0.25">
      <c r="A298" s="3" t="s">
        <v>21</v>
      </c>
      <c r="B298" s="3" t="s">
        <v>40</v>
      </c>
      <c r="C298" s="3" t="s">
        <v>23</v>
      </c>
      <c r="D298" s="3" t="s">
        <v>41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44743</v>
      </c>
      <c r="J298" s="4">
        <v>0</v>
      </c>
      <c r="K298" s="4">
        <v>0</v>
      </c>
      <c r="L298" s="4">
        <v>1750.258</v>
      </c>
      <c r="M298" s="4">
        <v>1750.258</v>
      </c>
      <c r="N298" s="4">
        <v>1750.258</v>
      </c>
      <c r="O298" s="4">
        <v>1750.258</v>
      </c>
      <c r="P298" s="4">
        <v>2648</v>
      </c>
      <c r="Q298" s="3" t="s">
        <v>26</v>
      </c>
      <c r="R298" s="3">
        <v>0</v>
      </c>
      <c r="S298" s="3">
        <v>0</v>
      </c>
      <c r="T298" s="3">
        <v>24</v>
      </c>
      <c r="U298" s="3">
        <v>63</v>
      </c>
      <c r="V298" s="4">
        <f>IF(ISERROR(VLOOKUP($S$298,'TAR FIN'!$A$1:$O$91,15,0)),0,VLOOKUP($S$298,'TAR FIN'!$A$1:$O$91,15,0))</f>
        <v>0</v>
      </c>
      <c r="W298" s="4">
        <f>IF(ISERROR(VLOOKUP($T$298,'TAR FIN'!$A$1:$O$91,15,0)),0,VLOOKUP($T$298,'TAR FIN'!$A$1:$O$91,15,0))</f>
        <v>275.13</v>
      </c>
      <c r="X298" s="4">
        <f>IF(ISERROR(VLOOKUP($U$298,'TAR FIN'!$A$1:$O$91,15,0)),0,VLOOKUP($U$298,'TAR FIN'!$A$1:$O$91,15,0))</f>
        <v>219.34</v>
      </c>
      <c r="Y298" s="4"/>
      <c r="Z298" s="4">
        <f ca="1">('TUSD BE'!$AM$36+'TUSD BF'!$AM$36+'TUSD CVA'!$AM$36)*(1-CUSTOS!$M$38)</f>
        <v>364.4729686309102</v>
      </c>
      <c r="AA298" s="4">
        <f>('TE BE'!$AB$26+'TE BF'!$AB$26+'TE CVA'!$AB$26)*(1-CUSTOS!$M$38)</f>
        <v>191.17977782719129</v>
      </c>
      <c r="AB298" s="4">
        <f t="shared" si="20"/>
        <v>0</v>
      </c>
      <c r="AC298" s="4">
        <f>(L298-M298)*(W298+X298)+($W$146+$X$146-$W$298-$X$298)*(L298)</f>
        <v>118019.89693999996</v>
      </c>
      <c r="AD298" s="4">
        <f t="shared" si="21"/>
        <v>0</v>
      </c>
      <c r="AE298" s="4">
        <f ca="1">(L298-M298)*(Z298+AA298)+($Z$146+$AA$146-$Z$298-$AA$298)*(L298)</f>
        <v>62076.744555974459</v>
      </c>
      <c r="AF298" s="3" t="s">
        <v>667</v>
      </c>
    </row>
    <row r="299" spans="1:32" ht="11.25" customHeight="1" x14ac:dyDescent="0.25">
      <c r="A299" s="3" t="s">
        <v>21</v>
      </c>
      <c r="B299" s="3" t="s">
        <v>40</v>
      </c>
      <c r="C299" s="3" t="s">
        <v>23</v>
      </c>
      <c r="D299" s="3" t="s">
        <v>41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44774</v>
      </c>
      <c r="J299" s="4">
        <v>0</v>
      </c>
      <c r="K299" s="4">
        <v>0</v>
      </c>
      <c r="L299" s="4">
        <v>1788.298</v>
      </c>
      <c r="M299" s="4">
        <v>1788.298</v>
      </c>
      <c r="N299" s="4">
        <v>1788.298</v>
      </c>
      <c r="O299" s="4">
        <v>1788.298</v>
      </c>
      <c r="P299" s="4">
        <v>2647</v>
      </c>
      <c r="Q299" s="3" t="s">
        <v>26</v>
      </c>
      <c r="R299" s="3">
        <v>0</v>
      </c>
      <c r="S299" s="3">
        <v>0</v>
      </c>
      <c r="T299" s="3">
        <v>24</v>
      </c>
      <c r="U299" s="3">
        <v>63</v>
      </c>
      <c r="V299" s="4">
        <f>IF(ISERROR(VLOOKUP($S$299,'TAR FIN'!$A$1:$O$91,15,0)),0,VLOOKUP($S$299,'TAR FIN'!$A$1:$O$91,15,0))</f>
        <v>0</v>
      </c>
      <c r="W299" s="4">
        <f>IF(ISERROR(VLOOKUP($T$299,'TAR FIN'!$A$1:$O$91,15,0)),0,VLOOKUP($T$299,'TAR FIN'!$A$1:$O$91,15,0))</f>
        <v>275.13</v>
      </c>
      <c r="X299" s="4">
        <f>IF(ISERROR(VLOOKUP($U$299,'TAR FIN'!$A$1:$O$91,15,0)),0,VLOOKUP($U$299,'TAR FIN'!$A$1:$O$91,15,0))</f>
        <v>219.34</v>
      </c>
      <c r="Y299" s="4"/>
      <c r="Z299" s="4">
        <f ca="1">('TUSD BE'!$AM$36+'TUSD BF'!$AM$36+'TUSD CVA'!$AM$36)*(1-CUSTOS!$M$38)</f>
        <v>364.4729686309102</v>
      </c>
      <c r="AA299" s="4">
        <f>('TE BE'!$AB$26+'TE BF'!$AB$26+'TE CVA'!$AB$26)*(1-CUSTOS!$M$38)</f>
        <v>191.17977782719129</v>
      </c>
      <c r="AB299" s="4">
        <f t="shared" si="20"/>
        <v>0</v>
      </c>
      <c r="AC299" s="4">
        <f>(L299-M299)*(W299+X299)+($W$146+$X$146-$W$299-$X$299)*(L299)</f>
        <v>120584.93413999997</v>
      </c>
      <c r="AD299" s="4">
        <f t="shared" si="21"/>
        <v>0</v>
      </c>
      <c r="AE299" s="4">
        <f ca="1">(L299-M299)*(Z299+AA299)+($Z$146+$AA$146-$Z$299-$AA$299)*(L299)</f>
        <v>63425.916713970175</v>
      </c>
      <c r="AF299" s="3" t="s">
        <v>667</v>
      </c>
    </row>
    <row r="300" spans="1:32" ht="11.25" customHeight="1" x14ac:dyDescent="0.25">
      <c r="A300" s="3" t="s">
        <v>28</v>
      </c>
      <c r="B300" s="3" t="s">
        <v>40</v>
      </c>
      <c r="C300" s="3" t="s">
        <v>23</v>
      </c>
      <c r="D300" s="3" t="s">
        <v>41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44774</v>
      </c>
      <c r="J300" s="4">
        <v>0</v>
      </c>
      <c r="K300" s="4">
        <v>0</v>
      </c>
      <c r="L300" s="4">
        <v>261.53300000000002</v>
      </c>
      <c r="M300" s="4">
        <v>261.53300000000002</v>
      </c>
      <c r="N300" s="4">
        <v>261.53300000000002</v>
      </c>
      <c r="O300" s="4">
        <v>261.53300000000002</v>
      </c>
      <c r="P300" s="4">
        <v>242</v>
      </c>
      <c r="Q300" s="3" t="s">
        <v>26</v>
      </c>
      <c r="R300" s="3">
        <v>0</v>
      </c>
      <c r="S300" s="3">
        <v>0</v>
      </c>
      <c r="T300" s="3">
        <v>24</v>
      </c>
      <c r="U300" s="3">
        <v>63</v>
      </c>
      <c r="V300" s="4">
        <f>IF(ISERROR(VLOOKUP($S$300,'TAR FIN'!$A$1:$O$91,15,0)),0,VLOOKUP($S$300,'TAR FIN'!$A$1:$O$91,15,0))</f>
        <v>0</v>
      </c>
      <c r="W300" s="4">
        <f>IF(ISERROR(VLOOKUP($T$300,'TAR FIN'!$A$1:$O$91,15,0)),0,VLOOKUP($T$300,'TAR FIN'!$A$1:$O$91,15,0))</f>
        <v>275.13</v>
      </c>
      <c r="X300" s="4">
        <f>IF(ISERROR(VLOOKUP($U$300,'TAR FIN'!$A$1:$O$91,15,0)),0,VLOOKUP($U$300,'TAR FIN'!$A$1:$O$91,15,0))</f>
        <v>219.34</v>
      </c>
      <c r="Y300" s="4"/>
      <c r="Z300" s="4">
        <f ca="1">('TUSD BE'!$AM$36+'TUSD BF'!$AM$36+'TUSD CVA'!$AM$36)*(1-CUSTOS!$M$38)</f>
        <v>364.4729686309102</v>
      </c>
      <c r="AA300" s="4">
        <f>('TE BE'!$AB$26+'TE BF'!$AB$26+'TE CVA'!$AB$26)*(1-CUSTOS!$M$38)</f>
        <v>191.17977782719129</v>
      </c>
      <c r="AB300" s="4">
        <f t="shared" si="20"/>
        <v>0</v>
      </c>
      <c r="AC300" s="4">
        <f>(L300-M300)*(W300+X300)+($W$146+$X$146-$W$300-$X$300)*(L300)</f>
        <v>17635.170189999997</v>
      </c>
      <c r="AD300" s="4">
        <f t="shared" si="21"/>
        <v>0</v>
      </c>
      <c r="AE300" s="4">
        <f ca="1">(L300-M300)*(Z300+AA300)+($Z$146+$AA$146-$Z$300-$AA$300)*(L300)</f>
        <v>9275.8423237932166</v>
      </c>
      <c r="AF300" s="3" t="s">
        <v>667</v>
      </c>
    </row>
    <row r="301" spans="1:32" ht="11.25" customHeight="1" x14ac:dyDescent="0.25">
      <c r="A301" s="3" t="s">
        <v>21</v>
      </c>
      <c r="B301" s="3" t="s">
        <v>33</v>
      </c>
      <c r="C301" s="3" t="s">
        <v>23</v>
      </c>
      <c r="D301" s="3" t="s">
        <v>46</v>
      </c>
      <c r="E301" s="3" t="s">
        <v>47</v>
      </c>
      <c r="F301" s="3" t="s">
        <v>25</v>
      </c>
      <c r="G301" s="3" t="s">
        <v>25</v>
      </c>
      <c r="H301" s="3" t="s">
        <v>25</v>
      </c>
      <c r="I301" s="6">
        <v>44440</v>
      </c>
      <c r="J301" s="4">
        <v>0</v>
      </c>
      <c r="K301" s="54">
        <v>0</v>
      </c>
      <c r="L301" s="4">
        <v>16.821000000000002</v>
      </c>
      <c r="M301" s="54">
        <v>16.821000000000002</v>
      </c>
      <c r="N301" s="4">
        <v>16.821000000000002</v>
      </c>
      <c r="O301" s="54">
        <v>16.821000000000002</v>
      </c>
      <c r="P301" s="4">
        <v>12</v>
      </c>
      <c r="Q301" s="3" t="s">
        <v>26</v>
      </c>
      <c r="R301" s="3">
        <v>0</v>
      </c>
      <c r="S301" s="3">
        <v>0</v>
      </c>
      <c r="T301" s="3">
        <v>35</v>
      </c>
      <c r="U301" s="3">
        <v>62</v>
      </c>
      <c r="V301" s="54">
        <f>IF(ISERROR(VLOOKUP($S$301,'TAR FIN'!$A$1:$O$91,15,0)),0,VLOOKUP($S$301,'TAR FIN'!$A$1:$O$91,15,0))</f>
        <v>0</v>
      </c>
      <c r="W301" s="54">
        <f>IF(ISERROR(VLOOKUP($T$301,'TAR FIN'!$A$1:$O$91,15,0)),0,VLOOKUP($T$301,'TAR FIN'!$A$1:$O$91,15,0))*(1-0.06)</f>
        <v>293.89099999999996</v>
      </c>
      <c r="X301" s="54">
        <f>IF(ISERROR(VLOOKUP($U$301,'TAR FIN'!$A$1:$O$91,15,0)),0,VLOOKUP($U$301,'TAR FIN'!$A$1:$O$91,15,0))*(1-0.06)</f>
        <v>234.29499999999999</v>
      </c>
      <c r="Y301" s="54"/>
      <c r="Z301" s="54">
        <f ca="1">('TUSD BE'!$AM$51+'TUSD BF'!$AM$51+'TUSD CVA'!$AM$51)*1*(1-0.03)</f>
        <v>376.10508465104562</v>
      </c>
      <c r="AA301" s="54">
        <f>('TE BE'!$AB$41+'TE BF'!$AB$41+'TE CVA'!$AB$41)*1*(1-0.03)</f>
        <v>197.28126009827187</v>
      </c>
      <c r="AB301" s="54">
        <f>(SUBSIDIO!$J$301*SUBSIDIO!$V$301)*(0.06)/(1-0.06)</f>
        <v>0</v>
      </c>
      <c r="AC301" s="54">
        <f>((SUBSIDIO!$L$301*SUBSIDIO!$W$301)+(SUBSIDIO!$N$301*SUBSIDIO!$X$301))*(0.06)/(1-0.06)</f>
        <v>567.10319400000003</v>
      </c>
      <c r="AD301" s="54">
        <f>(SUBSIDIO!$J$301*SUBSIDIO!$Y$301)*(0.03)/(1-0.03)</f>
        <v>0</v>
      </c>
      <c r="AE301" s="54">
        <f ca="1">((SUBSIDIO!$L$301*SUBSIDIO!$Z$301)+(SUBSIDIO!$N$301*SUBSIDIO!$AA$301))*(0.03)/(1-0.03)</f>
        <v>298.29685685654442</v>
      </c>
      <c r="AF301" s="3" t="s">
        <v>663</v>
      </c>
    </row>
    <row r="302" spans="1:32" ht="11.25" customHeight="1" x14ac:dyDescent="0.25">
      <c r="A302" s="3" t="s">
        <v>21</v>
      </c>
      <c r="B302" s="3" t="s">
        <v>33</v>
      </c>
      <c r="C302" s="3" t="s">
        <v>23</v>
      </c>
      <c r="D302" s="3" t="s">
        <v>46</v>
      </c>
      <c r="E302" s="3" t="s">
        <v>47</v>
      </c>
      <c r="F302" s="3" t="s">
        <v>25</v>
      </c>
      <c r="G302" s="3" t="s">
        <v>25</v>
      </c>
      <c r="H302" s="3" t="s">
        <v>25</v>
      </c>
      <c r="I302" s="6">
        <v>44470</v>
      </c>
      <c r="J302" s="4">
        <v>0</v>
      </c>
      <c r="K302" s="54">
        <v>0</v>
      </c>
      <c r="L302" s="4">
        <v>17.177</v>
      </c>
      <c r="M302" s="54">
        <v>17.177</v>
      </c>
      <c r="N302" s="4">
        <v>17.177</v>
      </c>
      <c r="O302" s="54">
        <v>17.177</v>
      </c>
      <c r="P302" s="4">
        <v>12</v>
      </c>
      <c r="Q302" s="3" t="s">
        <v>26</v>
      </c>
      <c r="R302" s="3">
        <v>0</v>
      </c>
      <c r="S302" s="3">
        <v>0</v>
      </c>
      <c r="T302" s="3">
        <v>35</v>
      </c>
      <c r="U302" s="3">
        <v>62</v>
      </c>
      <c r="V302" s="54">
        <f>IF(ISERROR(VLOOKUP($S$302,'TAR FIN'!$A$1:$O$91,15,0)),0,VLOOKUP($S$302,'TAR FIN'!$A$1:$O$91,15,0))</f>
        <v>0</v>
      </c>
      <c r="W302" s="54">
        <f>IF(ISERROR(VLOOKUP($T$302,'TAR FIN'!$A$1:$O$91,15,0)),0,VLOOKUP($T$302,'TAR FIN'!$A$1:$O$91,15,0))*(1-0.06)</f>
        <v>293.89099999999996</v>
      </c>
      <c r="X302" s="54">
        <f>IF(ISERROR(VLOOKUP($U$302,'TAR FIN'!$A$1:$O$91,15,0)),0,VLOOKUP($U$302,'TAR FIN'!$A$1:$O$91,15,0))*(1-0.06)</f>
        <v>234.29499999999999</v>
      </c>
      <c r="Y302" s="54"/>
      <c r="Z302" s="54">
        <f ca="1">('TUSD BE'!$AM$51+'TUSD BF'!$AM$51+'TUSD CVA'!$AM$51)*1*(1-0.03)</f>
        <v>376.10508465104562</v>
      </c>
      <c r="AA302" s="54">
        <f>('TE BE'!$AB$41+'TE BF'!$AB$41+'TE CVA'!$AB$41)*1*(1-0.03)</f>
        <v>197.28126009827187</v>
      </c>
      <c r="AB302" s="54">
        <f>(SUBSIDIO!$J$302*SUBSIDIO!$V$302)*(0.06)/(1-0.06)</f>
        <v>0</v>
      </c>
      <c r="AC302" s="54">
        <f>((SUBSIDIO!$L$302*SUBSIDIO!$W$302)+(SUBSIDIO!$N$302*SUBSIDIO!$X$302))*(0.06)/(1-0.06)</f>
        <v>579.10537799999997</v>
      </c>
      <c r="AD302" s="54">
        <f>(SUBSIDIO!$J$302*SUBSIDIO!$Y$302)*(0.03)/(1-0.03)</f>
        <v>0</v>
      </c>
      <c r="AE302" s="54">
        <f ca="1">((SUBSIDIO!$L$302*SUBSIDIO!$Z$302)+(SUBSIDIO!$N$302*SUBSIDIO!$AA$302))*(0.03)/(1-0.03)</f>
        <v>304.61001784821735</v>
      </c>
      <c r="AF302" s="3" t="s">
        <v>663</v>
      </c>
    </row>
    <row r="303" spans="1:32" ht="11.25" customHeight="1" x14ac:dyDescent="0.25">
      <c r="A303" s="3" t="s">
        <v>21</v>
      </c>
      <c r="B303" s="3" t="s">
        <v>33</v>
      </c>
      <c r="C303" s="3" t="s">
        <v>23</v>
      </c>
      <c r="D303" s="3" t="s">
        <v>46</v>
      </c>
      <c r="E303" s="3" t="s">
        <v>47</v>
      </c>
      <c r="F303" s="3" t="s">
        <v>25</v>
      </c>
      <c r="G303" s="3" t="s">
        <v>25</v>
      </c>
      <c r="H303" s="3" t="s">
        <v>25</v>
      </c>
      <c r="I303" s="6">
        <v>44501</v>
      </c>
      <c r="J303" s="4">
        <v>0</v>
      </c>
      <c r="K303" s="54">
        <v>0</v>
      </c>
      <c r="L303" s="4">
        <v>18.698</v>
      </c>
      <c r="M303" s="54">
        <v>18.698</v>
      </c>
      <c r="N303" s="4">
        <v>18.698</v>
      </c>
      <c r="O303" s="54">
        <v>18.698</v>
      </c>
      <c r="P303" s="4">
        <v>12</v>
      </c>
      <c r="Q303" s="3" t="s">
        <v>26</v>
      </c>
      <c r="R303" s="3">
        <v>0</v>
      </c>
      <c r="S303" s="3">
        <v>0</v>
      </c>
      <c r="T303" s="3">
        <v>35</v>
      </c>
      <c r="U303" s="3">
        <v>62</v>
      </c>
      <c r="V303" s="54">
        <f>IF(ISERROR(VLOOKUP($S$303,'TAR FIN'!$A$1:$O$91,15,0)),0,VLOOKUP($S$303,'TAR FIN'!$A$1:$O$91,15,0))</f>
        <v>0</v>
      </c>
      <c r="W303" s="54">
        <f>IF(ISERROR(VLOOKUP($T$303,'TAR FIN'!$A$1:$O$91,15,0)),0,VLOOKUP($T$303,'TAR FIN'!$A$1:$O$91,15,0))*(1-0.06)</f>
        <v>293.89099999999996</v>
      </c>
      <c r="X303" s="54">
        <f>IF(ISERROR(VLOOKUP($U$303,'TAR FIN'!$A$1:$O$91,15,0)),0,VLOOKUP($U$303,'TAR FIN'!$A$1:$O$91,15,0))*(1-0.06)</f>
        <v>234.29499999999999</v>
      </c>
      <c r="Y303" s="54"/>
      <c r="Z303" s="54">
        <f ca="1">('TUSD BE'!$AM$51+'TUSD BF'!$AM$51+'TUSD CVA'!$AM$51)*1*(1-0.03)</f>
        <v>376.10508465104562</v>
      </c>
      <c r="AA303" s="54">
        <f>('TE BE'!$AB$41+'TE BF'!$AB$41+'TE CVA'!$AB$41)*1*(1-0.03)</f>
        <v>197.28126009827187</v>
      </c>
      <c r="AB303" s="54">
        <f>(SUBSIDIO!$J$303*SUBSIDIO!$V$303)*(0.06)/(1-0.06)</f>
        <v>0</v>
      </c>
      <c r="AC303" s="54">
        <f>((SUBSIDIO!$L$303*SUBSIDIO!$W$303)+(SUBSIDIO!$N$303*SUBSIDIO!$X$303))*(0.06)/(1-0.06)</f>
        <v>630.38437199999998</v>
      </c>
      <c r="AD303" s="54">
        <f>(SUBSIDIO!$J$303*SUBSIDIO!$Y$303)*(0.03)/(1-0.03)</f>
        <v>0</v>
      </c>
      <c r="AE303" s="54">
        <f ca="1">((SUBSIDIO!$L$303*SUBSIDIO!$Z$303)+(SUBSIDIO!$N$303*SUBSIDIO!$AA$303))*(0.03)/(1-0.03)</f>
        <v>331.58282084915686</v>
      </c>
      <c r="AF303" s="3" t="s">
        <v>663</v>
      </c>
    </row>
    <row r="304" spans="1:32" ht="11.25" customHeight="1" x14ac:dyDescent="0.25">
      <c r="A304" s="3" t="s">
        <v>21</v>
      </c>
      <c r="B304" s="3" t="s">
        <v>33</v>
      </c>
      <c r="C304" s="3" t="s">
        <v>23</v>
      </c>
      <c r="D304" s="3" t="s">
        <v>46</v>
      </c>
      <c r="E304" s="3" t="s">
        <v>47</v>
      </c>
      <c r="F304" s="3" t="s">
        <v>25</v>
      </c>
      <c r="G304" s="3" t="s">
        <v>25</v>
      </c>
      <c r="H304" s="3" t="s">
        <v>25</v>
      </c>
      <c r="I304" s="6">
        <v>44531</v>
      </c>
      <c r="J304" s="4">
        <v>0</v>
      </c>
      <c r="K304" s="54">
        <v>0</v>
      </c>
      <c r="L304" s="4">
        <v>18.474</v>
      </c>
      <c r="M304" s="54">
        <v>18.474</v>
      </c>
      <c r="N304" s="4">
        <v>18.474</v>
      </c>
      <c r="O304" s="54">
        <v>18.474</v>
      </c>
      <c r="P304" s="4">
        <v>12</v>
      </c>
      <c r="Q304" s="3" t="s">
        <v>26</v>
      </c>
      <c r="R304" s="3">
        <v>0</v>
      </c>
      <c r="S304" s="3">
        <v>0</v>
      </c>
      <c r="T304" s="3">
        <v>35</v>
      </c>
      <c r="U304" s="3">
        <v>62</v>
      </c>
      <c r="V304" s="54">
        <f>IF(ISERROR(VLOOKUP($S$304,'TAR FIN'!$A$1:$O$91,15,0)),0,VLOOKUP($S$304,'TAR FIN'!$A$1:$O$91,15,0))</f>
        <v>0</v>
      </c>
      <c r="W304" s="54">
        <f>IF(ISERROR(VLOOKUP($T$304,'TAR FIN'!$A$1:$O$91,15,0)),0,VLOOKUP($T$304,'TAR FIN'!$A$1:$O$91,15,0))*(1-0.06)</f>
        <v>293.89099999999996</v>
      </c>
      <c r="X304" s="54">
        <f>IF(ISERROR(VLOOKUP($U$304,'TAR FIN'!$A$1:$O$91,15,0)),0,VLOOKUP($U$304,'TAR FIN'!$A$1:$O$91,15,0))*(1-0.06)</f>
        <v>234.29499999999999</v>
      </c>
      <c r="Y304" s="54"/>
      <c r="Z304" s="54">
        <f ca="1">('TUSD BE'!$AM$51+'TUSD BF'!$AM$51+'TUSD CVA'!$AM$51)*1*(1-0.03)</f>
        <v>376.10508465104562</v>
      </c>
      <c r="AA304" s="54">
        <f>('TE BE'!$AB$41+'TE BF'!$AB$41+'TE CVA'!$AB$41)*1*(1-0.03)</f>
        <v>197.28126009827187</v>
      </c>
      <c r="AB304" s="54">
        <f>(SUBSIDIO!$J$304*SUBSIDIO!$V$304)*(0.06)/(1-0.06)</f>
        <v>0</v>
      </c>
      <c r="AC304" s="54">
        <f>((SUBSIDIO!$L$304*SUBSIDIO!$W$304)+(SUBSIDIO!$N$304*SUBSIDIO!$X$304))*(0.06)/(1-0.06)</f>
        <v>622.83243600000003</v>
      </c>
      <c r="AD304" s="54">
        <f>(SUBSIDIO!$J$304*SUBSIDIO!$Y$304)*(0.03)/(1-0.03)</f>
        <v>0</v>
      </c>
      <c r="AE304" s="54">
        <f ca="1">((SUBSIDIO!$L$304*SUBSIDIO!$Z$304)+(SUBSIDIO!$N$304*SUBSIDIO!$AA$304))*(0.03)/(1-0.03)</f>
        <v>327.61049483192443</v>
      </c>
      <c r="AF304" s="3" t="s">
        <v>663</v>
      </c>
    </row>
    <row r="305" spans="1:32" ht="11.25" customHeight="1" x14ac:dyDescent="0.25">
      <c r="A305" s="3" t="s">
        <v>21</v>
      </c>
      <c r="B305" s="3" t="s">
        <v>33</v>
      </c>
      <c r="C305" s="3" t="s">
        <v>23</v>
      </c>
      <c r="D305" s="3" t="s">
        <v>46</v>
      </c>
      <c r="E305" s="3" t="s">
        <v>47</v>
      </c>
      <c r="F305" s="3" t="s">
        <v>25</v>
      </c>
      <c r="G305" s="3" t="s">
        <v>25</v>
      </c>
      <c r="H305" s="3" t="s">
        <v>25</v>
      </c>
      <c r="I305" s="6">
        <v>44562</v>
      </c>
      <c r="J305" s="4">
        <v>0</v>
      </c>
      <c r="K305" s="54">
        <v>0</v>
      </c>
      <c r="L305" s="4">
        <v>17.599</v>
      </c>
      <c r="M305" s="54">
        <v>17.599</v>
      </c>
      <c r="N305" s="4">
        <v>17.599</v>
      </c>
      <c r="O305" s="54">
        <v>17.599</v>
      </c>
      <c r="P305" s="4">
        <v>12</v>
      </c>
      <c r="Q305" s="3" t="s">
        <v>26</v>
      </c>
      <c r="R305" s="3">
        <v>0</v>
      </c>
      <c r="S305" s="3">
        <v>0</v>
      </c>
      <c r="T305" s="3">
        <v>35</v>
      </c>
      <c r="U305" s="3">
        <v>62</v>
      </c>
      <c r="V305" s="54">
        <f>IF(ISERROR(VLOOKUP($S$305,'TAR FIN'!$A$1:$O$91,15,0)),0,VLOOKUP($S$305,'TAR FIN'!$A$1:$O$91,15,0))</f>
        <v>0</v>
      </c>
      <c r="W305" s="54">
        <f>IF(ISERROR(VLOOKUP($T$305,'TAR FIN'!$A$1:$O$91,15,0)),0,VLOOKUP($T$305,'TAR FIN'!$A$1:$O$91,15,0))*(1-0.06)</f>
        <v>293.89099999999996</v>
      </c>
      <c r="X305" s="54">
        <f>IF(ISERROR(VLOOKUP($U$305,'TAR FIN'!$A$1:$O$91,15,0)),0,VLOOKUP($U$305,'TAR FIN'!$A$1:$O$91,15,0))*(1-0.06)</f>
        <v>234.29499999999999</v>
      </c>
      <c r="Y305" s="54"/>
      <c r="Z305" s="54">
        <f ca="1">('TUSD BE'!$AM$51+'TUSD BF'!$AM$51+'TUSD CVA'!$AM$51)*1*(1-0.03)</f>
        <v>376.10508465104562</v>
      </c>
      <c r="AA305" s="54">
        <f>('TE BE'!$AB$41+'TE BF'!$AB$41+'TE CVA'!$AB$41)*1*(1-0.03)</f>
        <v>197.28126009827187</v>
      </c>
      <c r="AB305" s="54">
        <f>(SUBSIDIO!$J$305*SUBSIDIO!$V$305)*(0.06)/(1-0.06)</f>
        <v>0</v>
      </c>
      <c r="AC305" s="54">
        <f>((SUBSIDIO!$L$305*SUBSIDIO!$W$305)+(SUBSIDIO!$N$305*SUBSIDIO!$X$305))*(0.06)/(1-0.06)</f>
        <v>593.33268599999997</v>
      </c>
      <c r="AD305" s="54">
        <f>(SUBSIDIO!$J$305*SUBSIDIO!$Y$305)*(0.03)/(1-0.03)</f>
        <v>0</v>
      </c>
      <c r="AE305" s="54">
        <f ca="1">((SUBSIDIO!$L$305*SUBSIDIO!$Z$305)+(SUBSIDIO!$N$305*SUBSIDIO!$AA$305))*(0.03)/(1-0.03)</f>
        <v>312.0935963271105</v>
      </c>
      <c r="AF305" s="3" t="s">
        <v>663</v>
      </c>
    </row>
    <row r="306" spans="1:32" ht="11.25" customHeight="1" x14ac:dyDescent="0.25">
      <c r="A306" s="3" t="s">
        <v>21</v>
      </c>
      <c r="B306" s="3" t="s">
        <v>33</v>
      </c>
      <c r="C306" s="3" t="s">
        <v>23</v>
      </c>
      <c r="D306" s="3" t="s">
        <v>46</v>
      </c>
      <c r="E306" s="3" t="s">
        <v>47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54">
        <v>0</v>
      </c>
      <c r="L306" s="4">
        <v>18.004000000000001</v>
      </c>
      <c r="M306" s="54">
        <v>18.004000000000001</v>
      </c>
      <c r="N306" s="4">
        <v>18.004000000000001</v>
      </c>
      <c r="O306" s="54">
        <v>18.004000000000001</v>
      </c>
      <c r="P306" s="4">
        <v>12</v>
      </c>
      <c r="Q306" s="3" t="s">
        <v>26</v>
      </c>
      <c r="R306" s="3">
        <v>0</v>
      </c>
      <c r="S306" s="3">
        <v>0</v>
      </c>
      <c r="T306" s="3">
        <v>35</v>
      </c>
      <c r="U306" s="3">
        <v>62</v>
      </c>
      <c r="V306" s="54">
        <f>IF(ISERROR(VLOOKUP($S$306,'TAR FIN'!$A$1:$O$91,15,0)),0,VLOOKUP($S$306,'TAR FIN'!$A$1:$O$91,15,0))</f>
        <v>0</v>
      </c>
      <c r="W306" s="54">
        <f>IF(ISERROR(VLOOKUP($T$306,'TAR FIN'!$A$1:$O$91,15,0)),0,VLOOKUP($T$306,'TAR FIN'!$A$1:$O$91,15,0))*(1-0.06)</f>
        <v>293.89099999999996</v>
      </c>
      <c r="X306" s="54">
        <f>IF(ISERROR(VLOOKUP($U$306,'TAR FIN'!$A$1:$O$91,15,0)),0,VLOOKUP($U$306,'TAR FIN'!$A$1:$O$91,15,0))*(1-0.06)</f>
        <v>234.29499999999999</v>
      </c>
      <c r="Y306" s="54"/>
      <c r="Z306" s="54">
        <f ca="1">('TUSD BE'!$AM$51+'TUSD BF'!$AM$51+'TUSD CVA'!$AM$51)*1*(1-0.03)</f>
        <v>376.10508465104562</v>
      </c>
      <c r="AA306" s="54">
        <f>('TE BE'!$AB$41+'TE BF'!$AB$41+'TE CVA'!$AB$41)*1*(1-0.03)</f>
        <v>197.28126009827187</v>
      </c>
      <c r="AB306" s="54">
        <f>(SUBSIDIO!$J$306*SUBSIDIO!$V$306)*(0.06)/(1-0.06)</f>
        <v>0</v>
      </c>
      <c r="AC306" s="54">
        <f>((SUBSIDIO!$L$306*SUBSIDIO!$W$306)+(SUBSIDIO!$N$306*SUBSIDIO!$X$306))*(0.06)/(1-0.06)</f>
        <v>606.9868560000001</v>
      </c>
      <c r="AD306" s="54">
        <f>(SUBSIDIO!$J$306*SUBSIDIO!$Y$306)*(0.03)/(1-0.03)</f>
        <v>0</v>
      </c>
      <c r="AE306" s="54">
        <f ca="1">((SUBSIDIO!$L$306*SUBSIDIO!$Z$306)+(SUBSIDIO!$N$306*SUBSIDIO!$AA$306))*(0.03)/(1-0.03)</f>
        <v>319.27570363505293</v>
      </c>
      <c r="AF306" s="3" t="s">
        <v>663</v>
      </c>
    </row>
    <row r="307" spans="1:32" ht="11.25" customHeight="1" x14ac:dyDescent="0.25">
      <c r="A307" s="3" t="s">
        <v>21</v>
      </c>
      <c r="B307" s="3" t="s">
        <v>33</v>
      </c>
      <c r="C307" s="3" t="s">
        <v>23</v>
      </c>
      <c r="D307" s="3" t="s">
        <v>46</v>
      </c>
      <c r="E307" s="3" t="s">
        <v>47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54">
        <v>0</v>
      </c>
      <c r="L307" s="4">
        <v>17.201000000000001</v>
      </c>
      <c r="M307" s="54">
        <v>17.201000000000001</v>
      </c>
      <c r="N307" s="4">
        <v>17.201000000000001</v>
      </c>
      <c r="O307" s="54">
        <v>17.201000000000001</v>
      </c>
      <c r="P307" s="4">
        <v>12</v>
      </c>
      <c r="Q307" s="3" t="s">
        <v>26</v>
      </c>
      <c r="R307" s="3">
        <v>0</v>
      </c>
      <c r="S307" s="3">
        <v>0</v>
      </c>
      <c r="T307" s="3">
        <v>35</v>
      </c>
      <c r="U307" s="3">
        <v>62</v>
      </c>
      <c r="V307" s="54">
        <f>IF(ISERROR(VLOOKUP($S$307,'TAR FIN'!$A$1:$O$91,15,0)),0,VLOOKUP($S$307,'TAR FIN'!$A$1:$O$91,15,0))</f>
        <v>0</v>
      </c>
      <c r="W307" s="54">
        <f>IF(ISERROR(VLOOKUP($T$307,'TAR FIN'!$A$1:$O$91,15,0)),0,VLOOKUP($T$307,'TAR FIN'!$A$1:$O$91,15,0))*(1-0.06)</f>
        <v>293.89099999999996</v>
      </c>
      <c r="X307" s="54">
        <f>IF(ISERROR(VLOOKUP($U$307,'TAR FIN'!$A$1:$O$91,15,0)),0,VLOOKUP($U$307,'TAR FIN'!$A$1:$O$91,15,0))*(1-0.06)</f>
        <v>234.29499999999999</v>
      </c>
      <c r="Y307" s="54"/>
      <c r="Z307" s="54">
        <f ca="1">('TUSD BE'!$AM$51+'TUSD BF'!$AM$51+'TUSD CVA'!$AM$51)*1*(1-0.03)</f>
        <v>376.10508465104562</v>
      </c>
      <c r="AA307" s="54">
        <f>('TE BE'!$AB$41+'TE BF'!$AB$41+'TE CVA'!$AB$41)*1*(1-0.03)</f>
        <v>197.28126009827187</v>
      </c>
      <c r="AB307" s="54">
        <f>(SUBSIDIO!$J$307*SUBSIDIO!$V$307)*(0.06)/(1-0.06)</f>
        <v>0</v>
      </c>
      <c r="AC307" s="54">
        <f>((SUBSIDIO!$L$307*SUBSIDIO!$W$307)+(SUBSIDIO!$N$307*SUBSIDIO!$X$307))*(0.06)/(1-0.06)</f>
        <v>579.91451400000005</v>
      </c>
      <c r="AD307" s="54">
        <f>(SUBSIDIO!$J$307*SUBSIDIO!$Y$307)*(0.03)/(1-0.03)</f>
        <v>0</v>
      </c>
      <c r="AE307" s="54">
        <f ca="1">((SUBSIDIO!$L$307*SUBSIDIO!$Z$307)+(SUBSIDIO!$N$307*SUBSIDIO!$AA$307))*(0.03)/(1-0.03)</f>
        <v>305.03562420720647</v>
      </c>
      <c r="AF307" s="3" t="s">
        <v>663</v>
      </c>
    </row>
    <row r="308" spans="1:32" ht="11.25" customHeight="1" x14ac:dyDescent="0.25">
      <c r="A308" s="3" t="s">
        <v>21</v>
      </c>
      <c r="B308" s="3" t="s">
        <v>33</v>
      </c>
      <c r="C308" s="3" t="s">
        <v>23</v>
      </c>
      <c r="D308" s="3" t="s">
        <v>46</v>
      </c>
      <c r="E308" s="3" t="s">
        <v>47</v>
      </c>
      <c r="F308" s="3" t="s">
        <v>25</v>
      </c>
      <c r="G308" s="3" t="s">
        <v>25</v>
      </c>
      <c r="H308" s="3" t="s">
        <v>25</v>
      </c>
      <c r="I308" s="6">
        <v>44652</v>
      </c>
      <c r="J308" s="4">
        <v>0</v>
      </c>
      <c r="K308" s="54">
        <v>0</v>
      </c>
      <c r="L308" s="4">
        <v>19.294</v>
      </c>
      <c r="M308" s="54">
        <v>19.294</v>
      </c>
      <c r="N308" s="4">
        <v>19.294</v>
      </c>
      <c r="O308" s="54">
        <v>19.294</v>
      </c>
      <c r="P308" s="4">
        <v>12</v>
      </c>
      <c r="Q308" s="3" t="s">
        <v>26</v>
      </c>
      <c r="R308" s="3">
        <v>0</v>
      </c>
      <c r="S308" s="3">
        <v>0</v>
      </c>
      <c r="T308" s="3">
        <v>35</v>
      </c>
      <c r="U308" s="3">
        <v>62</v>
      </c>
      <c r="V308" s="54">
        <f>IF(ISERROR(VLOOKUP($S$308,'TAR FIN'!$A$1:$O$91,15,0)),0,VLOOKUP($S$308,'TAR FIN'!$A$1:$O$91,15,0))</f>
        <v>0</v>
      </c>
      <c r="W308" s="54">
        <f>IF(ISERROR(VLOOKUP($T$308,'TAR FIN'!$A$1:$O$91,15,0)),0,VLOOKUP($T$308,'TAR FIN'!$A$1:$O$91,15,0))*(1-0.06)</f>
        <v>293.89099999999996</v>
      </c>
      <c r="X308" s="54">
        <f>IF(ISERROR(VLOOKUP($U$308,'TAR FIN'!$A$1:$O$91,15,0)),0,VLOOKUP($U$308,'TAR FIN'!$A$1:$O$91,15,0))*(1-0.06)</f>
        <v>234.29499999999999</v>
      </c>
      <c r="Y308" s="54"/>
      <c r="Z308" s="54">
        <f ca="1">('TUSD BE'!$AM$51+'TUSD BF'!$AM$51+'TUSD CVA'!$AM$51)*1*(1-0.03)</f>
        <v>376.10508465104562</v>
      </c>
      <c r="AA308" s="54">
        <f>('TE BE'!$AB$41+'TE BF'!$AB$41+'TE CVA'!$AB$41)*1*(1-0.03)</f>
        <v>197.28126009827187</v>
      </c>
      <c r="AB308" s="54">
        <f>(SUBSIDIO!$J$308*SUBSIDIO!$V$308)*(0.06)/(1-0.06)</f>
        <v>0</v>
      </c>
      <c r="AC308" s="54">
        <f>((SUBSIDIO!$L$308*SUBSIDIO!$W$308)+(SUBSIDIO!$N$308*SUBSIDIO!$X$308))*(0.06)/(1-0.06)</f>
        <v>650.47791599999982</v>
      </c>
      <c r="AD308" s="54">
        <f>(SUBSIDIO!$J$308*SUBSIDIO!$Y$308)*(0.03)/(1-0.03)</f>
        <v>0</v>
      </c>
      <c r="AE308" s="54">
        <f ca="1">((SUBSIDIO!$L$308*SUBSIDIO!$Z$308)+(SUBSIDIO!$N$308*SUBSIDIO!$AA$308))*(0.03)/(1-0.03)</f>
        <v>342.15204543072161</v>
      </c>
      <c r="AF308" s="3" t="s">
        <v>663</v>
      </c>
    </row>
    <row r="309" spans="1:32" ht="11.25" customHeight="1" x14ac:dyDescent="0.25">
      <c r="A309" s="3" t="s">
        <v>21</v>
      </c>
      <c r="B309" s="3" t="s">
        <v>33</v>
      </c>
      <c r="C309" s="3" t="s">
        <v>23</v>
      </c>
      <c r="D309" s="3" t="s">
        <v>46</v>
      </c>
      <c r="E309" s="3" t="s">
        <v>47</v>
      </c>
      <c r="F309" s="3" t="s">
        <v>25</v>
      </c>
      <c r="G309" s="3" t="s">
        <v>25</v>
      </c>
      <c r="H309" s="3" t="s">
        <v>25</v>
      </c>
      <c r="I309" s="6">
        <v>44682</v>
      </c>
      <c r="J309" s="4">
        <v>0</v>
      </c>
      <c r="K309" s="54">
        <v>0</v>
      </c>
      <c r="L309" s="4">
        <v>18.248999999999999</v>
      </c>
      <c r="M309" s="54">
        <v>18.248999999999999</v>
      </c>
      <c r="N309" s="4">
        <v>18.248999999999999</v>
      </c>
      <c r="O309" s="54">
        <v>18.248999999999999</v>
      </c>
      <c r="P309" s="4">
        <v>12</v>
      </c>
      <c r="Q309" s="3" t="s">
        <v>26</v>
      </c>
      <c r="R309" s="3">
        <v>0</v>
      </c>
      <c r="S309" s="3">
        <v>0</v>
      </c>
      <c r="T309" s="3">
        <v>35</v>
      </c>
      <c r="U309" s="3">
        <v>62</v>
      </c>
      <c r="V309" s="54">
        <f>IF(ISERROR(VLOOKUP($S$309,'TAR FIN'!$A$1:$O$91,15,0)),0,VLOOKUP($S$309,'TAR FIN'!$A$1:$O$91,15,0))</f>
        <v>0</v>
      </c>
      <c r="W309" s="54">
        <f>IF(ISERROR(VLOOKUP($T$309,'TAR FIN'!$A$1:$O$91,15,0)),0,VLOOKUP($T$309,'TAR FIN'!$A$1:$O$91,15,0))*(1-0.06)</f>
        <v>293.89099999999996</v>
      </c>
      <c r="X309" s="54">
        <f>IF(ISERROR(VLOOKUP($U$309,'TAR FIN'!$A$1:$O$91,15,0)),0,VLOOKUP($U$309,'TAR FIN'!$A$1:$O$91,15,0))*(1-0.06)</f>
        <v>234.29499999999999</v>
      </c>
      <c r="Y309" s="54"/>
      <c r="Z309" s="54">
        <f ca="1">('TUSD BE'!$AM$51+'TUSD BF'!$AM$51+'TUSD CVA'!$AM$51)*1*(1-0.03)</f>
        <v>376.10508465104562</v>
      </c>
      <c r="AA309" s="54">
        <f>('TE BE'!$AB$41+'TE BF'!$AB$41+'TE CVA'!$AB$41)*1*(1-0.03)</f>
        <v>197.28126009827187</v>
      </c>
      <c r="AB309" s="54">
        <f>(SUBSIDIO!$J$309*SUBSIDIO!$V$309)*(0.06)/(1-0.06)</f>
        <v>0</v>
      </c>
      <c r="AC309" s="54">
        <f>((SUBSIDIO!$L$309*SUBSIDIO!$W$309)+(SUBSIDIO!$N$309*SUBSIDIO!$X$309))*(0.06)/(1-0.06)</f>
        <v>615.24678599999993</v>
      </c>
      <c r="AD309" s="54">
        <f>(SUBSIDIO!$J$309*SUBSIDIO!$Y$309)*(0.03)/(1-0.03)</f>
        <v>0</v>
      </c>
      <c r="AE309" s="54">
        <f ca="1">((SUBSIDIO!$L$309*SUBSIDIO!$Z$309)+(SUBSIDIO!$N$309*SUBSIDIO!$AA$309))*(0.03)/(1-0.03)</f>
        <v>323.62043521640084</v>
      </c>
      <c r="AF309" s="3" t="s">
        <v>663</v>
      </c>
    </row>
    <row r="310" spans="1:32" ht="11.25" customHeight="1" x14ac:dyDescent="0.25">
      <c r="A310" s="3" t="s">
        <v>21</v>
      </c>
      <c r="B310" s="3" t="s">
        <v>33</v>
      </c>
      <c r="C310" s="3" t="s">
        <v>23</v>
      </c>
      <c r="D310" s="3" t="s">
        <v>46</v>
      </c>
      <c r="E310" s="3" t="s">
        <v>47</v>
      </c>
      <c r="F310" s="3" t="s">
        <v>25</v>
      </c>
      <c r="G310" s="3" t="s">
        <v>25</v>
      </c>
      <c r="H310" s="3" t="s">
        <v>25</v>
      </c>
      <c r="I310" s="6">
        <v>44713</v>
      </c>
      <c r="J310" s="4">
        <v>0</v>
      </c>
      <c r="K310" s="54">
        <v>0</v>
      </c>
      <c r="L310" s="4">
        <v>19.920999999999999</v>
      </c>
      <c r="M310" s="54">
        <v>19.920999999999999</v>
      </c>
      <c r="N310" s="4">
        <v>19.920999999999999</v>
      </c>
      <c r="O310" s="54">
        <v>19.920999999999999</v>
      </c>
      <c r="P310" s="4">
        <v>12</v>
      </c>
      <c r="Q310" s="3" t="s">
        <v>26</v>
      </c>
      <c r="R310" s="3">
        <v>0</v>
      </c>
      <c r="S310" s="3">
        <v>0</v>
      </c>
      <c r="T310" s="3">
        <v>35</v>
      </c>
      <c r="U310" s="3">
        <v>62</v>
      </c>
      <c r="V310" s="54">
        <f>IF(ISERROR(VLOOKUP($S$310,'TAR FIN'!$A$1:$O$91,15,0)),0,VLOOKUP($S$310,'TAR FIN'!$A$1:$O$91,15,0))</f>
        <v>0</v>
      </c>
      <c r="W310" s="54">
        <f>IF(ISERROR(VLOOKUP($T$310,'TAR FIN'!$A$1:$O$91,15,0)),0,VLOOKUP($T$310,'TAR FIN'!$A$1:$O$91,15,0))*(1-0.06)</f>
        <v>293.89099999999996</v>
      </c>
      <c r="X310" s="54">
        <f>IF(ISERROR(VLOOKUP($U$310,'TAR FIN'!$A$1:$O$91,15,0)),0,VLOOKUP($U$310,'TAR FIN'!$A$1:$O$91,15,0))*(1-0.06)</f>
        <v>234.29499999999999</v>
      </c>
      <c r="Y310" s="54"/>
      <c r="Z310" s="54">
        <f ca="1">('TUSD BE'!$AM$51+'TUSD BF'!$AM$51+'TUSD CVA'!$AM$51)*1*(1-0.03)</f>
        <v>376.10508465104562</v>
      </c>
      <c r="AA310" s="54">
        <f>('TE BE'!$AB$41+'TE BF'!$AB$41+'TE CVA'!$AB$41)*1*(1-0.03)</f>
        <v>197.28126009827187</v>
      </c>
      <c r="AB310" s="54">
        <f>(SUBSIDIO!$J$310*SUBSIDIO!$V$310)*(0.06)/(1-0.06)</f>
        <v>0</v>
      </c>
      <c r="AC310" s="54">
        <f>((SUBSIDIO!$L$310*SUBSIDIO!$W$310)+(SUBSIDIO!$N$310*SUBSIDIO!$X$310))*(0.06)/(1-0.06)</f>
        <v>671.61659400000008</v>
      </c>
      <c r="AD310" s="54">
        <f>(SUBSIDIO!$J$310*SUBSIDIO!$Y$310)*(0.03)/(1-0.03)</f>
        <v>0</v>
      </c>
      <c r="AE310" s="54">
        <f ca="1">((SUBSIDIO!$L$310*SUBSIDIO!$Z$310)+(SUBSIDIO!$N$310*SUBSIDIO!$AA$310))*(0.03)/(1-0.03)</f>
        <v>353.27101155931405</v>
      </c>
      <c r="AF310" s="3" t="s">
        <v>663</v>
      </c>
    </row>
    <row r="311" spans="1:32" ht="11.25" customHeight="1" x14ac:dyDescent="0.25">
      <c r="A311" s="3" t="s">
        <v>21</v>
      </c>
      <c r="B311" s="3" t="s">
        <v>33</v>
      </c>
      <c r="C311" s="3" t="s">
        <v>23</v>
      </c>
      <c r="D311" s="3" t="s">
        <v>46</v>
      </c>
      <c r="E311" s="3" t="s">
        <v>47</v>
      </c>
      <c r="F311" s="3" t="s">
        <v>25</v>
      </c>
      <c r="G311" s="3" t="s">
        <v>25</v>
      </c>
      <c r="H311" s="3" t="s">
        <v>25</v>
      </c>
      <c r="I311" s="6">
        <v>44743</v>
      </c>
      <c r="J311" s="4">
        <v>0</v>
      </c>
      <c r="K311" s="54">
        <v>0</v>
      </c>
      <c r="L311" s="4">
        <v>19.454999999999998</v>
      </c>
      <c r="M311" s="54">
        <v>19.454999999999998</v>
      </c>
      <c r="N311" s="4">
        <v>19.454999999999998</v>
      </c>
      <c r="O311" s="54">
        <v>19.454999999999998</v>
      </c>
      <c r="P311" s="4">
        <v>12</v>
      </c>
      <c r="Q311" s="3" t="s">
        <v>26</v>
      </c>
      <c r="R311" s="3">
        <v>0</v>
      </c>
      <c r="S311" s="3">
        <v>0</v>
      </c>
      <c r="T311" s="3">
        <v>35</v>
      </c>
      <c r="U311" s="3">
        <v>62</v>
      </c>
      <c r="V311" s="54">
        <f>IF(ISERROR(VLOOKUP($S$311,'TAR FIN'!$A$1:$O$91,15,0)),0,VLOOKUP($S$311,'TAR FIN'!$A$1:$O$91,15,0))</f>
        <v>0</v>
      </c>
      <c r="W311" s="54">
        <f>IF(ISERROR(VLOOKUP($T$311,'TAR FIN'!$A$1:$O$91,15,0)),0,VLOOKUP($T$311,'TAR FIN'!$A$1:$O$91,15,0))*(1-0.06)</f>
        <v>293.89099999999996</v>
      </c>
      <c r="X311" s="54">
        <f>IF(ISERROR(VLOOKUP($U$311,'TAR FIN'!$A$1:$O$91,15,0)),0,VLOOKUP($U$311,'TAR FIN'!$A$1:$O$91,15,0))*(1-0.06)</f>
        <v>234.29499999999999</v>
      </c>
      <c r="Y311" s="54"/>
      <c r="Z311" s="54">
        <f ca="1">('TUSD BE'!$AM$51+'TUSD BF'!$AM$51+'TUSD CVA'!$AM$51)*1*(1-0.03)</f>
        <v>376.10508465104562</v>
      </c>
      <c r="AA311" s="54">
        <f>('TE BE'!$AB$41+'TE BF'!$AB$41+'TE CVA'!$AB$41)*1*(1-0.03)</f>
        <v>197.28126009827187</v>
      </c>
      <c r="AB311" s="54">
        <f>(SUBSIDIO!$J$311*SUBSIDIO!$V$311)*(0.06)/(1-0.06)</f>
        <v>0</v>
      </c>
      <c r="AC311" s="54">
        <f>((SUBSIDIO!$L$311*SUBSIDIO!$W$311)+(SUBSIDIO!$N$311*SUBSIDIO!$X$311))*(0.06)/(1-0.06)</f>
        <v>655.90586999999994</v>
      </c>
      <c r="AD311" s="54">
        <f>(SUBSIDIO!$J$311*SUBSIDIO!$Y$311)*(0.03)/(1-0.03)</f>
        <v>0</v>
      </c>
      <c r="AE311" s="54">
        <f ca="1">((SUBSIDIO!$L$311*SUBSIDIO!$Z$311)+(SUBSIDIO!$N$311*SUBSIDIO!$AA$311))*(0.03)/(1-0.03)</f>
        <v>345.00715475560736</v>
      </c>
      <c r="AF311" s="3" t="s">
        <v>663</v>
      </c>
    </row>
    <row r="312" spans="1:32" ht="11.25" customHeight="1" x14ac:dyDescent="0.25">
      <c r="A312" s="3" t="s">
        <v>21</v>
      </c>
      <c r="B312" s="3" t="s">
        <v>33</v>
      </c>
      <c r="C312" s="3" t="s">
        <v>23</v>
      </c>
      <c r="D312" s="3" t="s">
        <v>46</v>
      </c>
      <c r="E312" s="3" t="s">
        <v>47</v>
      </c>
      <c r="F312" s="3" t="s">
        <v>25</v>
      </c>
      <c r="G312" s="3" t="s">
        <v>25</v>
      </c>
      <c r="H312" s="3" t="s">
        <v>25</v>
      </c>
      <c r="I312" s="6">
        <v>44774</v>
      </c>
      <c r="J312" s="4">
        <v>0</v>
      </c>
      <c r="K312" s="54">
        <v>0</v>
      </c>
      <c r="L312" s="4">
        <v>19.423999999999999</v>
      </c>
      <c r="M312" s="54">
        <v>19.423999999999999</v>
      </c>
      <c r="N312" s="4">
        <v>19.423999999999999</v>
      </c>
      <c r="O312" s="54">
        <v>19.423999999999999</v>
      </c>
      <c r="P312" s="4">
        <v>12</v>
      </c>
      <c r="Q312" s="3" t="s">
        <v>26</v>
      </c>
      <c r="R312" s="3">
        <v>0</v>
      </c>
      <c r="S312" s="3">
        <v>0</v>
      </c>
      <c r="T312" s="3">
        <v>35</v>
      </c>
      <c r="U312" s="3">
        <v>62</v>
      </c>
      <c r="V312" s="54">
        <f>IF(ISERROR(VLOOKUP($S$312,'TAR FIN'!$A$1:$O$91,15,0)),0,VLOOKUP($S$312,'TAR FIN'!$A$1:$O$91,15,0))</f>
        <v>0</v>
      </c>
      <c r="W312" s="54">
        <f>IF(ISERROR(VLOOKUP($T$312,'TAR FIN'!$A$1:$O$91,15,0)),0,VLOOKUP($T$312,'TAR FIN'!$A$1:$O$91,15,0))*(1-0.06)</f>
        <v>293.89099999999996</v>
      </c>
      <c r="X312" s="54">
        <f>IF(ISERROR(VLOOKUP($U$312,'TAR FIN'!$A$1:$O$91,15,0)),0,VLOOKUP($U$312,'TAR FIN'!$A$1:$O$91,15,0))*(1-0.06)</f>
        <v>234.29499999999999</v>
      </c>
      <c r="Y312" s="54"/>
      <c r="Z312" s="54">
        <f ca="1">('TUSD BE'!$AM$51+'TUSD BF'!$AM$51+'TUSD CVA'!$AM$51)*1*(1-0.03)</f>
        <v>376.10508465104562</v>
      </c>
      <c r="AA312" s="54">
        <f>('TE BE'!$AB$41+'TE BF'!$AB$41+'TE CVA'!$AB$41)*1*(1-0.03)</f>
        <v>197.28126009827187</v>
      </c>
      <c r="AB312" s="54">
        <f>(SUBSIDIO!$J$312*SUBSIDIO!$V$312)*(0.06)/(1-0.06)</f>
        <v>0</v>
      </c>
      <c r="AC312" s="54">
        <f>((SUBSIDIO!$L$312*SUBSIDIO!$W$312)+(SUBSIDIO!$N$312*SUBSIDIO!$X$312))*(0.06)/(1-0.06)</f>
        <v>654.86073599999986</v>
      </c>
      <c r="AD312" s="54">
        <f>(SUBSIDIO!$J$312*SUBSIDIO!$Y$312)*(0.03)/(1-0.03)</f>
        <v>0</v>
      </c>
      <c r="AE312" s="54">
        <f ca="1">((SUBSIDIO!$L$312*SUBSIDIO!$Z$312)+(SUBSIDIO!$N$312*SUBSIDIO!$AA$312))*(0.03)/(1-0.03)</f>
        <v>344.45741320857962</v>
      </c>
      <c r="AF312" s="3" t="s">
        <v>663</v>
      </c>
    </row>
    <row r="313" spans="1:32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2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2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2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2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2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2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2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2:31" ht="11.25" customHeight="1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22:31" ht="11.25" customHeight="1" x14ac:dyDescent="0.25"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22:31" ht="11.25" customHeight="1" x14ac:dyDescent="0.25"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22:31" ht="11.25" customHeight="1" x14ac:dyDescent="0.25"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22:31" ht="11.25" customHeight="1" x14ac:dyDescent="0.25"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22:31" ht="11.25" customHeight="1" x14ac:dyDescent="0.25"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22:31" ht="11.25" customHeight="1" x14ac:dyDescent="0.25"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22:31" ht="11.25" customHeight="1" x14ac:dyDescent="0.25"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22:31" ht="11.25" customHeight="1" x14ac:dyDescent="0.25"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22:31" ht="11.25" customHeight="1" x14ac:dyDescent="0.25"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22:31" ht="11.25" customHeight="1" x14ac:dyDescent="0.25"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22:31" ht="11.25" customHeight="1" x14ac:dyDescent="0.25"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22:31" ht="11.25" customHeight="1" x14ac:dyDescent="0.25"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22:31" ht="11.25" customHeight="1" x14ac:dyDescent="0.25"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22:31" ht="11.25" customHeight="1" x14ac:dyDescent="0.25"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22:31" ht="11.25" customHeight="1" x14ac:dyDescent="0.25"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22:31" ht="11.25" customHeight="1" x14ac:dyDescent="0.25"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22:31" ht="11.25" customHeight="1" x14ac:dyDescent="0.25"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22:31" ht="11.25" customHeight="1" x14ac:dyDescent="0.25"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22:31" ht="11.25" customHeight="1" x14ac:dyDescent="0.25"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22:31" ht="11.25" customHeight="1" x14ac:dyDescent="0.25"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22:31" ht="11.25" customHeight="1" x14ac:dyDescent="0.25"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22:31" ht="11.25" customHeight="1" x14ac:dyDescent="0.25"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22:31" ht="11.25" customHeight="1" x14ac:dyDescent="0.25"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22:31" ht="11.25" customHeight="1" x14ac:dyDescent="0.25"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22:31" ht="11.25" customHeight="1" x14ac:dyDescent="0.25"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22:31" ht="11.25" customHeight="1" x14ac:dyDescent="0.25"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22:31" ht="11.25" customHeight="1" x14ac:dyDescent="0.25"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22:31" ht="11.25" customHeight="1" x14ac:dyDescent="0.25"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22:31" ht="11.25" customHeight="1" x14ac:dyDescent="0.25"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22:31" ht="11.25" customHeight="1" x14ac:dyDescent="0.25"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22:31" ht="11.25" customHeight="1" x14ac:dyDescent="0.25"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22:31" ht="11.25" customHeight="1" x14ac:dyDescent="0.25"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22:31" ht="11.25" customHeight="1" x14ac:dyDescent="0.25"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22:31" ht="11.25" customHeight="1" x14ac:dyDescent="0.25"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22:31" ht="11.25" customHeight="1" x14ac:dyDescent="0.25"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22:31" ht="11.25" customHeight="1" x14ac:dyDescent="0.25"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22:31" ht="11.25" customHeight="1" x14ac:dyDescent="0.25"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22:31" ht="11.25" customHeight="1" x14ac:dyDescent="0.25"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22:31" ht="11.25" customHeight="1" x14ac:dyDescent="0.25"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22:31" ht="11.25" customHeight="1" x14ac:dyDescent="0.25"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22:31" ht="11.25" customHeight="1" x14ac:dyDescent="0.25"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22:31" ht="11.25" customHeight="1" x14ac:dyDescent="0.25"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22:31" ht="11.25" customHeight="1" x14ac:dyDescent="0.25"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22:31" ht="11.25" customHeight="1" x14ac:dyDescent="0.25"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22:31" ht="11.25" customHeight="1" x14ac:dyDescent="0.25"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22:31" ht="11.25" customHeight="1" x14ac:dyDescent="0.25"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22:31" ht="11.25" customHeight="1" x14ac:dyDescent="0.25"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22:31" ht="11.25" customHeight="1" x14ac:dyDescent="0.25"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22:31" ht="11.25" customHeight="1" x14ac:dyDescent="0.25"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22:31" ht="11.25" customHeight="1" x14ac:dyDescent="0.25"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22:31" ht="11.25" customHeight="1" x14ac:dyDescent="0.25"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22:31" ht="11.25" customHeight="1" x14ac:dyDescent="0.25"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22:31" ht="11.25" customHeight="1" x14ac:dyDescent="0.25"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22:31" ht="11.25" customHeight="1" x14ac:dyDescent="0.25"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22:31" ht="11.25" customHeight="1" x14ac:dyDescent="0.25"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22:31" ht="11.25" customHeight="1" x14ac:dyDescent="0.25"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22:31" ht="11.25" customHeight="1" x14ac:dyDescent="0.25"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22:31" ht="11.25" customHeight="1" x14ac:dyDescent="0.25"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22:31" ht="11.25" customHeight="1" x14ac:dyDescent="0.25"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22:31" ht="11.25" customHeight="1" x14ac:dyDescent="0.25"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22:31" ht="11.25" customHeight="1" x14ac:dyDescent="0.25"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22:31" ht="11.25" customHeight="1" x14ac:dyDescent="0.25"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22:31" ht="11.25" customHeight="1" x14ac:dyDescent="0.25"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22:31" ht="11.25" customHeight="1" x14ac:dyDescent="0.25"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22:31" ht="11.25" customHeight="1" x14ac:dyDescent="0.25"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22:31" ht="11.25" customHeight="1" x14ac:dyDescent="0.25"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22:31" ht="11.25" customHeight="1" x14ac:dyDescent="0.25"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22:31" ht="11.25" customHeight="1" x14ac:dyDescent="0.25"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22:31" ht="11.25" customHeight="1" x14ac:dyDescent="0.25"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22:31" ht="11.25" customHeight="1" x14ac:dyDescent="0.25"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22:31" ht="11.25" customHeight="1" x14ac:dyDescent="0.25"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22:31" ht="11.25" customHeight="1" x14ac:dyDescent="0.25"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22:31" ht="11.25" customHeight="1" x14ac:dyDescent="0.25"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22:31" ht="11.25" customHeight="1" x14ac:dyDescent="0.25"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22:31" ht="11.25" customHeight="1" x14ac:dyDescent="0.25"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22:31" ht="11.25" customHeight="1" x14ac:dyDescent="0.25"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22:31" ht="11.25" customHeight="1" x14ac:dyDescent="0.25"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22:31" ht="11.25" customHeight="1" x14ac:dyDescent="0.25"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22:31" ht="11.25" customHeight="1" x14ac:dyDescent="0.25"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22:31" ht="11.25" customHeight="1" x14ac:dyDescent="0.25"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22:31" ht="11.25" customHeight="1" x14ac:dyDescent="0.25"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22:31" ht="11.25" customHeight="1" x14ac:dyDescent="0.25"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22:31" ht="11.25" customHeight="1" x14ac:dyDescent="0.25"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22:31" ht="11.25" customHeight="1" x14ac:dyDescent="0.25"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22:31" ht="11.25" customHeight="1" x14ac:dyDescent="0.25"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22:31" ht="11.25" customHeight="1" x14ac:dyDescent="0.25"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22:31" ht="11.25" customHeight="1" x14ac:dyDescent="0.25"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22:31" ht="11.25" customHeight="1" x14ac:dyDescent="0.25"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22:31" ht="11.25" customHeight="1" x14ac:dyDescent="0.25"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22:31" ht="11.25" customHeight="1" x14ac:dyDescent="0.25"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22:31" ht="11.25" customHeight="1" x14ac:dyDescent="0.25"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22:31" ht="11.25" customHeight="1" x14ac:dyDescent="0.25"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22:31" ht="11.25" customHeight="1" x14ac:dyDescent="0.25"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22:31" ht="11.25" customHeight="1" x14ac:dyDescent="0.25"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22:31" ht="11.25" customHeight="1" x14ac:dyDescent="0.25"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22:31" ht="11.25" customHeight="1" x14ac:dyDescent="0.25"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22:31" ht="11.25" customHeight="1" x14ac:dyDescent="0.25"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22:31" ht="11.25" customHeight="1" x14ac:dyDescent="0.25"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3758-AEAB-4058-9421-789C4579DEBA}">
  <sheetPr codeName="Planilha18"/>
  <dimension ref="A1:J625"/>
  <sheetViews>
    <sheetView showGridLines="0" workbookViewId="0">
      <selection activeCell="I12" sqref="I12"/>
    </sheetView>
  </sheetViews>
  <sheetFormatPr defaultRowHeight="11.25" customHeight="1" x14ac:dyDescent="0.2"/>
  <cols>
    <col min="1" max="1" width="14.7109375" style="14" bestFit="1" customWidth="1"/>
    <col min="2" max="2" width="24.5703125" style="40" bestFit="1" customWidth="1"/>
    <col min="3" max="3" width="25.5703125" style="40" bestFit="1" customWidth="1"/>
    <col min="4" max="4" width="26" style="40" bestFit="1" customWidth="1"/>
    <col min="5" max="5" width="26.85546875" style="40" bestFit="1" customWidth="1"/>
    <col min="6" max="6" width="23.7109375" style="40" bestFit="1" customWidth="1"/>
    <col min="7" max="7" width="24.5703125" style="40" bestFit="1" customWidth="1"/>
    <col min="8" max="8" width="18.28515625" style="41" bestFit="1" customWidth="1"/>
    <col min="9" max="9" width="16" style="41" bestFit="1" customWidth="1"/>
    <col min="10" max="10" width="13.85546875" style="41" bestFit="1" customWidth="1"/>
    <col min="11" max="16384" width="9.140625" style="14"/>
  </cols>
  <sheetData>
    <row r="1" spans="1:10" ht="11.25" customHeight="1" x14ac:dyDescent="0.2">
      <c r="A1" s="61" t="s">
        <v>648</v>
      </c>
      <c r="B1" s="62" t="s">
        <v>649</v>
      </c>
      <c r="C1" s="62" t="s">
        <v>650</v>
      </c>
      <c r="D1" s="62" t="s">
        <v>651</v>
      </c>
      <c r="E1" s="62" t="s">
        <v>652</v>
      </c>
      <c r="F1" s="62" t="s">
        <v>653</v>
      </c>
      <c r="G1" s="62" t="s">
        <v>654</v>
      </c>
      <c r="H1" s="63" t="s">
        <v>655</v>
      </c>
      <c r="I1" s="63" t="s">
        <v>656</v>
      </c>
      <c r="J1" s="63" t="s">
        <v>657</v>
      </c>
    </row>
    <row r="2" spans="1:10" ht="11.25" customHeight="1" x14ac:dyDescent="0.2">
      <c r="A2" s="64" t="s">
        <v>26</v>
      </c>
      <c r="B2" s="62">
        <v>3657695.2320000017</v>
      </c>
      <c r="C2" s="62">
        <v>4292661.818365803</v>
      </c>
      <c r="D2" s="62">
        <v>32890604.869916845</v>
      </c>
      <c r="E2" s="62">
        <v>41047741.713372543</v>
      </c>
      <c r="F2" s="62">
        <v>31748695.493457973</v>
      </c>
      <c r="G2" s="62">
        <v>17534129.633252934</v>
      </c>
      <c r="H2" s="63">
        <v>0.24056121366258498</v>
      </c>
      <c r="I2" s="63">
        <v>-0.44772125718154443</v>
      </c>
      <c r="J2" s="63">
        <v>-7.939532893231338E-2</v>
      </c>
    </row>
    <row r="3" spans="1:10" ht="11.25" customHeight="1" x14ac:dyDescent="0.2">
      <c r="A3" s="64" t="s">
        <v>62</v>
      </c>
      <c r="B3" s="62">
        <v>100751.20000000001</v>
      </c>
      <c r="C3" s="62">
        <v>101742.0989395069</v>
      </c>
      <c r="D3" s="62">
        <v>0</v>
      </c>
      <c r="E3" s="62">
        <v>0</v>
      </c>
      <c r="F3" s="62">
        <v>0</v>
      </c>
      <c r="G3" s="62">
        <v>0</v>
      </c>
      <c r="H3" s="63">
        <v>9.8351080632974597E-3</v>
      </c>
      <c r="I3" s="63">
        <v>0</v>
      </c>
      <c r="J3" s="63">
        <v>9.8351080632974597E-3</v>
      </c>
    </row>
    <row r="4" spans="1:10" ht="11.25" customHeight="1" x14ac:dyDescent="0.2">
      <c r="A4" s="65" t="s">
        <v>35</v>
      </c>
      <c r="B4" s="62">
        <v>100751.20000000001</v>
      </c>
      <c r="C4" s="62">
        <v>101742.0989395069</v>
      </c>
      <c r="D4" s="62">
        <v>0</v>
      </c>
      <c r="E4" s="62">
        <v>0</v>
      </c>
      <c r="F4" s="62">
        <v>0</v>
      </c>
      <c r="G4" s="62">
        <v>0</v>
      </c>
      <c r="H4" s="63">
        <v>9.8351080632974597E-3</v>
      </c>
      <c r="I4" s="63">
        <v>0</v>
      </c>
      <c r="J4" s="63">
        <v>9.8351080632974597E-3</v>
      </c>
    </row>
    <row r="5" spans="1:10" ht="11.25" customHeight="1" x14ac:dyDescent="0.2">
      <c r="A5" s="64" t="s">
        <v>55</v>
      </c>
      <c r="B5" s="62">
        <v>69696</v>
      </c>
      <c r="C5" s="62">
        <v>81708.801951568807</v>
      </c>
      <c r="D5" s="62">
        <v>2146.7138399999999</v>
      </c>
      <c r="E5" s="62">
        <v>2101.7730132191177</v>
      </c>
      <c r="F5" s="62">
        <v>0</v>
      </c>
      <c r="G5" s="62">
        <v>0</v>
      </c>
      <c r="H5" s="63">
        <v>0.1665842015857224</v>
      </c>
      <c r="I5" s="63">
        <v>0</v>
      </c>
      <c r="J5" s="63">
        <v>0.1665842015857224</v>
      </c>
    </row>
    <row r="6" spans="1:10" ht="11.25" customHeight="1" x14ac:dyDescent="0.2">
      <c r="A6" s="65" t="s">
        <v>35</v>
      </c>
      <c r="B6" s="62">
        <v>69696</v>
      </c>
      <c r="C6" s="62">
        <v>81708.801951568807</v>
      </c>
      <c r="D6" s="62">
        <v>2146.7138399999999</v>
      </c>
      <c r="E6" s="62">
        <v>2101.7730132191177</v>
      </c>
      <c r="F6" s="62">
        <v>0</v>
      </c>
      <c r="G6" s="62">
        <v>0</v>
      </c>
      <c r="H6" s="63">
        <v>0.1665842015857224</v>
      </c>
      <c r="I6" s="63">
        <v>0</v>
      </c>
      <c r="J6" s="63">
        <v>0.1665842015857224</v>
      </c>
    </row>
    <row r="7" spans="1:10" ht="11.25" customHeight="1" x14ac:dyDescent="0.2">
      <c r="A7" s="64" t="s">
        <v>59</v>
      </c>
      <c r="B7" s="62">
        <v>524290.18799999997</v>
      </c>
      <c r="C7" s="62">
        <v>613591.67280693224</v>
      </c>
      <c r="D7" s="62">
        <v>19703.678063999992</v>
      </c>
      <c r="E7" s="62">
        <v>11165.571078116245</v>
      </c>
      <c r="F7" s="62">
        <v>323341.94699084392</v>
      </c>
      <c r="G7" s="62">
        <v>185603.45746247572</v>
      </c>
      <c r="H7" s="63">
        <v>0.14846376560346508</v>
      </c>
      <c r="I7" s="63">
        <v>-0.42598398014925221</v>
      </c>
      <c r="J7" s="63">
        <v>-6.568979494418381E-2</v>
      </c>
    </row>
    <row r="8" spans="1:10" ht="11.25" customHeight="1" x14ac:dyDescent="0.2">
      <c r="A8" s="65" t="s">
        <v>35</v>
      </c>
      <c r="B8" s="62">
        <v>524290.18799999997</v>
      </c>
      <c r="C8" s="62">
        <v>613591.67280693224</v>
      </c>
      <c r="D8" s="62">
        <v>19703.678063999992</v>
      </c>
      <c r="E8" s="62">
        <v>11165.571078116245</v>
      </c>
      <c r="F8" s="62">
        <v>323341.94699084392</v>
      </c>
      <c r="G8" s="62">
        <v>185603.45746247572</v>
      </c>
      <c r="H8" s="63">
        <v>0.14846376560346508</v>
      </c>
      <c r="I8" s="63">
        <v>-0.42598398014925221</v>
      </c>
      <c r="J8" s="63">
        <v>-6.568979494418381E-2</v>
      </c>
    </row>
    <row r="9" spans="1:10" ht="11.25" customHeight="1" x14ac:dyDescent="0.25">
      <c r="A9"/>
      <c r="B9"/>
      <c r="C9"/>
      <c r="D9"/>
      <c r="E9"/>
      <c r="F9"/>
      <c r="G9"/>
      <c r="H9"/>
      <c r="I9"/>
      <c r="J9"/>
    </row>
    <row r="10" spans="1:10" ht="11.25" customHeight="1" x14ac:dyDescent="0.25">
      <c r="A10"/>
      <c r="B10"/>
      <c r="C10"/>
      <c r="D10"/>
      <c r="E10"/>
      <c r="F10"/>
      <c r="G10"/>
      <c r="H10"/>
      <c r="I10"/>
      <c r="J10"/>
    </row>
    <row r="11" spans="1:10" ht="11.25" customHeight="1" x14ac:dyDescent="0.25">
      <c r="A11"/>
      <c r="B11"/>
      <c r="C11"/>
      <c r="D11"/>
      <c r="E11"/>
      <c r="F11"/>
      <c r="G11"/>
      <c r="H11"/>
      <c r="I11"/>
      <c r="J11"/>
    </row>
    <row r="12" spans="1:10" ht="11.25" customHeight="1" x14ac:dyDescent="0.25">
      <c r="A12"/>
      <c r="B12"/>
      <c r="C12"/>
      <c r="D12"/>
      <c r="E12"/>
      <c r="F12"/>
      <c r="G12"/>
      <c r="H12"/>
      <c r="I12"/>
      <c r="J12"/>
    </row>
    <row r="13" spans="1:10" ht="11.25" customHeight="1" x14ac:dyDescent="0.25">
      <c r="A13"/>
      <c r="B13"/>
      <c r="C13"/>
      <c r="D13"/>
      <c r="E13"/>
      <c r="F13"/>
      <c r="G13"/>
      <c r="H13"/>
      <c r="I13"/>
      <c r="J13"/>
    </row>
    <row r="14" spans="1:10" ht="11.25" customHeight="1" x14ac:dyDescent="0.25">
      <c r="A14"/>
      <c r="B14"/>
      <c r="C14"/>
      <c r="D14"/>
      <c r="E14"/>
      <c r="F14"/>
      <c r="G14"/>
      <c r="H14"/>
      <c r="I14"/>
      <c r="J14"/>
    </row>
    <row r="15" spans="1:10" ht="11.25" customHeight="1" x14ac:dyDescent="0.25">
      <c r="A15"/>
      <c r="B15"/>
      <c r="C15"/>
      <c r="D15"/>
      <c r="E15"/>
      <c r="F15"/>
      <c r="G15"/>
      <c r="H15"/>
      <c r="I15"/>
      <c r="J15"/>
    </row>
    <row r="16" spans="1:10" ht="11.25" customHeight="1" x14ac:dyDescent="0.25">
      <c r="A16"/>
      <c r="B16"/>
      <c r="C16"/>
      <c r="D16"/>
      <c r="E16"/>
      <c r="F16"/>
      <c r="G16"/>
      <c r="H16"/>
      <c r="I16"/>
      <c r="J16"/>
    </row>
    <row r="17" spans="1:10" ht="11.25" customHeight="1" x14ac:dyDescent="0.25">
      <c r="A17"/>
      <c r="B17"/>
      <c r="C17"/>
      <c r="D17"/>
      <c r="E17"/>
      <c r="F17"/>
      <c r="G17"/>
      <c r="H17"/>
      <c r="I17"/>
      <c r="J17"/>
    </row>
    <row r="18" spans="1:10" ht="11.25" customHeight="1" x14ac:dyDescent="0.25">
      <c r="A18"/>
      <c r="B18"/>
      <c r="C18"/>
      <c r="D18"/>
      <c r="E18"/>
      <c r="F18"/>
      <c r="G18"/>
      <c r="H18"/>
      <c r="I18"/>
      <c r="J18"/>
    </row>
    <row r="19" spans="1:10" ht="11.25" customHeight="1" x14ac:dyDescent="0.25">
      <c r="A19"/>
      <c r="B19"/>
      <c r="C19"/>
      <c r="D19"/>
      <c r="E19"/>
      <c r="F19"/>
      <c r="G19"/>
      <c r="H19"/>
      <c r="I19"/>
      <c r="J19"/>
    </row>
    <row r="20" spans="1:10" ht="11.25" customHeight="1" x14ac:dyDescent="0.25">
      <c r="A20"/>
      <c r="B20"/>
      <c r="C20"/>
      <c r="D20"/>
      <c r="E20"/>
      <c r="F20"/>
      <c r="G20"/>
      <c r="H20"/>
      <c r="I20"/>
      <c r="J20"/>
    </row>
    <row r="21" spans="1:10" ht="11.25" customHeight="1" x14ac:dyDescent="0.25">
      <c r="A21"/>
      <c r="B21"/>
      <c r="C21"/>
      <c r="D21"/>
      <c r="E21"/>
      <c r="F21"/>
      <c r="G21"/>
      <c r="H21"/>
      <c r="I21"/>
      <c r="J21"/>
    </row>
    <row r="22" spans="1:10" ht="11.25" customHeight="1" x14ac:dyDescent="0.25">
      <c r="A22"/>
      <c r="B22"/>
      <c r="C22"/>
      <c r="D22"/>
      <c r="E22"/>
      <c r="F22"/>
      <c r="G22"/>
      <c r="H22"/>
      <c r="I22"/>
      <c r="J22"/>
    </row>
    <row r="23" spans="1:10" ht="11.25" customHeight="1" x14ac:dyDescent="0.25">
      <c r="A23"/>
      <c r="B23"/>
      <c r="C23"/>
      <c r="D23"/>
      <c r="E23"/>
      <c r="F23"/>
      <c r="G23"/>
      <c r="H23"/>
      <c r="I23"/>
      <c r="J23"/>
    </row>
    <row r="24" spans="1:10" ht="11.25" customHeight="1" x14ac:dyDescent="0.25">
      <c r="A24"/>
      <c r="B24"/>
      <c r="C24"/>
      <c r="D24"/>
      <c r="E24"/>
      <c r="F24"/>
      <c r="G24"/>
      <c r="H24"/>
      <c r="I24"/>
      <c r="J24"/>
    </row>
    <row r="25" spans="1:10" ht="11.25" customHeight="1" x14ac:dyDescent="0.25">
      <c r="A25"/>
      <c r="B25"/>
      <c r="C25"/>
      <c r="D25"/>
      <c r="E25"/>
      <c r="F25"/>
      <c r="G25"/>
      <c r="H25"/>
      <c r="I25"/>
      <c r="J25"/>
    </row>
    <row r="26" spans="1:10" ht="11.25" customHeight="1" x14ac:dyDescent="0.25">
      <c r="A26"/>
      <c r="B26"/>
      <c r="C26"/>
      <c r="D26"/>
      <c r="E26"/>
      <c r="F26"/>
      <c r="G26"/>
      <c r="H26"/>
      <c r="I26"/>
      <c r="J26"/>
    </row>
    <row r="27" spans="1:10" ht="11.25" customHeight="1" x14ac:dyDescent="0.25">
      <c r="A27"/>
      <c r="B27"/>
      <c r="C27"/>
      <c r="D27"/>
      <c r="E27"/>
      <c r="F27"/>
      <c r="G27"/>
      <c r="H27"/>
      <c r="I27"/>
      <c r="J27"/>
    </row>
    <row r="28" spans="1:10" ht="11.25" customHeight="1" x14ac:dyDescent="0.25">
      <c r="A28"/>
      <c r="B28"/>
      <c r="C28"/>
      <c r="D28"/>
      <c r="E28"/>
      <c r="F28"/>
      <c r="G28"/>
      <c r="H28"/>
      <c r="I28"/>
      <c r="J28"/>
    </row>
    <row r="29" spans="1:10" ht="11.25" customHeight="1" x14ac:dyDescent="0.25">
      <c r="A29"/>
      <c r="B29"/>
      <c r="C29"/>
      <c r="D29"/>
      <c r="E29"/>
      <c r="F29"/>
      <c r="G29"/>
      <c r="H29"/>
      <c r="I29"/>
      <c r="J29"/>
    </row>
    <row r="30" spans="1:10" ht="11.25" customHeight="1" x14ac:dyDescent="0.25">
      <c r="A30"/>
      <c r="B30"/>
      <c r="C30"/>
      <c r="D30"/>
      <c r="E30"/>
      <c r="F30"/>
      <c r="G30"/>
      <c r="H30"/>
      <c r="I30"/>
      <c r="J30"/>
    </row>
    <row r="31" spans="1:10" ht="11.25" customHeight="1" x14ac:dyDescent="0.25">
      <c r="A31"/>
      <c r="B31"/>
      <c r="C31"/>
      <c r="D31"/>
      <c r="E31"/>
      <c r="F31"/>
      <c r="G31"/>
      <c r="H31"/>
      <c r="I31"/>
      <c r="J31"/>
    </row>
    <row r="32" spans="1:10" ht="11.25" customHeight="1" x14ac:dyDescent="0.25">
      <c r="A32"/>
      <c r="B32"/>
      <c r="C32"/>
      <c r="D32"/>
      <c r="E32"/>
      <c r="F32"/>
      <c r="G32"/>
      <c r="H32"/>
      <c r="I32"/>
      <c r="J32"/>
    </row>
    <row r="33" spans="1:10" ht="11.25" customHeight="1" x14ac:dyDescent="0.25">
      <c r="A33"/>
      <c r="B33"/>
      <c r="C33"/>
      <c r="D33"/>
      <c r="E33"/>
      <c r="F33"/>
      <c r="G33"/>
      <c r="H33"/>
      <c r="I33"/>
      <c r="J33"/>
    </row>
    <row r="34" spans="1:10" ht="11.25" customHeight="1" x14ac:dyDescent="0.25">
      <c r="A34"/>
      <c r="B34"/>
      <c r="C34"/>
      <c r="D34"/>
      <c r="E34"/>
      <c r="F34"/>
      <c r="G34"/>
      <c r="H34"/>
      <c r="I34"/>
      <c r="J34"/>
    </row>
    <row r="35" spans="1:10" ht="11.25" customHeight="1" x14ac:dyDescent="0.25">
      <c r="A35"/>
      <c r="B35"/>
      <c r="C35"/>
      <c r="D35"/>
      <c r="E35"/>
      <c r="F35"/>
      <c r="G35"/>
      <c r="H35"/>
      <c r="I35"/>
      <c r="J35"/>
    </row>
    <row r="36" spans="1:10" ht="11.25" customHeight="1" x14ac:dyDescent="0.25">
      <c r="A36"/>
      <c r="B36"/>
      <c r="C36"/>
      <c r="D36"/>
      <c r="E36"/>
      <c r="F36"/>
      <c r="G36"/>
      <c r="H36"/>
      <c r="I36"/>
      <c r="J36"/>
    </row>
    <row r="37" spans="1:10" ht="11.25" customHeight="1" x14ac:dyDescent="0.25">
      <c r="A37"/>
      <c r="B37"/>
      <c r="C37"/>
      <c r="D37"/>
      <c r="E37"/>
      <c r="F37"/>
      <c r="G37"/>
      <c r="H37"/>
      <c r="I37"/>
      <c r="J37"/>
    </row>
    <row r="38" spans="1:10" ht="11.25" customHeight="1" x14ac:dyDescent="0.25">
      <c r="A38"/>
      <c r="B38"/>
      <c r="C38"/>
      <c r="D38"/>
      <c r="E38"/>
      <c r="F38"/>
      <c r="G38"/>
      <c r="H38"/>
      <c r="I38"/>
      <c r="J38"/>
    </row>
    <row r="39" spans="1:10" ht="11.25" customHeight="1" x14ac:dyDescent="0.25">
      <c r="A39"/>
      <c r="B39"/>
      <c r="C39"/>
      <c r="D39"/>
      <c r="E39"/>
      <c r="F39"/>
      <c r="G39"/>
      <c r="H39"/>
      <c r="I39"/>
      <c r="J39"/>
    </row>
    <row r="40" spans="1:10" ht="11.25" customHeight="1" x14ac:dyDescent="0.25">
      <c r="A40"/>
      <c r="B40"/>
      <c r="C40"/>
      <c r="D40"/>
      <c r="E40"/>
      <c r="F40"/>
      <c r="G40"/>
      <c r="H40"/>
      <c r="I40"/>
      <c r="J40"/>
    </row>
    <row r="41" spans="1:10" ht="11.25" customHeight="1" x14ac:dyDescent="0.25">
      <c r="A41"/>
      <c r="B41"/>
      <c r="C41"/>
      <c r="D41"/>
      <c r="E41"/>
      <c r="F41"/>
      <c r="G41"/>
      <c r="H41"/>
      <c r="I41"/>
      <c r="J41"/>
    </row>
    <row r="42" spans="1:10" ht="11.25" customHeight="1" x14ac:dyDescent="0.25">
      <c r="A42"/>
      <c r="B42"/>
      <c r="C42"/>
      <c r="D42"/>
      <c r="E42"/>
      <c r="F42"/>
      <c r="G42"/>
      <c r="H42"/>
      <c r="I42"/>
      <c r="J42"/>
    </row>
    <row r="43" spans="1:10" ht="11.25" customHeight="1" x14ac:dyDescent="0.25">
      <c r="A43"/>
      <c r="B43"/>
      <c r="C43"/>
      <c r="D43"/>
      <c r="E43"/>
      <c r="F43"/>
      <c r="G43"/>
      <c r="H43"/>
      <c r="I43"/>
      <c r="J43"/>
    </row>
    <row r="44" spans="1:10" ht="11.25" customHeight="1" x14ac:dyDescent="0.25">
      <c r="A44"/>
      <c r="B44"/>
      <c r="C44"/>
      <c r="D44"/>
      <c r="E44"/>
      <c r="F44"/>
      <c r="G44"/>
      <c r="H44"/>
      <c r="I44"/>
      <c r="J44"/>
    </row>
    <row r="45" spans="1:10" ht="11.25" customHeight="1" x14ac:dyDescent="0.25">
      <c r="A45"/>
      <c r="B45"/>
      <c r="C45"/>
      <c r="D45"/>
      <c r="E45"/>
      <c r="F45"/>
      <c r="G45"/>
      <c r="H45"/>
      <c r="I45"/>
      <c r="J45"/>
    </row>
    <row r="46" spans="1:10" ht="11.25" customHeight="1" x14ac:dyDescent="0.25">
      <c r="A46"/>
      <c r="B46"/>
      <c r="C46"/>
      <c r="D46"/>
      <c r="E46"/>
      <c r="F46"/>
      <c r="G46"/>
      <c r="H46"/>
      <c r="I46"/>
      <c r="J46"/>
    </row>
    <row r="47" spans="1:10" ht="11.25" customHeight="1" x14ac:dyDescent="0.25">
      <c r="A47"/>
      <c r="B47"/>
      <c r="C47"/>
      <c r="D47"/>
      <c r="E47"/>
      <c r="F47"/>
      <c r="G47"/>
      <c r="H47"/>
      <c r="I47"/>
      <c r="J47"/>
    </row>
    <row r="48" spans="1:10" ht="11.25" customHeight="1" x14ac:dyDescent="0.25">
      <c r="A48"/>
      <c r="B48"/>
      <c r="C48"/>
      <c r="D48"/>
      <c r="E48"/>
      <c r="F48"/>
      <c r="G48"/>
      <c r="H48"/>
      <c r="I48"/>
      <c r="J48"/>
    </row>
    <row r="49" spans="1:10" ht="11.25" customHeight="1" x14ac:dyDescent="0.25">
      <c r="A49"/>
      <c r="B49"/>
      <c r="C49"/>
      <c r="D49"/>
      <c r="E49"/>
      <c r="F49"/>
      <c r="G49"/>
      <c r="H49"/>
      <c r="I49"/>
      <c r="J49"/>
    </row>
    <row r="50" spans="1:10" ht="11.25" customHeight="1" x14ac:dyDescent="0.25">
      <c r="A50"/>
      <c r="B50"/>
      <c r="C50"/>
      <c r="D50"/>
      <c r="E50"/>
      <c r="F50"/>
      <c r="G50"/>
      <c r="H50"/>
      <c r="I50"/>
      <c r="J50"/>
    </row>
    <row r="51" spans="1:10" ht="11.25" customHeight="1" x14ac:dyDescent="0.25">
      <c r="A51"/>
      <c r="B51"/>
      <c r="C51"/>
      <c r="D51"/>
      <c r="E51"/>
      <c r="F51"/>
      <c r="G51"/>
      <c r="H51"/>
      <c r="I51"/>
      <c r="J51"/>
    </row>
    <row r="52" spans="1:10" ht="11.25" customHeight="1" x14ac:dyDescent="0.25">
      <c r="A52"/>
      <c r="B52"/>
      <c r="C52"/>
      <c r="D52"/>
      <c r="E52"/>
      <c r="F52"/>
      <c r="G52"/>
      <c r="H52"/>
      <c r="I52"/>
      <c r="J52"/>
    </row>
    <row r="53" spans="1:10" ht="11.25" customHeight="1" x14ac:dyDescent="0.25">
      <c r="A53"/>
      <c r="B53"/>
      <c r="C53"/>
      <c r="D53"/>
      <c r="E53"/>
      <c r="F53"/>
      <c r="G53"/>
      <c r="H53"/>
      <c r="I53"/>
      <c r="J53"/>
    </row>
    <row r="54" spans="1:10" ht="11.25" customHeight="1" x14ac:dyDescent="0.25">
      <c r="A54"/>
      <c r="B54"/>
      <c r="C54"/>
      <c r="D54"/>
      <c r="E54"/>
      <c r="F54"/>
      <c r="G54"/>
      <c r="H54"/>
      <c r="I54"/>
      <c r="J54"/>
    </row>
    <row r="55" spans="1:10" ht="11.25" customHeight="1" x14ac:dyDescent="0.25">
      <c r="A55"/>
      <c r="B55"/>
      <c r="C55"/>
      <c r="D55"/>
      <c r="E55"/>
      <c r="F55"/>
      <c r="G55"/>
      <c r="H55"/>
      <c r="I55"/>
      <c r="J55"/>
    </row>
    <row r="56" spans="1:10" ht="11.25" customHeight="1" x14ac:dyDescent="0.25">
      <c r="A56"/>
      <c r="B56"/>
      <c r="C56"/>
      <c r="D56"/>
      <c r="E56"/>
      <c r="F56"/>
      <c r="G56"/>
      <c r="H56"/>
      <c r="I56"/>
      <c r="J56"/>
    </row>
    <row r="57" spans="1:10" ht="11.25" customHeight="1" x14ac:dyDescent="0.25">
      <c r="A57"/>
      <c r="B57"/>
      <c r="C57"/>
      <c r="D57"/>
      <c r="E57"/>
      <c r="F57"/>
      <c r="G57"/>
      <c r="H57"/>
      <c r="I57"/>
      <c r="J57"/>
    </row>
    <row r="58" spans="1:10" ht="11.25" customHeight="1" x14ac:dyDescent="0.25">
      <c r="A58"/>
      <c r="B58"/>
      <c r="C58"/>
      <c r="D58"/>
      <c r="E58"/>
      <c r="F58"/>
      <c r="G58"/>
      <c r="H58"/>
      <c r="I58"/>
      <c r="J58"/>
    </row>
    <row r="59" spans="1:10" ht="11.25" customHeight="1" x14ac:dyDescent="0.25">
      <c r="A59"/>
      <c r="B59"/>
      <c r="C59"/>
      <c r="D59"/>
      <c r="E59"/>
      <c r="F59"/>
      <c r="G59"/>
      <c r="H59"/>
      <c r="I59"/>
      <c r="J59"/>
    </row>
    <row r="60" spans="1:10" ht="11.25" customHeight="1" x14ac:dyDescent="0.25">
      <c r="A60"/>
      <c r="B60"/>
      <c r="C60"/>
      <c r="D60"/>
      <c r="E60"/>
      <c r="F60"/>
      <c r="G60"/>
      <c r="H60"/>
      <c r="I60"/>
      <c r="J60"/>
    </row>
    <row r="61" spans="1:10" ht="11.25" customHeight="1" x14ac:dyDescent="0.25">
      <c r="A61"/>
      <c r="B61"/>
      <c r="C61"/>
      <c r="D61"/>
      <c r="E61"/>
      <c r="F61"/>
      <c r="G61"/>
      <c r="H61"/>
      <c r="I61"/>
      <c r="J61"/>
    </row>
    <row r="62" spans="1:10" ht="11.25" customHeight="1" x14ac:dyDescent="0.25">
      <c r="A62"/>
      <c r="B62"/>
      <c r="C62"/>
      <c r="D62"/>
      <c r="E62"/>
      <c r="F62"/>
      <c r="G62"/>
      <c r="H62"/>
      <c r="I62"/>
      <c r="J62"/>
    </row>
    <row r="63" spans="1:10" ht="11.25" customHeight="1" x14ac:dyDescent="0.25">
      <c r="A63"/>
      <c r="B63"/>
      <c r="C63"/>
      <c r="D63"/>
      <c r="E63"/>
      <c r="F63"/>
      <c r="G63"/>
      <c r="H63"/>
      <c r="I63"/>
      <c r="J63"/>
    </row>
    <row r="64" spans="1:10" ht="11.25" customHeight="1" x14ac:dyDescent="0.25">
      <c r="A64"/>
      <c r="B64"/>
      <c r="C64"/>
      <c r="D64"/>
      <c r="E64"/>
      <c r="F64"/>
      <c r="G64"/>
      <c r="H64"/>
      <c r="I64"/>
      <c r="J64"/>
    </row>
    <row r="65" spans="1:10" ht="11.25" customHeight="1" x14ac:dyDescent="0.25">
      <c r="A65"/>
      <c r="B65"/>
      <c r="C65"/>
      <c r="D65"/>
      <c r="E65"/>
      <c r="F65"/>
      <c r="G65"/>
      <c r="H65"/>
      <c r="I65"/>
      <c r="J65"/>
    </row>
    <row r="66" spans="1:10" ht="11.25" customHeight="1" x14ac:dyDescent="0.25">
      <c r="A66"/>
      <c r="B66"/>
      <c r="C66"/>
      <c r="D66"/>
      <c r="E66"/>
      <c r="F66"/>
      <c r="G66"/>
      <c r="H66"/>
      <c r="I66"/>
      <c r="J66"/>
    </row>
    <row r="67" spans="1:10" ht="11.25" customHeight="1" x14ac:dyDescent="0.25">
      <c r="A67"/>
      <c r="B67"/>
      <c r="C67"/>
      <c r="D67"/>
      <c r="E67"/>
      <c r="F67"/>
      <c r="G67"/>
      <c r="H67"/>
      <c r="I67"/>
      <c r="J67"/>
    </row>
    <row r="68" spans="1:10" ht="11.25" customHeight="1" x14ac:dyDescent="0.25">
      <c r="A68"/>
      <c r="B68"/>
      <c r="C68"/>
      <c r="D68"/>
      <c r="E68"/>
      <c r="F68"/>
      <c r="G68"/>
      <c r="H68"/>
      <c r="I68"/>
      <c r="J68"/>
    </row>
    <row r="69" spans="1:10" ht="11.25" customHeight="1" x14ac:dyDescent="0.25">
      <c r="A69"/>
      <c r="B69"/>
      <c r="C69"/>
      <c r="D69"/>
      <c r="E69"/>
      <c r="F69"/>
      <c r="G69"/>
      <c r="H69"/>
      <c r="I69"/>
      <c r="J69"/>
    </row>
    <row r="70" spans="1:10" ht="11.25" customHeight="1" x14ac:dyDescent="0.25">
      <c r="A70"/>
      <c r="B70"/>
      <c r="C70"/>
      <c r="D70"/>
      <c r="E70"/>
      <c r="F70"/>
      <c r="G70"/>
      <c r="H70"/>
      <c r="I70"/>
      <c r="J70"/>
    </row>
    <row r="71" spans="1:10" ht="11.25" customHeight="1" x14ac:dyDescent="0.25">
      <c r="A71"/>
      <c r="B71"/>
      <c r="C71"/>
      <c r="D71"/>
      <c r="E71"/>
      <c r="F71"/>
      <c r="G71"/>
      <c r="H71"/>
      <c r="I71"/>
      <c r="J71"/>
    </row>
    <row r="72" spans="1:10" ht="11.25" customHeight="1" x14ac:dyDescent="0.25">
      <c r="A72"/>
      <c r="B72"/>
      <c r="C72"/>
      <c r="D72"/>
      <c r="E72"/>
      <c r="F72"/>
      <c r="G72"/>
      <c r="H72"/>
      <c r="I72"/>
      <c r="J72"/>
    </row>
    <row r="73" spans="1:10" ht="11.25" customHeight="1" x14ac:dyDescent="0.25">
      <c r="A73"/>
      <c r="B73"/>
      <c r="C73"/>
      <c r="D73"/>
      <c r="E73"/>
      <c r="F73"/>
      <c r="G73"/>
      <c r="H73"/>
      <c r="I73"/>
      <c r="J73"/>
    </row>
    <row r="74" spans="1:10" ht="11.25" customHeight="1" x14ac:dyDescent="0.25">
      <c r="A74"/>
      <c r="B74"/>
      <c r="C74"/>
      <c r="D74"/>
      <c r="E74"/>
      <c r="F74"/>
      <c r="G74"/>
      <c r="H74"/>
      <c r="I74"/>
      <c r="J74"/>
    </row>
    <row r="75" spans="1:10" ht="11.25" customHeight="1" x14ac:dyDescent="0.25">
      <c r="A75"/>
      <c r="B75"/>
      <c r="C75"/>
      <c r="D75"/>
      <c r="E75"/>
      <c r="F75"/>
      <c r="G75"/>
      <c r="H75"/>
      <c r="I75"/>
      <c r="J75"/>
    </row>
    <row r="76" spans="1:10" ht="11.25" customHeight="1" x14ac:dyDescent="0.25">
      <c r="A76"/>
      <c r="B76"/>
      <c r="C76"/>
      <c r="D76"/>
      <c r="E76"/>
      <c r="F76"/>
      <c r="G76"/>
      <c r="H76"/>
      <c r="I76"/>
      <c r="J76"/>
    </row>
    <row r="77" spans="1:10" ht="11.25" customHeight="1" x14ac:dyDescent="0.25">
      <c r="A77"/>
      <c r="B77"/>
      <c r="C77"/>
      <c r="D77"/>
      <c r="E77"/>
      <c r="F77"/>
      <c r="G77"/>
      <c r="H77"/>
      <c r="I77"/>
      <c r="J77"/>
    </row>
    <row r="78" spans="1:10" ht="11.25" customHeight="1" x14ac:dyDescent="0.25">
      <c r="A78"/>
      <c r="B78"/>
      <c r="C78"/>
      <c r="D78"/>
      <c r="E78"/>
      <c r="F78"/>
      <c r="G78"/>
      <c r="H78"/>
      <c r="I78"/>
      <c r="J78"/>
    </row>
    <row r="79" spans="1:10" ht="11.25" customHeight="1" x14ac:dyDescent="0.25">
      <c r="A79"/>
      <c r="B79"/>
      <c r="C79"/>
      <c r="D79"/>
      <c r="E79"/>
      <c r="F79"/>
      <c r="G79"/>
      <c r="H79"/>
      <c r="I79"/>
      <c r="J79"/>
    </row>
    <row r="80" spans="1:10" ht="11.25" customHeight="1" x14ac:dyDescent="0.25">
      <c r="A80"/>
      <c r="B80"/>
      <c r="C80"/>
      <c r="D80"/>
      <c r="E80"/>
      <c r="F80"/>
      <c r="G80"/>
      <c r="H80"/>
      <c r="I80"/>
      <c r="J80"/>
    </row>
    <row r="81" spans="1:10" ht="11.25" customHeight="1" x14ac:dyDescent="0.25">
      <c r="A81"/>
      <c r="B81"/>
      <c r="C81"/>
      <c r="D81"/>
      <c r="E81"/>
      <c r="F81"/>
      <c r="G81"/>
      <c r="H81"/>
      <c r="I81"/>
      <c r="J81"/>
    </row>
    <row r="82" spans="1:10" ht="11.25" customHeight="1" x14ac:dyDescent="0.25">
      <c r="A82"/>
      <c r="B82"/>
      <c r="C82"/>
      <c r="D82"/>
      <c r="E82"/>
      <c r="F82"/>
      <c r="G82"/>
      <c r="H82"/>
      <c r="I82"/>
      <c r="J82"/>
    </row>
    <row r="83" spans="1:10" ht="11.25" customHeight="1" x14ac:dyDescent="0.25">
      <c r="A83"/>
      <c r="B83"/>
      <c r="C83"/>
      <c r="D83"/>
      <c r="E83"/>
      <c r="F83"/>
      <c r="G83"/>
      <c r="H83"/>
      <c r="I83"/>
      <c r="J83"/>
    </row>
    <row r="84" spans="1:10" ht="11.25" customHeight="1" x14ac:dyDescent="0.25">
      <c r="A84"/>
      <c r="B84"/>
      <c r="C84"/>
      <c r="D84"/>
      <c r="E84"/>
      <c r="F84"/>
      <c r="G84"/>
      <c r="H84"/>
      <c r="I84"/>
      <c r="J84"/>
    </row>
    <row r="85" spans="1:10" ht="11.25" customHeight="1" x14ac:dyDescent="0.25">
      <c r="A85"/>
      <c r="B85"/>
      <c r="C85"/>
      <c r="D85"/>
      <c r="E85"/>
      <c r="F85"/>
      <c r="G85"/>
      <c r="H85"/>
      <c r="I85"/>
      <c r="J85"/>
    </row>
    <row r="86" spans="1:10" ht="11.25" customHeight="1" x14ac:dyDescent="0.25">
      <c r="A86"/>
      <c r="B86"/>
      <c r="C86"/>
      <c r="D86"/>
      <c r="E86"/>
      <c r="F86"/>
      <c r="G86"/>
      <c r="H86"/>
      <c r="I86"/>
      <c r="J86"/>
    </row>
    <row r="87" spans="1:10" ht="11.25" customHeight="1" x14ac:dyDescent="0.25">
      <c r="A87"/>
      <c r="B87"/>
      <c r="C87"/>
      <c r="D87"/>
      <c r="E87"/>
      <c r="F87"/>
      <c r="G87"/>
      <c r="H87"/>
      <c r="I87"/>
      <c r="J87"/>
    </row>
    <row r="88" spans="1:10" ht="11.25" customHeight="1" x14ac:dyDescent="0.25">
      <c r="A88"/>
      <c r="B88"/>
      <c r="C88"/>
      <c r="D88"/>
      <c r="E88"/>
      <c r="F88"/>
      <c r="G88"/>
      <c r="H88"/>
      <c r="I88"/>
      <c r="J88"/>
    </row>
    <row r="89" spans="1:10" ht="11.25" customHeight="1" x14ac:dyDescent="0.25">
      <c r="A89"/>
      <c r="B89"/>
      <c r="C89"/>
      <c r="D89"/>
      <c r="E89"/>
      <c r="F89"/>
      <c r="G89"/>
      <c r="H89"/>
      <c r="I89"/>
      <c r="J89"/>
    </row>
    <row r="90" spans="1:10" ht="11.25" customHeight="1" x14ac:dyDescent="0.25">
      <c r="A90"/>
      <c r="B90"/>
      <c r="C90"/>
      <c r="D90"/>
      <c r="E90"/>
      <c r="F90"/>
      <c r="G90"/>
      <c r="H90"/>
      <c r="I90"/>
      <c r="J90"/>
    </row>
    <row r="91" spans="1:10" ht="11.25" customHeight="1" x14ac:dyDescent="0.25">
      <c r="A91"/>
      <c r="B91"/>
      <c r="C91"/>
      <c r="D91"/>
      <c r="E91"/>
      <c r="F91"/>
      <c r="G91"/>
      <c r="H91"/>
      <c r="I91"/>
      <c r="J91"/>
    </row>
    <row r="92" spans="1:10" ht="11.25" customHeight="1" x14ac:dyDescent="0.25">
      <c r="A92"/>
      <c r="B92"/>
      <c r="C92"/>
      <c r="D92"/>
      <c r="E92"/>
      <c r="F92"/>
      <c r="G92"/>
      <c r="H92"/>
      <c r="I92"/>
      <c r="J92"/>
    </row>
    <row r="93" spans="1:10" ht="11.25" customHeight="1" x14ac:dyDescent="0.25">
      <c r="A93"/>
      <c r="B93"/>
      <c r="C93"/>
      <c r="D93"/>
      <c r="E93"/>
      <c r="F93"/>
      <c r="G93"/>
      <c r="H93"/>
      <c r="I93"/>
      <c r="J93"/>
    </row>
    <row r="94" spans="1:10" ht="11.25" customHeight="1" x14ac:dyDescent="0.25">
      <c r="A94"/>
      <c r="B94"/>
      <c r="C94"/>
      <c r="D94"/>
      <c r="E94"/>
      <c r="F94"/>
      <c r="G94"/>
      <c r="H94"/>
      <c r="I94"/>
      <c r="J94"/>
    </row>
    <row r="95" spans="1:10" ht="11.25" customHeight="1" x14ac:dyDescent="0.25">
      <c r="A95"/>
      <c r="B95"/>
      <c r="C95"/>
      <c r="D95"/>
      <c r="E95"/>
      <c r="F95"/>
      <c r="G95"/>
      <c r="H95"/>
      <c r="I95"/>
      <c r="J95"/>
    </row>
    <row r="96" spans="1:10" ht="11.25" customHeight="1" x14ac:dyDescent="0.25">
      <c r="A96"/>
      <c r="B96"/>
      <c r="C96"/>
      <c r="D96"/>
      <c r="E96"/>
      <c r="F96"/>
      <c r="G96"/>
      <c r="H96"/>
      <c r="I96"/>
      <c r="J96"/>
    </row>
    <row r="97" spans="1:10" ht="11.25" customHeight="1" x14ac:dyDescent="0.25">
      <c r="A97"/>
      <c r="B97"/>
      <c r="C97"/>
      <c r="D97"/>
      <c r="E97"/>
      <c r="F97"/>
      <c r="G97"/>
      <c r="H97"/>
      <c r="I97"/>
      <c r="J97"/>
    </row>
    <row r="98" spans="1:10" ht="11.25" customHeight="1" x14ac:dyDescent="0.25">
      <c r="A98"/>
      <c r="B98"/>
      <c r="C98"/>
      <c r="D98"/>
      <c r="E98"/>
      <c r="F98"/>
      <c r="G98"/>
      <c r="H98"/>
      <c r="I98"/>
      <c r="J98"/>
    </row>
    <row r="99" spans="1:10" ht="11.25" customHeight="1" x14ac:dyDescent="0.25">
      <c r="A99"/>
      <c r="B99"/>
      <c r="C99"/>
      <c r="D99"/>
      <c r="E99"/>
      <c r="F99"/>
      <c r="G99"/>
      <c r="H99"/>
      <c r="I99"/>
      <c r="J99"/>
    </row>
    <row r="100" spans="1:10" ht="11.25" customHeight="1" x14ac:dyDescent="0.25">
      <c r="A100"/>
      <c r="B100"/>
      <c r="C100"/>
      <c r="D100"/>
      <c r="E100"/>
      <c r="F100"/>
      <c r="G100"/>
      <c r="H100"/>
      <c r="I100"/>
      <c r="J100"/>
    </row>
    <row r="101" spans="1:10" ht="11.25" customHeight="1" x14ac:dyDescent="0.25">
      <c r="A101"/>
      <c r="B101"/>
      <c r="C101"/>
      <c r="D101"/>
      <c r="E101"/>
      <c r="F101"/>
      <c r="G101"/>
      <c r="H101"/>
      <c r="I101"/>
      <c r="J101"/>
    </row>
    <row r="102" spans="1:10" ht="11.25" customHeight="1" x14ac:dyDescent="0.25">
      <c r="A102"/>
      <c r="B102"/>
      <c r="C102"/>
      <c r="D102"/>
      <c r="E102"/>
      <c r="F102"/>
      <c r="G102"/>
      <c r="H102"/>
      <c r="I102"/>
      <c r="J102"/>
    </row>
    <row r="103" spans="1:10" ht="11.25" customHeight="1" x14ac:dyDescent="0.25">
      <c r="A103"/>
      <c r="B103"/>
      <c r="C103"/>
      <c r="D103"/>
      <c r="E103"/>
      <c r="F103"/>
      <c r="G103"/>
      <c r="H103"/>
      <c r="I103"/>
      <c r="J103"/>
    </row>
    <row r="104" spans="1:10" ht="11.25" customHeight="1" x14ac:dyDescent="0.25">
      <c r="A104"/>
      <c r="B104"/>
      <c r="C104"/>
      <c r="D104"/>
      <c r="E104"/>
      <c r="F104"/>
      <c r="G104"/>
      <c r="H104"/>
      <c r="I104"/>
      <c r="J104"/>
    </row>
    <row r="105" spans="1:10" ht="11.25" customHeight="1" x14ac:dyDescent="0.25">
      <c r="A105"/>
      <c r="B105"/>
      <c r="C105"/>
      <c r="D105"/>
      <c r="E105"/>
      <c r="F105"/>
      <c r="G105"/>
      <c r="H105"/>
      <c r="I105"/>
      <c r="J105"/>
    </row>
    <row r="106" spans="1:10" ht="11.25" customHeight="1" x14ac:dyDescent="0.25">
      <c r="A106"/>
      <c r="B106"/>
      <c r="C106"/>
      <c r="D106"/>
      <c r="E106"/>
      <c r="F106"/>
      <c r="G106"/>
      <c r="H106"/>
      <c r="I106"/>
      <c r="J106"/>
    </row>
    <row r="107" spans="1:10" ht="11.25" customHeight="1" x14ac:dyDescent="0.25">
      <c r="A107"/>
      <c r="B107"/>
      <c r="C107"/>
      <c r="D107"/>
      <c r="E107"/>
      <c r="F107"/>
      <c r="G107"/>
      <c r="H107"/>
      <c r="I107"/>
      <c r="J107"/>
    </row>
    <row r="108" spans="1:10" ht="11.25" customHeight="1" x14ac:dyDescent="0.25">
      <c r="A108"/>
      <c r="B108"/>
      <c r="C108"/>
      <c r="D108"/>
      <c r="E108"/>
      <c r="F108"/>
      <c r="G108"/>
      <c r="H108"/>
      <c r="I108"/>
      <c r="J108"/>
    </row>
    <row r="109" spans="1:10" ht="11.25" customHeight="1" x14ac:dyDescent="0.25">
      <c r="A109"/>
      <c r="B109"/>
      <c r="C109"/>
      <c r="D109"/>
      <c r="E109"/>
      <c r="F109"/>
      <c r="G109"/>
      <c r="H109"/>
      <c r="I109"/>
      <c r="J109"/>
    </row>
    <row r="110" spans="1:10" ht="11.25" customHeight="1" x14ac:dyDescent="0.25">
      <c r="A110"/>
      <c r="B110"/>
      <c r="C110"/>
      <c r="D110"/>
      <c r="E110"/>
      <c r="F110"/>
      <c r="G110"/>
      <c r="H110"/>
      <c r="I110"/>
      <c r="J110"/>
    </row>
    <row r="111" spans="1:10" ht="11.25" customHeight="1" x14ac:dyDescent="0.25">
      <c r="A111"/>
      <c r="B111"/>
      <c r="C111"/>
      <c r="D111"/>
      <c r="E111"/>
      <c r="F111"/>
      <c r="G111"/>
      <c r="H111"/>
      <c r="I111"/>
      <c r="J111"/>
    </row>
    <row r="112" spans="1:10" ht="11.25" customHeight="1" x14ac:dyDescent="0.25">
      <c r="A112"/>
      <c r="B112"/>
      <c r="C112"/>
      <c r="D112"/>
      <c r="E112"/>
      <c r="F112"/>
      <c r="G112"/>
      <c r="H112"/>
      <c r="I112"/>
      <c r="J112"/>
    </row>
    <row r="113" spans="1:10" ht="11.25" customHeight="1" x14ac:dyDescent="0.25">
      <c r="A113"/>
      <c r="B113"/>
      <c r="C113"/>
      <c r="D113"/>
      <c r="E113"/>
      <c r="F113"/>
      <c r="G113"/>
      <c r="H113"/>
      <c r="I113"/>
      <c r="J113"/>
    </row>
    <row r="114" spans="1:10" ht="11.25" customHeight="1" x14ac:dyDescent="0.25">
      <c r="A114"/>
      <c r="B114"/>
      <c r="C114"/>
      <c r="D114"/>
      <c r="E114"/>
      <c r="F114"/>
      <c r="G114"/>
      <c r="H114"/>
      <c r="I114"/>
      <c r="J114"/>
    </row>
    <row r="115" spans="1:10" ht="11.25" customHeight="1" x14ac:dyDescent="0.25">
      <c r="A115"/>
      <c r="B115"/>
      <c r="C115"/>
      <c r="D115"/>
      <c r="E115"/>
      <c r="F115"/>
      <c r="G115"/>
      <c r="H115"/>
      <c r="I115"/>
      <c r="J115"/>
    </row>
    <row r="116" spans="1:10" ht="11.25" customHeight="1" x14ac:dyDescent="0.25">
      <c r="A116"/>
      <c r="B116"/>
      <c r="C116"/>
      <c r="D116"/>
      <c r="E116"/>
      <c r="F116"/>
      <c r="G116"/>
      <c r="H116"/>
      <c r="I116"/>
      <c r="J116"/>
    </row>
    <row r="117" spans="1:10" ht="11.25" customHeight="1" x14ac:dyDescent="0.25">
      <c r="A117"/>
      <c r="B117"/>
      <c r="C117"/>
      <c r="D117"/>
      <c r="E117"/>
      <c r="F117"/>
      <c r="G117"/>
      <c r="H117"/>
      <c r="I117"/>
      <c r="J117"/>
    </row>
    <row r="118" spans="1:10" ht="11.25" customHeight="1" x14ac:dyDescent="0.25">
      <c r="A118"/>
      <c r="B118"/>
      <c r="C118"/>
      <c r="D118"/>
      <c r="E118"/>
      <c r="F118"/>
      <c r="G118"/>
      <c r="H118"/>
      <c r="I118"/>
      <c r="J118"/>
    </row>
    <row r="119" spans="1:10" ht="11.25" customHeight="1" x14ac:dyDescent="0.25">
      <c r="A119"/>
      <c r="B119"/>
      <c r="C119"/>
      <c r="D119"/>
      <c r="E119"/>
      <c r="F119"/>
      <c r="G119"/>
      <c r="H119"/>
      <c r="I119"/>
      <c r="J119"/>
    </row>
    <row r="120" spans="1:10" ht="11.25" customHeight="1" x14ac:dyDescent="0.25">
      <c r="A120"/>
      <c r="B120"/>
      <c r="C120"/>
      <c r="D120"/>
      <c r="E120"/>
      <c r="F120"/>
      <c r="G120"/>
      <c r="H120"/>
      <c r="I120"/>
      <c r="J120"/>
    </row>
    <row r="121" spans="1:10" ht="11.25" customHeight="1" x14ac:dyDescent="0.25">
      <c r="A121"/>
      <c r="B121"/>
      <c r="C121"/>
      <c r="D121"/>
      <c r="E121"/>
      <c r="F121"/>
      <c r="G121"/>
      <c r="H121"/>
      <c r="I121"/>
      <c r="J121"/>
    </row>
    <row r="122" spans="1:10" ht="11.25" customHeight="1" x14ac:dyDescent="0.25">
      <c r="A122"/>
      <c r="B122"/>
      <c r="C122"/>
      <c r="D122"/>
      <c r="E122"/>
      <c r="F122"/>
      <c r="G122"/>
      <c r="H122"/>
      <c r="I122"/>
      <c r="J122"/>
    </row>
    <row r="123" spans="1:10" ht="11.25" customHeight="1" x14ac:dyDescent="0.25">
      <c r="A123"/>
      <c r="B123"/>
      <c r="C123"/>
      <c r="D123"/>
      <c r="E123"/>
      <c r="F123"/>
      <c r="G123"/>
      <c r="H123"/>
      <c r="I123"/>
      <c r="J123"/>
    </row>
    <row r="124" spans="1:10" ht="11.25" customHeight="1" x14ac:dyDescent="0.25">
      <c r="A124"/>
      <c r="B124"/>
      <c r="C124"/>
      <c r="D124"/>
      <c r="E124"/>
      <c r="F124"/>
      <c r="G124"/>
      <c r="H124"/>
      <c r="I124"/>
      <c r="J124"/>
    </row>
    <row r="125" spans="1:10" ht="11.25" customHeight="1" x14ac:dyDescent="0.25">
      <c r="A125"/>
      <c r="B125"/>
      <c r="C125"/>
      <c r="D125"/>
      <c r="E125"/>
      <c r="F125"/>
      <c r="G125"/>
      <c r="H125"/>
      <c r="I125"/>
      <c r="J125"/>
    </row>
    <row r="126" spans="1:10" ht="11.25" customHeight="1" x14ac:dyDescent="0.25">
      <c r="A126"/>
      <c r="B126"/>
      <c r="C126"/>
      <c r="D126"/>
      <c r="E126"/>
      <c r="F126"/>
      <c r="G126"/>
      <c r="H126"/>
      <c r="I126"/>
      <c r="J126"/>
    </row>
    <row r="127" spans="1:10" ht="11.25" customHeight="1" x14ac:dyDescent="0.25">
      <c r="A127"/>
      <c r="B127"/>
      <c r="C127"/>
      <c r="D127"/>
      <c r="E127"/>
      <c r="F127"/>
      <c r="G127"/>
      <c r="H127"/>
      <c r="I127"/>
      <c r="J127"/>
    </row>
    <row r="128" spans="1:10" ht="11.25" customHeight="1" x14ac:dyDescent="0.25">
      <c r="A128"/>
      <c r="B128"/>
      <c r="C128"/>
      <c r="D128"/>
      <c r="E128"/>
      <c r="F128"/>
      <c r="G128"/>
      <c r="H128"/>
      <c r="I128"/>
      <c r="J128"/>
    </row>
    <row r="129" spans="1:10" ht="11.25" customHeight="1" x14ac:dyDescent="0.25">
      <c r="A129"/>
      <c r="B129"/>
      <c r="C129"/>
      <c r="D129"/>
      <c r="E129"/>
      <c r="F129"/>
      <c r="G129"/>
      <c r="H129"/>
      <c r="I129"/>
      <c r="J129"/>
    </row>
    <row r="130" spans="1:10" ht="11.25" customHeight="1" x14ac:dyDescent="0.25">
      <c r="A130"/>
      <c r="B130"/>
      <c r="C130"/>
      <c r="D130"/>
      <c r="E130"/>
      <c r="F130"/>
      <c r="G130"/>
      <c r="H130"/>
      <c r="I130"/>
      <c r="J130"/>
    </row>
    <row r="131" spans="1:10" ht="11.25" customHeight="1" x14ac:dyDescent="0.25">
      <c r="A131"/>
      <c r="B131"/>
      <c r="C131"/>
      <c r="D131"/>
      <c r="E131"/>
      <c r="F131"/>
      <c r="G131"/>
      <c r="H131"/>
      <c r="I131"/>
      <c r="J131"/>
    </row>
    <row r="132" spans="1:10" ht="11.25" customHeight="1" x14ac:dyDescent="0.25">
      <c r="A132"/>
      <c r="B132"/>
      <c r="C132"/>
      <c r="D132"/>
      <c r="E132"/>
      <c r="F132"/>
      <c r="G132"/>
      <c r="H132"/>
      <c r="I132"/>
      <c r="J132"/>
    </row>
    <row r="133" spans="1:10" ht="11.25" customHeight="1" x14ac:dyDescent="0.25">
      <c r="A133"/>
      <c r="B133"/>
      <c r="C133"/>
      <c r="D133"/>
      <c r="E133"/>
      <c r="F133"/>
      <c r="G133"/>
      <c r="H133"/>
      <c r="I133"/>
      <c r="J133"/>
    </row>
    <row r="134" spans="1:10" ht="11.25" customHeight="1" x14ac:dyDescent="0.25">
      <c r="A134"/>
      <c r="B134"/>
      <c r="C134"/>
      <c r="D134"/>
      <c r="E134"/>
      <c r="F134"/>
      <c r="G134"/>
      <c r="H134"/>
      <c r="I134"/>
      <c r="J134"/>
    </row>
    <row r="135" spans="1:10" ht="11.25" customHeight="1" x14ac:dyDescent="0.25">
      <c r="A135"/>
      <c r="B135"/>
      <c r="C135"/>
      <c r="D135"/>
      <c r="E135"/>
      <c r="F135"/>
      <c r="G135"/>
      <c r="H135"/>
      <c r="I135"/>
      <c r="J135"/>
    </row>
    <row r="136" spans="1:10" ht="11.25" customHeight="1" x14ac:dyDescent="0.25">
      <c r="A136"/>
      <c r="B136"/>
      <c r="C136"/>
      <c r="D136"/>
      <c r="E136"/>
      <c r="F136"/>
      <c r="G136"/>
      <c r="H136"/>
      <c r="I136"/>
      <c r="J136"/>
    </row>
    <row r="137" spans="1:10" ht="11.25" customHeight="1" x14ac:dyDescent="0.25">
      <c r="A137"/>
      <c r="B137"/>
      <c r="C137"/>
      <c r="D137"/>
      <c r="E137"/>
      <c r="F137"/>
      <c r="G137"/>
      <c r="H137"/>
      <c r="I137"/>
      <c r="J137"/>
    </row>
    <row r="138" spans="1:10" ht="11.25" customHeight="1" x14ac:dyDescent="0.25">
      <c r="A138"/>
      <c r="B138"/>
      <c r="C138"/>
      <c r="D138"/>
      <c r="E138"/>
      <c r="F138"/>
      <c r="G138"/>
      <c r="H138"/>
      <c r="I138"/>
      <c r="J138"/>
    </row>
    <row r="139" spans="1:10" ht="11.25" customHeight="1" x14ac:dyDescent="0.25">
      <c r="A139"/>
      <c r="B139"/>
      <c r="C139"/>
      <c r="D139"/>
      <c r="E139"/>
      <c r="F139"/>
      <c r="G139"/>
      <c r="H139"/>
      <c r="I139"/>
      <c r="J139"/>
    </row>
    <row r="140" spans="1:10" ht="11.25" customHeight="1" x14ac:dyDescent="0.25">
      <c r="A140"/>
      <c r="B140"/>
      <c r="C140"/>
      <c r="D140"/>
      <c r="E140"/>
      <c r="F140"/>
      <c r="G140"/>
      <c r="H140"/>
      <c r="I140"/>
      <c r="J140"/>
    </row>
    <row r="141" spans="1:10" ht="11.25" customHeight="1" x14ac:dyDescent="0.25">
      <c r="A141"/>
      <c r="B141"/>
      <c r="C141"/>
      <c r="D141"/>
      <c r="E141"/>
      <c r="F141"/>
      <c r="G141"/>
      <c r="H141"/>
      <c r="I141"/>
      <c r="J141"/>
    </row>
    <row r="142" spans="1:10" ht="11.25" customHeight="1" x14ac:dyDescent="0.25">
      <c r="A142"/>
      <c r="B142"/>
      <c r="C142"/>
      <c r="D142"/>
      <c r="E142"/>
      <c r="F142"/>
      <c r="G142"/>
      <c r="H142"/>
      <c r="I142"/>
      <c r="J142"/>
    </row>
    <row r="143" spans="1:10" ht="11.25" customHeight="1" x14ac:dyDescent="0.25">
      <c r="A143"/>
      <c r="B143"/>
      <c r="C143"/>
      <c r="D143"/>
      <c r="E143"/>
      <c r="F143"/>
      <c r="G143"/>
      <c r="H143"/>
      <c r="I143"/>
      <c r="J143"/>
    </row>
    <row r="144" spans="1:10" ht="11.25" customHeight="1" x14ac:dyDescent="0.25">
      <c r="A144"/>
      <c r="B144"/>
      <c r="C144"/>
      <c r="D144"/>
      <c r="E144"/>
      <c r="F144"/>
      <c r="G144"/>
      <c r="H144"/>
      <c r="I144"/>
      <c r="J144"/>
    </row>
    <row r="145" spans="1:10" ht="11.25" customHeight="1" x14ac:dyDescent="0.25">
      <c r="A145"/>
      <c r="B145"/>
      <c r="C145"/>
      <c r="D145"/>
      <c r="E145"/>
      <c r="F145"/>
      <c r="G145"/>
      <c r="H145"/>
      <c r="I145"/>
      <c r="J145"/>
    </row>
    <row r="146" spans="1:10" ht="11.25" customHeight="1" x14ac:dyDescent="0.25">
      <c r="A146"/>
      <c r="B146"/>
      <c r="C146"/>
      <c r="D146"/>
      <c r="E146"/>
      <c r="F146"/>
      <c r="G146"/>
      <c r="H146"/>
      <c r="I146"/>
      <c r="J146"/>
    </row>
    <row r="147" spans="1:10" ht="11.25" customHeight="1" x14ac:dyDescent="0.25">
      <c r="A147"/>
      <c r="B147"/>
      <c r="C147"/>
      <c r="D147"/>
      <c r="E147"/>
      <c r="F147"/>
      <c r="G147"/>
      <c r="H147"/>
      <c r="I147"/>
      <c r="J147"/>
    </row>
    <row r="148" spans="1:10" ht="11.25" customHeight="1" x14ac:dyDescent="0.25">
      <c r="A148"/>
      <c r="B148"/>
      <c r="C148"/>
      <c r="D148"/>
      <c r="E148"/>
      <c r="F148"/>
      <c r="G148"/>
      <c r="H148"/>
      <c r="I148"/>
      <c r="J148"/>
    </row>
    <row r="149" spans="1:10" ht="11.25" customHeight="1" x14ac:dyDescent="0.25">
      <c r="A149"/>
      <c r="B149"/>
      <c r="C149"/>
      <c r="D149"/>
      <c r="E149"/>
      <c r="F149"/>
      <c r="G149"/>
      <c r="H149"/>
      <c r="I149"/>
      <c r="J149"/>
    </row>
    <row r="150" spans="1:10" ht="11.25" customHeight="1" x14ac:dyDescent="0.25">
      <c r="A150"/>
      <c r="B150"/>
      <c r="C150"/>
      <c r="D150"/>
      <c r="E150"/>
      <c r="F150"/>
      <c r="G150"/>
      <c r="H150"/>
      <c r="I150"/>
      <c r="J150"/>
    </row>
    <row r="151" spans="1:10" ht="11.25" customHeight="1" x14ac:dyDescent="0.25">
      <c r="A151"/>
      <c r="B151"/>
      <c r="C151"/>
      <c r="D151"/>
      <c r="E151"/>
      <c r="F151"/>
      <c r="G151"/>
      <c r="H151"/>
      <c r="I151"/>
      <c r="J151"/>
    </row>
    <row r="152" spans="1:10" ht="11.25" customHeight="1" x14ac:dyDescent="0.25">
      <c r="A152"/>
      <c r="B152"/>
      <c r="C152"/>
      <c r="D152"/>
      <c r="E152"/>
      <c r="F152"/>
      <c r="G152"/>
      <c r="H152"/>
      <c r="I152"/>
      <c r="J152"/>
    </row>
    <row r="153" spans="1:10" ht="11.25" customHeight="1" x14ac:dyDescent="0.25">
      <c r="A153"/>
      <c r="B153"/>
      <c r="C153"/>
      <c r="D153"/>
      <c r="E153"/>
      <c r="F153"/>
      <c r="G153"/>
      <c r="H153"/>
      <c r="I153"/>
      <c r="J153"/>
    </row>
    <row r="154" spans="1:10" ht="11.25" customHeight="1" x14ac:dyDescent="0.25">
      <c r="A154"/>
      <c r="B154"/>
      <c r="C154"/>
      <c r="D154"/>
      <c r="E154"/>
      <c r="F154"/>
      <c r="G154"/>
      <c r="H154"/>
      <c r="I154"/>
      <c r="J154"/>
    </row>
    <row r="155" spans="1:10" ht="11.25" customHeight="1" x14ac:dyDescent="0.25">
      <c r="A155"/>
      <c r="B155"/>
      <c r="C155"/>
      <c r="D155"/>
      <c r="E155"/>
      <c r="F155"/>
      <c r="G155"/>
      <c r="H155"/>
      <c r="I155"/>
      <c r="J155"/>
    </row>
    <row r="156" spans="1:10" ht="11.25" customHeight="1" x14ac:dyDescent="0.25">
      <c r="A156"/>
      <c r="B156"/>
      <c r="C156"/>
      <c r="D156"/>
      <c r="E156"/>
      <c r="F156"/>
      <c r="G156"/>
      <c r="H156"/>
      <c r="I156"/>
      <c r="J156"/>
    </row>
    <row r="157" spans="1:10" ht="11.25" customHeight="1" x14ac:dyDescent="0.25">
      <c r="A157"/>
      <c r="B157"/>
      <c r="C157"/>
      <c r="D157"/>
      <c r="E157"/>
      <c r="F157"/>
      <c r="G157"/>
      <c r="H157"/>
      <c r="I157"/>
      <c r="J157"/>
    </row>
    <row r="158" spans="1:10" ht="11.25" customHeight="1" x14ac:dyDescent="0.25">
      <c r="A158"/>
      <c r="B158"/>
      <c r="C158"/>
      <c r="D158"/>
      <c r="E158"/>
      <c r="F158"/>
      <c r="G158"/>
      <c r="H158"/>
      <c r="I158"/>
      <c r="J158"/>
    </row>
    <row r="159" spans="1:10" ht="11.25" customHeight="1" x14ac:dyDescent="0.25">
      <c r="A159"/>
      <c r="B159"/>
      <c r="C159"/>
      <c r="D159"/>
      <c r="E159"/>
      <c r="F159"/>
      <c r="G159"/>
      <c r="H159"/>
      <c r="I159"/>
      <c r="J159"/>
    </row>
    <row r="160" spans="1:10" ht="11.25" customHeight="1" x14ac:dyDescent="0.25">
      <c r="A160"/>
      <c r="B160"/>
      <c r="C160"/>
      <c r="D160"/>
      <c r="E160"/>
      <c r="F160"/>
      <c r="G160"/>
      <c r="H160"/>
      <c r="I160"/>
      <c r="J160"/>
    </row>
    <row r="161" spans="1:10" ht="11.25" customHeight="1" x14ac:dyDescent="0.25">
      <c r="A161"/>
      <c r="B161"/>
      <c r="C161"/>
      <c r="D161"/>
      <c r="E161"/>
      <c r="F161"/>
      <c r="G161"/>
      <c r="H161"/>
      <c r="I161"/>
      <c r="J161"/>
    </row>
    <row r="162" spans="1:10" ht="11.25" customHeight="1" x14ac:dyDescent="0.25">
      <c r="A162"/>
      <c r="B162"/>
      <c r="C162"/>
      <c r="D162"/>
      <c r="E162"/>
      <c r="F162"/>
      <c r="G162"/>
      <c r="H162"/>
      <c r="I162"/>
      <c r="J162"/>
    </row>
    <row r="163" spans="1:10" ht="11.25" customHeight="1" x14ac:dyDescent="0.25">
      <c r="A163"/>
      <c r="B163"/>
      <c r="C163"/>
      <c r="D163"/>
      <c r="E163"/>
      <c r="F163"/>
      <c r="G163"/>
      <c r="H163"/>
      <c r="I163"/>
      <c r="J163"/>
    </row>
    <row r="164" spans="1:10" ht="11.25" customHeight="1" x14ac:dyDescent="0.25">
      <c r="A164"/>
      <c r="B164"/>
      <c r="C164"/>
      <c r="D164"/>
      <c r="E164"/>
      <c r="F164"/>
      <c r="G164"/>
      <c r="H164"/>
      <c r="I164"/>
      <c r="J164"/>
    </row>
    <row r="165" spans="1:10" ht="11.25" customHeight="1" x14ac:dyDescent="0.25">
      <c r="A165"/>
      <c r="B165"/>
      <c r="C165"/>
      <c r="D165"/>
      <c r="E165"/>
      <c r="F165"/>
      <c r="G165"/>
      <c r="H165"/>
      <c r="I165"/>
      <c r="J165"/>
    </row>
    <row r="166" spans="1:10" ht="11.25" customHeight="1" x14ac:dyDescent="0.25">
      <c r="A166"/>
      <c r="B166"/>
      <c r="C166"/>
      <c r="D166"/>
      <c r="E166"/>
      <c r="F166"/>
      <c r="G166"/>
      <c r="H166"/>
      <c r="I166"/>
      <c r="J166"/>
    </row>
    <row r="167" spans="1:10" ht="11.25" customHeight="1" x14ac:dyDescent="0.25">
      <c r="A167"/>
      <c r="B167"/>
      <c r="C167"/>
      <c r="D167"/>
      <c r="E167"/>
      <c r="F167"/>
      <c r="G167"/>
      <c r="H167"/>
      <c r="I167"/>
      <c r="J167"/>
    </row>
    <row r="168" spans="1:10" ht="11.25" customHeight="1" x14ac:dyDescent="0.25">
      <c r="A168"/>
      <c r="B168"/>
      <c r="C168"/>
      <c r="D168"/>
      <c r="E168"/>
      <c r="F168"/>
      <c r="G168"/>
      <c r="H168"/>
      <c r="I168"/>
      <c r="J168"/>
    </row>
    <row r="169" spans="1:10" ht="11.25" customHeight="1" x14ac:dyDescent="0.25">
      <c r="A169"/>
      <c r="B169"/>
      <c r="C169"/>
      <c r="D169"/>
      <c r="E169"/>
      <c r="F169"/>
      <c r="G169"/>
      <c r="H169"/>
      <c r="I169"/>
      <c r="J169"/>
    </row>
    <row r="170" spans="1:10" ht="11.25" customHeight="1" x14ac:dyDescent="0.25">
      <c r="A170"/>
      <c r="B170"/>
      <c r="C170"/>
      <c r="D170"/>
      <c r="E170"/>
      <c r="F170"/>
      <c r="G170"/>
      <c r="H170"/>
      <c r="I170"/>
      <c r="J170"/>
    </row>
    <row r="171" spans="1:10" ht="11.25" customHeight="1" x14ac:dyDescent="0.25">
      <c r="A171"/>
      <c r="B171"/>
      <c r="C171"/>
      <c r="D171"/>
      <c r="E171"/>
      <c r="F171"/>
      <c r="G171"/>
      <c r="H171"/>
      <c r="I171"/>
      <c r="J171"/>
    </row>
    <row r="172" spans="1:10" ht="11.25" customHeight="1" x14ac:dyDescent="0.25">
      <c r="A172"/>
      <c r="B172"/>
      <c r="C172"/>
      <c r="D172"/>
      <c r="E172"/>
      <c r="F172"/>
      <c r="G172"/>
      <c r="H172"/>
      <c r="I172"/>
      <c r="J172"/>
    </row>
    <row r="173" spans="1:10" ht="11.25" customHeight="1" x14ac:dyDescent="0.25">
      <c r="A173"/>
      <c r="B173"/>
      <c r="C173"/>
      <c r="D173"/>
      <c r="E173"/>
      <c r="F173"/>
      <c r="G173"/>
      <c r="H173"/>
      <c r="I173"/>
      <c r="J173"/>
    </row>
    <row r="174" spans="1:10" ht="11.25" customHeight="1" x14ac:dyDescent="0.25">
      <c r="A174"/>
      <c r="B174"/>
      <c r="C174"/>
      <c r="D174"/>
      <c r="E174"/>
      <c r="F174"/>
      <c r="G174"/>
      <c r="H174"/>
      <c r="I174"/>
      <c r="J174"/>
    </row>
    <row r="175" spans="1:10" ht="11.25" customHeight="1" x14ac:dyDescent="0.25">
      <c r="A175"/>
      <c r="B175"/>
      <c r="C175"/>
      <c r="D175"/>
      <c r="E175"/>
      <c r="F175"/>
      <c r="G175"/>
      <c r="H175"/>
      <c r="I175"/>
      <c r="J175"/>
    </row>
    <row r="176" spans="1:10" ht="11.25" customHeight="1" x14ac:dyDescent="0.25">
      <c r="A176"/>
      <c r="B176"/>
      <c r="C176"/>
      <c r="D176"/>
      <c r="E176"/>
      <c r="F176"/>
      <c r="G176"/>
      <c r="H176"/>
      <c r="I176"/>
      <c r="J176"/>
    </row>
    <row r="177" spans="1:10" ht="11.25" customHeight="1" x14ac:dyDescent="0.25">
      <c r="A177"/>
      <c r="B177"/>
      <c r="C177"/>
      <c r="D177"/>
      <c r="E177"/>
      <c r="F177"/>
      <c r="G177"/>
      <c r="H177"/>
      <c r="I177"/>
      <c r="J177"/>
    </row>
    <row r="178" spans="1:10" ht="11.25" customHeight="1" x14ac:dyDescent="0.25">
      <c r="A178"/>
      <c r="B178"/>
      <c r="C178"/>
      <c r="D178"/>
      <c r="E178"/>
      <c r="F178"/>
      <c r="G178"/>
      <c r="H178"/>
      <c r="I178"/>
      <c r="J178"/>
    </row>
    <row r="179" spans="1:10" ht="11.25" customHeight="1" x14ac:dyDescent="0.25">
      <c r="A179"/>
      <c r="B179"/>
      <c r="C179"/>
      <c r="D179"/>
      <c r="E179"/>
      <c r="F179"/>
      <c r="G179"/>
      <c r="H179"/>
      <c r="I179"/>
      <c r="J179"/>
    </row>
    <row r="180" spans="1:10" ht="11.25" customHeight="1" x14ac:dyDescent="0.25">
      <c r="A180"/>
      <c r="B180"/>
      <c r="C180"/>
      <c r="D180"/>
      <c r="E180"/>
      <c r="F180"/>
      <c r="G180"/>
      <c r="H180"/>
      <c r="I180"/>
      <c r="J180"/>
    </row>
    <row r="181" spans="1:10" ht="11.25" customHeight="1" x14ac:dyDescent="0.25">
      <c r="A181"/>
      <c r="B181"/>
      <c r="C181"/>
      <c r="D181"/>
      <c r="E181"/>
      <c r="F181"/>
      <c r="G181"/>
      <c r="H181"/>
      <c r="I181"/>
      <c r="J181"/>
    </row>
    <row r="182" spans="1:10" ht="11.25" customHeight="1" x14ac:dyDescent="0.25">
      <c r="A182"/>
      <c r="B182"/>
      <c r="C182"/>
      <c r="D182"/>
      <c r="E182"/>
      <c r="F182"/>
      <c r="G182"/>
      <c r="H182"/>
      <c r="I182"/>
      <c r="J182"/>
    </row>
    <row r="183" spans="1:10" ht="11.25" customHeight="1" x14ac:dyDescent="0.25">
      <c r="A183"/>
      <c r="B183"/>
      <c r="C183"/>
      <c r="D183"/>
      <c r="E183"/>
      <c r="F183"/>
      <c r="G183"/>
      <c r="H183"/>
      <c r="I183"/>
      <c r="J183"/>
    </row>
    <row r="184" spans="1:10" ht="11.25" customHeight="1" x14ac:dyDescent="0.25">
      <c r="A184"/>
      <c r="B184"/>
      <c r="C184"/>
      <c r="D184"/>
      <c r="E184"/>
      <c r="F184"/>
      <c r="G184"/>
      <c r="H184"/>
      <c r="I184"/>
      <c r="J184"/>
    </row>
    <row r="185" spans="1:10" ht="11.25" customHeight="1" x14ac:dyDescent="0.25">
      <c r="A185"/>
      <c r="B185"/>
      <c r="C185"/>
      <c r="D185"/>
      <c r="E185"/>
      <c r="F185"/>
      <c r="G185"/>
      <c r="H185"/>
      <c r="I185"/>
      <c r="J185"/>
    </row>
    <row r="186" spans="1:10" ht="11.25" customHeight="1" x14ac:dyDescent="0.25">
      <c r="A186"/>
      <c r="B186"/>
      <c r="C186"/>
      <c r="D186"/>
      <c r="E186"/>
      <c r="F186"/>
      <c r="G186"/>
      <c r="H186"/>
      <c r="I186"/>
      <c r="J186"/>
    </row>
    <row r="187" spans="1:10" ht="11.25" customHeight="1" x14ac:dyDescent="0.25">
      <c r="A187"/>
      <c r="B187"/>
      <c r="C187"/>
      <c r="D187"/>
      <c r="E187"/>
      <c r="F187"/>
      <c r="G187"/>
      <c r="H187"/>
      <c r="I187"/>
      <c r="J187"/>
    </row>
    <row r="188" spans="1:10" ht="11.2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0" ht="11.2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0" ht="11.2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0" ht="11.2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0" ht="11.2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1.2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1.2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1.2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1.2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1.2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1.2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1.2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1.2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1.2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1.2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1.2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1.2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1.2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1.2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1.2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1.2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1.2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1.2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1.2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1.2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1.2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1.2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1.2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1.2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1.2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1.2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1.2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1.2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1.2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1.2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1.2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1.2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1.2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1.2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1.2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1.2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1.2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1.2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1.2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1.2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1.2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1.2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1.2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1.2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1.2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1.2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1.2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1.2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1.2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1.2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1.2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1.2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1.2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1.2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1.2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1.2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1.2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1.2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1.2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1.2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1.2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1.2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1.2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1.2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1.2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1.2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1.2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1.2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1.2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1.2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1.2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1.2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1.2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1.2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1.2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1.2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1.2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1.2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1.2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1.2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1.2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1.2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1.2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1.2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1.2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1.2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1.2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1.2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1.2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1.2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1.2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1.2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1.2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1.2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1.2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1.2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1.2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1.2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1.2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1.2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1.2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1.2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1.2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1.2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1.2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1.2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1.2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1.2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1.2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1.2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1.2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1.2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1.2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1.2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1.2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1.2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1.2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1.2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1.2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1.2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1.2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1.2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1.2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1.2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1.2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1.2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1.2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1.2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1.2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1.2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1.2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1.2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1.2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1.2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1.2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1.2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1.2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1.2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1.2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1.2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1.2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1.2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1.2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1.2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1.2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1.2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1.2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1.2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1.2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1.2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1.2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1.2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1.2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1.2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1.2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1.2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1.2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1.2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1.2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1.2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1.2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1.2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1.2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1.2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1.2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1.2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1.2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1.2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1.2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1.2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1.2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1.2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1.2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1.2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1.2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1.2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1.2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1.2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1.2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1.2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1.2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1.2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1.2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1.2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1.2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1.2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1.2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1.2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1.2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1.2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1.2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1.2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1.2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1.2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1.2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1.2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1.2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1.2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1.2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1.2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1.2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1.2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1.2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1.2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1.2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1.2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1.2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1.2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1.2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1.2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1.2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1.2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1.2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1.2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1.2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1.2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1.2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1.2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1.2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1.2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1.2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1.2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1.2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1.2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1.2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1.2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1.2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1.2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1.2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1.2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1.2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1.2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1.2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1.2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1.2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1.2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1.2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1.2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1.2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1.2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1.2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1.2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1.2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1.2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1.2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1.2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1.2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1.2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1.2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1.2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1.2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1.2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1.2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1.2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1.2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1.2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1.2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1.2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1.2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1.2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1.2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1.2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1.2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1.2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1.2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1.2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1.2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1.2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1.2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1.2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1.2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1.2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1.2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1.2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1.2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1.2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1.2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1.2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1.2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1.2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1.2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1.2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1.2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1.2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1.2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1.2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1.2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1.2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1.2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1.2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1.2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1.2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1.2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1.2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1.2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1.2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1.2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1.2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1.2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1.2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1.2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1.2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1.2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1.2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1.2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1.2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1.2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1.2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1.2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1.2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1.2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1.2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1.2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1.2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1.2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1.2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1.2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1.2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1.2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1.2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1.2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1.2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1.2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1.2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1.2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1.2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1.2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1.2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1.2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1.2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1.2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1.2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1.2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1.2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1.2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1.2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1.2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1.2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1.2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1.2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1.2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1.2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1.2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1.2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1.2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1.2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1.2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1.2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1.2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1.2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1.2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1.2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1.2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1.2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1.2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1.2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1.2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1.25" customHeight="1" x14ac:dyDescent="0.25">
      <c r="A550"/>
      <c r="B550"/>
      <c r="C550"/>
      <c r="D550"/>
      <c r="E550"/>
      <c r="F550"/>
      <c r="G550"/>
      <c r="H550"/>
      <c r="I550"/>
      <c r="J550"/>
    </row>
    <row r="551" spans="1:10" ht="11.25" customHeight="1" x14ac:dyDescent="0.25">
      <c r="A551"/>
      <c r="B551"/>
      <c r="C551"/>
      <c r="D551"/>
      <c r="E551"/>
      <c r="F551"/>
      <c r="G551"/>
      <c r="H551"/>
      <c r="I551"/>
      <c r="J551"/>
    </row>
    <row r="552" spans="1:10" ht="11.25" customHeight="1" x14ac:dyDescent="0.25">
      <c r="A552"/>
      <c r="B552"/>
      <c r="C552"/>
      <c r="D552"/>
      <c r="E552"/>
      <c r="F552"/>
      <c r="G552"/>
      <c r="H552"/>
      <c r="I552"/>
      <c r="J552"/>
    </row>
    <row r="553" spans="1:10" ht="11.25" customHeight="1" x14ac:dyDescent="0.25">
      <c r="A553"/>
      <c r="B553"/>
      <c r="C553"/>
      <c r="D553"/>
      <c r="E553"/>
      <c r="F553"/>
      <c r="G553"/>
      <c r="H553"/>
      <c r="I553"/>
      <c r="J553"/>
    </row>
    <row r="554" spans="1:10" ht="11.25" customHeight="1" x14ac:dyDescent="0.25">
      <c r="A554"/>
      <c r="B554"/>
      <c r="C554"/>
      <c r="D554"/>
      <c r="E554"/>
      <c r="F554"/>
      <c r="G554"/>
      <c r="H554"/>
      <c r="I554"/>
      <c r="J554"/>
    </row>
    <row r="555" spans="1:10" ht="11.25" customHeight="1" x14ac:dyDescent="0.25">
      <c r="A555"/>
      <c r="B555"/>
      <c r="C555"/>
      <c r="D555"/>
      <c r="E555"/>
      <c r="F555"/>
      <c r="G555"/>
      <c r="H555"/>
      <c r="I555"/>
      <c r="J555"/>
    </row>
    <row r="556" spans="1:10" ht="11.25" customHeight="1" x14ac:dyDescent="0.25">
      <c r="A556"/>
      <c r="B556"/>
      <c r="C556"/>
      <c r="D556"/>
      <c r="E556"/>
      <c r="F556"/>
      <c r="G556"/>
      <c r="H556"/>
      <c r="I556"/>
      <c r="J556"/>
    </row>
    <row r="557" spans="1:10" ht="11.25" customHeight="1" x14ac:dyDescent="0.25">
      <c r="A557"/>
      <c r="B557"/>
      <c r="C557"/>
      <c r="D557"/>
      <c r="E557"/>
      <c r="F557"/>
      <c r="G557"/>
      <c r="H557"/>
      <c r="I557"/>
      <c r="J557"/>
    </row>
    <row r="558" spans="1:10" ht="11.25" customHeight="1" x14ac:dyDescent="0.25">
      <c r="A558"/>
      <c r="B558"/>
      <c r="C558"/>
      <c r="D558"/>
      <c r="E558"/>
      <c r="F558"/>
      <c r="G558"/>
      <c r="H558"/>
      <c r="I558"/>
      <c r="J558"/>
    </row>
    <row r="559" spans="1:10" ht="11.25" customHeight="1" x14ac:dyDescent="0.25">
      <c r="A559"/>
      <c r="B559"/>
      <c r="C559"/>
      <c r="D559"/>
      <c r="E559"/>
      <c r="F559"/>
      <c r="G559"/>
      <c r="H559"/>
      <c r="I559"/>
      <c r="J559"/>
    </row>
    <row r="560" spans="1:10" ht="11.25" customHeight="1" x14ac:dyDescent="0.25">
      <c r="A560"/>
      <c r="B560"/>
      <c r="C560"/>
      <c r="D560"/>
      <c r="E560"/>
      <c r="F560"/>
      <c r="G560"/>
      <c r="H560"/>
      <c r="I560"/>
      <c r="J560"/>
    </row>
    <row r="561" spans="1:10" ht="11.25" customHeight="1" x14ac:dyDescent="0.25">
      <c r="A561"/>
      <c r="B561"/>
      <c r="C561"/>
      <c r="D561"/>
      <c r="E561"/>
      <c r="F561"/>
      <c r="G561"/>
      <c r="H561"/>
      <c r="I561"/>
      <c r="J561"/>
    </row>
    <row r="562" spans="1:10" ht="11.25" customHeight="1" x14ac:dyDescent="0.25">
      <c r="A562"/>
      <c r="B562"/>
      <c r="C562"/>
      <c r="D562"/>
      <c r="E562"/>
      <c r="F562"/>
      <c r="G562"/>
      <c r="H562"/>
      <c r="I562"/>
      <c r="J562"/>
    </row>
    <row r="563" spans="1:10" ht="11.25" customHeight="1" x14ac:dyDescent="0.25">
      <c r="A563"/>
      <c r="B563"/>
      <c r="C563"/>
      <c r="D563"/>
      <c r="E563"/>
      <c r="F563"/>
      <c r="G563"/>
      <c r="H563"/>
      <c r="I563"/>
      <c r="J563"/>
    </row>
    <row r="564" spans="1:10" ht="11.25" customHeight="1" x14ac:dyDescent="0.25">
      <c r="A564"/>
      <c r="B564"/>
      <c r="C564"/>
      <c r="D564"/>
      <c r="E564"/>
      <c r="F564"/>
      <c r="G564"/>
      <c r="H564"/>
      <c r="I564"/>
      <c r="J564"/>
    </row>
    <row r="565" spans="1:10" ht="11.25" customHeight="1" x14ac:dyDescent="0.25">
      <c r="A565"/>
      <c r="B565"/>
      <c r="C565"/>
      <c r="D565"/>
      <c r="E565"/>
      <c r="F565"/>
      <c r="G565"/>
      <c r="H565"/>
      <c r="I565"/>
      <c r="J565"/>
    </row>
    <row r="566" spans="1:10" ht="11.25" customHeight="1" x14ac:dyDescent="0.25">
      <c r="A566"/>
      <c r="B566"/>
      <c r="C566"/>
      <c r="D566"/>
      <c r="E566"/>
      <c r="F566"/>
      <c r="G566"/>
      <c r="H566"/>
      <c r="I566"/>
      <c r="J566"/>
    </row>
    <row r="567" spans="1:10" ht="11.25" customHeight="1" x14ac:dyDescent="0.25">
      <c r="A567"/>
      <c r="B567"/>
      <c r="C567"/>
      <c r="D567"/>
      <c r="E567"/>
      <c r="F567"/>
      <c r="G567"/>
      <c r="H567"/>
      <c r="I567"/>
      <c r="J567"/>
    </row>
    <row r="568" spans="1:10" ht="11.25" customHeight="1" x14ac:dyDescent="0.25">
      <c r="A568"/>
      <c r="B568"/>
      <c r="C568"/>
      <c r="D568"/>
      <c r="E568"/>
      <c r="F568"/>
      <c r="G568"/>
      <c r="H568"/>
      <c r="I568"/>
      <c r="J568"/>
    </row>
    <row r="569" spans="1:10" ht="11.25" customHeight="1" x14ac:dyDescent="0.25">
      <c r="A569"/>
      <c r="B569"/>
      <c r="C569"/>
      <c r="D569"/>
      <c r="E569"/>
      <c r="F569"/>
      <c r="G569"/>
      <c r="H569"/>
      <c r="I569"/>
      <c r="J569"/>
    </row>
    <row r="570" spans="1:10" ht="11.25" customHeight="1" x14ac:dyDescent="0.25">
      <c r="A570"/>
      <c r="B570"/>
      <c r="C570"/>
      <c r="D570"/>
      <c r="E570"/>
      <c r="F570"/>
      <c r="G570"/>
      <c r="H570"/>
      <c r="I570"/>
      <c r="J570"/>
    </row>
    <row r="571" spans="1:10" ht="11.25" customHeight="1" x14ac:dyDescent="0.25">
      <c r="A571"/>
      <c r="B571"/>
      <c r="C571"/>
      <c r="D571"/>
      <c r="E571"/>
      <c r="F571"/>
      <c r="G571"/>
      <c r="H571"/>
      <c r="I571"/>
      <c r="J571"/>
    </row>
    <row r="572" spans="1:10" ht="11.25" customHeight="1" x14ac:dyDescent="0.25">
      <c r="A572"/>
      <c r="B572"/>
      <c r="C572"/>
      <c r="D572"/>
      <c r="E572"/>
      <c r="F572"/>
      <c r="G572"/>
      <c r="H572"/>
      <c r="I572"/>
      <c r="J572"/>
    </row>
    <row r="573" spans="1:10" ht="11.25" customHeight="1" x14ac:dyDescent="0.25">
      <c r="A573"/>
      <c r="B573"/>
      <c r="C573"/>
      <c r="D573"/>
      <c r="E573"/>
      <c r="F573"/>
      <c r="G573"/>
      <c r="H573"/>
      <c r="I573"/>
      <c r="J573"/>
    </row>
    <row r="574" spans="1:10" ht="11.25" customHeight="1" x14ac:dyDescent="0.25">
      <c r="A574"/>
      <c r="B574"/>
      <c r="C574"/>
      <c r="D574"/>
      <c r="E574"/>
      <c r="F574"/>
      <c r="G574"/>
      <c r="H574"/>
      <c r="I574"/>
      <c r="J574"/>
    </row>
    <row r="575" spans="1:10" ht="11.25" customHeight="1" x14ac:dyDescent="0.25">
      <c r="A575"/>
      <c r="B575"/>
      <c r="C575"/>
      <c r="D575"/>
      <c r="E575"/>
      <c r="F575"/>
      <c r="G575"/>
      <c r="H575"/>
      <c r="I575"/>
      <c r="J575"/>
    </row>
    <row r="576" spans="1:10" ht="11.25" customHeight="1" x14ac:dyDescent="0.25">
      <c r="A576"/>
      <c r="B576"/>
      <c r="C576"/>
      <c r="D576"/>
      <c r="E576"/>
      <c r="F576"/>
      <c r="G576"/>
      <c r="H576"/>
      <c r="I576"/>
      <c r="J576"/>
    </row>
    <row r="577" spans="1:10" ht="11.25" customHeight="1" x14ac:dyDescent="0.25">
      <c r="A577"/>
      <c r="B577"/>
      <c r="C577"/>
      <c r="D577"/>
      <c r="E577"/>
      <c r="F577"/>
      <c r="G577"/>
      <c r="H577"/>
      <c r="I577"/>
      <c r="J577"/>
    </row>
    <row r="578" spans="1:10" ht="11.25" customHeight="1" x14ac:dyDescent="0.25">
      <c r="A578"/>
      <c r="B578"/>
      <c r="C578"/>
      <c r="D578"/>
      <c r="E578"/>
      <c r="F578"/>
      <c r="G578"/>
      <c r="H578"/>
      <c r="I578"/>
      <c r="J578"/>
    </row>
    <row r="579" spans="1:10" ht="11.25" customHeight="1" x14ac:dyDescent="0.25">
      <c r="A579"/>
      <c r="B579"/>
      <c r="C579"/>
      <c r="D579"/>
      <c r="E579"/>
      <c r="F579"/>
      <c r="G579"/>
      <c r="H579"/>
      <c r="I579"/>
      <c r="J579"/>
    </row>
    <row r="580" spans="1:10" ht="11.25" customHeight="1" x14ac:dyDescent="0.25">
      <c r="A580"/>
      <c r="B580"/>
      <c r="C580"/>
      <c r="D580"/>
      <c r="E580"/>
      <c r="F580"/>
      <c r="G580"/>
      <c r="H580"/>
      <c r="I580"/>
      <c r="J580"/>
    </row>
    <row r="581" spans="1:10" ht="11.25" customHeight="1" x14ac:dyDescent="0.25">
      <c r="A581"/>
      <c r="B581"/>
      <c r="C581"/>
      <c r="D581"/>
      <c r="E581"/>
      <c r="F581"/>
      <c r="G581"/>
      <c r="H581"/>
      <c r="I581"/>
      <c r="J581"/>
    </row>
    <row r="582" spans="1:10" ht="11.25" customHeight="1" x14ac:dyDescent="0.25">
      <c r="A582"/>
      <c r="B582"/>
      <c r="C582"/>
      <c r="D582"/>
      <c r="E582"/>
      <c r="F582"/>
      <c r="G582"/>
      <c r="H582"/>
      <c r="I582"/>
      <c r="J582"/>
    </row>
    <row r="583" spans="1:10" ht="11.25" customHeight="1" x14ac:dyDescent="0.25">
      <c r="A583"/>
      <c r="B583"/>
      <c r="C583"/>
      <c r="D583"/>
      <c r="E583"/>
      <c r="F583"/>
      <c r="G583"/>
      <c r="H583"/>
      <c r="I583"/>
      <c r="J583"/>
    </row>
    <row r="584" spans="1:10" ht="11.25" customHeight="1" x14ac:dyDescent="0.25">
      <c r="A584"/>
      <c r="B584"/>
      <c r="C584"/>
      <c r="D584"/>
      <c r="E584"/>
      <c r="F584"/>
      <c r="G584"/>
      <c r="H584"/>
      <c r="I584"/>
      <c r="J584"/>
    </row>
    <row r="585" spans="1:10" ht="11.25" customHeight="1" x14ac:dyDescent="0.25">
      <c r="A585"/>
      <c r="B585"/>
      <c r="C585"/>
      <c r="D585"/>
      <c r="E585"/>
      <c r="F585"/>
      <c r="G585"/>
      <c r="H585"/>
      <c r="I585"/>
      <c r="J585"/>
    </row>
    <row r="586" spans="1:10" ht="11.25" customHeight="1" x14ac:dyDescent="0.25">
      <c r="A586"/>
      <c r="B586"/>
      <c r="C586"/>
      <c r="D586"/>
      <c r="E586"/>
      <c r="F586"/>
      <c r="G586"/>
      <c r="H586"/>
      <c r="I586"/>
      <c r="J586"/>
    </row>
    <row r="587" spans="1:10" ht="11.25" customHeight="1" x14ac:dyDescent="0.25">
      <c r="A587"/>
      <c r="B587"/>
      <c r="C587"/>
      <c r="D587"/>
      <c r="E587"/>
      <c r="F587"/>
      <c r="G587"/>
      <c r="H587"/>
      <c r="I587"/>
      <c r="J587"/>
    </row>
    <row r="588" spans="1:10" ht="11.25" customHeight="1" x14ac:dyDescent="0.25">
      <c r="A588"/>
      <c r="B588"/>
      <c r="C588"/>
      <c r="D588"/>
      <c r="E588"/>
      <c r="F588"/>
      <c r="G588"/>
      <c r="H588"/>
      <c r="I588"/>
      <c r="J588"/>
    </row>
    <row r="589" spans="1:10" ht="11.25" customHeight="1" x14ac:dyDescent="0.25">
      <c r="A589"/>
      <c r="B589"/>
      <c r="C589"/>
      <c r="D589"/>
      <c r="E589"/>
      <c r="F589"/>
      <c r="G589"/>
      <c r="H589"/>
      <c r="I589"/>
      <c r="J589"/>
    </row>
    <row r="590" spans="1:10" ht="11.25" customHeight="1" x14ac:dyDescent="0.25">
      <c r="A590"/>
      <c r="B590"/>
      <c r="C590"/>
      <c r="D590"/>
      <c r="E590"/>
      <c r="F590"/>
      <c r="G590"/>
      <c r="H590"/>
      <c r="I590"/>
      <c r="J590"/>
    </row>
    <row r="591" spans="1:10" ht="11.25" customHeight="1" x14ac:dyDescent="0.25">
      <c r="A591"/>
      <c r="B591"/>
      <c r="C591"/>
      <c r="D591"/>
      <c r="E591"/>
      <c r="F591"/>
      <c r="G591"/>
      <c r="H591"/>
      <c r="I591"/>
      <c r="J591"/>
    </row>
    <row r="592" spans="1:10" ht="11.25" customHeight="1" x14ac:dyDescent="0.25">
      <c r="A592"/>
      <c r="B592"/>
      <c r="C592"/>
      <c r="D592"/>
      <c r="E592"/>
      <c r="F592"/>
      <c r="G592"/>
      <c r="H592"/>
      <c r="I592"/>
      <c r="J592"/>
    </row>
    <row r="593" spans="1:10" ht="11.25" customHeight="1" x14ac:dyDescent="0.25">
      <c r="A593"/>
      <c r="B593"/>
      <c r="C593"/>
      <c r="D593"/>
      <c r="E593"/>
      <c r="F593"/>
      <c r="G593"/>
      <c r="H593"/>
      <c r="I593"/>
      <c r="J593"/>
    </row>
    <row r="594" spans="1:10" ht="11.25" customHeight="1" x14ac:dyDescent="0.25">
      <c r="A594"/>
      <c r="B594"/>
      <c r="C594"/>
      <c r="D594"/>
      <c r="E594"/>
      <c r="F594"/>
      <c r="G594"/>
      <c r="H594"/>
      <c r="I594"/>
      <c r="J594"/>
    </row>
    <row r="595" spans="1:10" ht="11.25" customHeight="1" x14ac:dyDescent="0.25">
      <c r="A595"/>
      <c r="B595"/>
      <c r="C595"/>
      <c r="D595"/>
      <c r="E595"/>
      <c r="F595"/>
      <c r="G595"/>
      <c r="H595"/>
      <c r="I595"/>
      <c r="J595"/>
    </row>
    <row r="596" spans="1:10" ht="11.25" customHeight="1" x14ac:dyDescent="0.25">
      <c r="A596"/>
      <c r="B596"/>
      <c r="C596"/>
      <c r="D596"/>
      <c r="E596"/>
      <c r="F596"/>
      <c r="G596"/>
      <c r="H596"/>
      <c r="I596"/>
      <c r="J596"/>
    </row>
    <row r="597" spans="1:10" ht="11.25" customHeight="1" x14ac:dyDescent="0.25">
      <c r="A597"/>
      <c r="B597"/>
      <c r="C597"/>
      <c r="D597"/>
      <c r="E597"/>
      <c r="F597"/>
      <c r="G597"/>
      <c r="H597"/>
      <c r="I597"/>
      <c r="J597"/>
    </row>
    <row r="598" spans="1:10" ht="11.25" customHeight="1" x14ac:dyDescent="0.25">
      <c r="A598"/>
      <c r="B598"/>
      <c r="C598"/>
      <c r="D598"/>
      <c r="E598"/>
      <c r="F598"/>
      <c r="G598"/>
      <c r="H598"/>
      <c r="I598"/>
      <c r="J598"/>
    </row>
    <row r="599" spans="1:10" ht="11.25" customHeight="1" x14ac:dyDescent="0.25">
      <c r="A599"/>
      <c r="B599"/>
      <c r="C599"/>
      <c r="D599"/>
      <c r="E599"/>
      <c r="F599"/>
      <c r="G599"/>
      <c r="H599"/>
      <c r="I599"/>
      <c r="J599"/>
    </row>
    <row r="600" spans="1:10" ht="11.25" customHeight="1" x14ac:dyDescent="0.25">
      <c r="A600"/>
      <c r="B600"/>
      <c r="C600"/>
      <c r="D600"/>
      <c r="E600"/>
      <c r="F600"/>
      <c r="G600"/>
      <c r="H600"/>
      <c r="I600"/>
      <c r="J600"/>
    </row>
    <row r="601" spans="1:10" ht="11.25" customHeight="1" x14ac:dyDescent="0.25">
      <c r="A601"/>
      <c r="B601"/>
      <c r="C601"/>
      <c r="D601"/>
      <c r="E601"/>
      <c r="F601"/>
      <c r="G601"/>
      <c r="H601"/>
      <c r="I601"/>
      <c r="J601"/>
    </row>
    <row r="602" spans="1:10" ht="11.25" customHeight="1" x14ac:dyDescent="0.25">
      <c r="A602"/>
      <c r="B602"/>
      <c r="C602"/>
      <c r="D602"/>
      <c r="E602"/>
      <c r="F602"/>
      <c r="G602"/>
      <c r="H602"/>
      <c r="I602"/>
      <c r="J602"/>
    </row>
    <row r="603" spans="1:10" ht="11.25" customHeight="1" x14ac:dyDescent="0.25">
      <c r="A603"/>
      <c r="B603"/>
      <c r="C603"/>
      <c r="D603"/>
      <c r="E603"/>
      <c r="F603"/>
      <c r="G603"/>
      <c r="H603"/>
      <c r="I603"/>
      <c r="J603"/>
    </row>
    <row r="604" spans="1:10" ht="11.25" customHeight="1" x14ac:dyDescent="0.25">
      <c r="A604"/>
      <c r="B604"/>
      <c r="C604"/>
      <c r="D604"/>
      <c r="E604"/>
      <c r="F604"/>
      <c r="G604"/>
      <c r="H604"/>
      <c r="I604"/>
      <c r="J604"/>
    </row>
    <row r="605" spans="1:10" ht="11.25" customHeight="1" x14ac:dyDescent="0.25">
      <c r="A605"/>
      <c r="B605"/>
      <c r="C605"/>
      <c r="D605"/>
      <c r="E605"/>
      <c r="F605"/>
      <c r="G605"/>
      <c r="H605"/>
      <c r="I605"/>
      <c r="J605"/>
    </row>
    <row r="606" spans="1:10" ht="11.25" customHeight="1" x14ac:dyDescent="0.25">
      <c r="A606"/>
      <c r="B606"/>
      <c r="C606"/>
      <c r="D606"/>
      <c r="E606"/>
      <c r="F606"/>
      <c r="G606"/>
      <c r="H606"/>
      <c r="I606"/>
      <c r="J606"/>
    </row>
    <row r="607" spans="1:10" ht="11.25" customHeight="1" x14ac:dyDescent="0.25">
      <c r="A607"/>
      <c r="B607"/>
      <c r="C607"/>
      <c r="D607"/>
      <c r="E607"/>
      <c r="F607"/>
      <c r="G607"/>
      <c r="H607"/>
      <c r="I607"/>
      <c r="J607"/>
    </row>
    <row r="608" spans="1:10" ht="11.25" customHeight="1" x14ac:dyDescent="0.25">
      <c r="A608"/>
      <c r="B608"/>
      <c r="C608"/>
      <c r="D608"/>
      <c r="E608"/>
      <c r="F608"/>
      <c r="G608"/>
      <c r="H608"/>
      <c r="I608"/>
      <c r="J608"/>
    </row>
    <row r="609" spans="1:10" ht="11.25" customHeight="1" x14ac:dyDescent="0.25">
      <c r="A609"/>
      <c r="B609"/>
      <c r="C609"/>
      <c r="D609"/>
      <c r="E609"/>
      <c r="F609"/>
      <c r="G609"/>
      <c r="H609"/>
      <c r="I609"/>
      <c r="J609"/>
    </row>
    <row r="610" spans="1:10" ht="11.25" customHeight="1" x14ac:dyDescent="0.25">
      <c r="A610"/>
      <c r="B610"/>
      <c r="C610"/>
      <c r="D610"/>
      <c r="E610"/>
      <c r="F610"/>
      <c r="G610"/>
      <c r="H610"/>
      <c r="I610"/>
      <c r="J610"/>
    </row>
    <row r="611" spans="1:10" ht="11.25" customHeight="1" x14ac:dyDescent="0.25">
      <c r="A611"/>
      <c r="B611"/>
      <c r="C611"/>
      <c r="D611"/>
      <c r="E611"/>
      <c r="F611"/>
      <c r="G611"/>
      <c r="H611"/>
      <c r="I611"/>
      <c r="J611"/>
    </row>
    <row r="612" spans="1:10" ht="11.25" customHeight="1" x14ac:dyDescent="0.25">
      <c r="A612"/>
      <c r="B612"/>
      <c r="C612"/>
      <c r="D612"/>
      <c r="E612"/>
      <c r="F612"/>
      <c r="G612"/>
      <c r="H612"/>
      <c r="I612"/>
      <c r="J612"/>
    </row>
    <row r="613" spans="1:10" ht="11.25" customHeight="1" x14ac:dyDescent="0.25">
      <c r="A613"/>
      <c r="B613"/>
      <c r="C613"/>
      <c r="D613"/>
      <c r="E613"/>
      <c r="F613"/>
      <c r="G613"/>
      <c r="H613"/>
      <c r="I613"/>
      <c r="J613"/>
    </row>
    <row r="614" spans="1:10" ht="11.25" customHeight="1" x14ac:dyDescent="0.25">
      <c r="A614"/>
      <c r="B614"/>
      <c r="C614"/>
      <c r="D614"/>
      <c r="E614"/>
      <c r="F614"/>
      <c r="G614"/>
      <c r="H614"/>
      <c r="I614"/>
      <c r="J614"/>
    </row>
    <row r="615" spans="1:10" ht="11.25" customHeight="1" x14ac:dyDescent="0.25">
      <c r="A615"/>
      <c r="B615"/>
      <c r="C615"/>
      <c r="D615"/>
      <c r="E615"/>
      <c r="F615"/>
      <c r="G615"/>
      <c r="H615"/>
      <c r="I615"/>
      <c r="J615"/>
    </row>
    <row r="616" spans="1:10" ht="11.25" customHeight="1" x14ac:dyDescent="0.25">
      <c r="A616"/>
      <c r="B616"/>
      <c r="C616"/>
      <c r="D616"/>
      <c r="E616"/>
      <c r="F616"/>
      <c r="G616"/>
      <c r="H616"/>
      <c r="I616"/>
      <c r="J616"/>
    </row>
    <row r="617" spans="1:10" ht="11.25" customHeight="1" x14ac:dyDescent="0.25">
      <c r="A617"/>
      <c r="B617"/>
      <c r="C617"/>
      <c r="D617"/>
      <c r="E617"/>
      <c r="F617"/>
      <c r="G617"/>
      <c r="H617"/>
      <c r="I617"/>
      <c r="J617"/>
    </row>
    <row r="618" spans="1:10" ht="11.25" customHeight="1" x14ac:dyDescent="0.25">
      <c r="A618"/>
      <c r="B618"/>
      <c r="C618"/>
      <c r="D618"/>
      <c r="E618"/>
      <c r="F618"/>
      <c r="G618"/>
      <c r="H618"/>
      <c r="I618"/>
      <c r="J618"/>
    </row>
    <row r="619" spans="1:10" ht="11.25" customHeight="1" x14ac:dyDescent="0.25">
      <c r="A619"/>
      <c r="B619"/>
      <c r="C619"/>
      <c r="D619"/>
      <c r="E619"/>
      <c r="F619"/>
      <c r="G619"/>
      <c r="H619"/>
      <c r="I619"/>
      <c r="J619"/>
    </row>
    <row r="620" spans="1:10" ht="11.25" customHeight="1" x14ac:dyDescent="0.25">
      <c r="A620"/>
      <c r="B620"/>
      <c r="C620"/>
      <c r="D620"/>
      <c r="E620"/>
      <c r="F620"/>
      <c r="G620"/>
      <c r="H620"/>
      <c r="I620"/>
      <c r="J620"/>
    </row>
    <row r="621" spans="1:10" ht="11.25" customHeight="1" x14ac:dyDescent="0.25">
      <c r="A621"/>
      <c r="B621"/>
      <c r="C621"/>
      <c r="D621"/>
      <c r="E621"/>
      <c r="F621"/>
      <c r="G621"/>
      <c r="H621"/>
      <c r="I621"/>
      <c r="J621"/>
    </row>
    <row r="622" spans="1:10" ht="11.25" customHeight="1" x14ac:dyDescent="0.25">
      <c r="A622"/>
      <c r="B622"/>
      <c r="C622"/>
      <c r="D622"/>
      <c r="E622"/>
      <c r="F622"/>
      <c r="G622"/>
      <c r="H622"/>
      <c r="I622"/>
      <c r="J622"/>
    </row>
    <row r="623" spans="1:10" ht="11.25" customHeight="1" x14ac:dyDescent="0.25">
      <c r="A623"/>
      <c r="B623"/>
      <c r="C623"/>
      <c r="D623"/>
      <c r="E623"/>
      <c r="F623"/>
      <c r="G623"/>
      <c r="H623"/>
      <c r="I623"/>
      <c r="J623"/>
    </row>
    <row r="624" spans="1:10" ht="11.25" customHeight="1" x14ac:dyDescent="0.25">
      <c r="A624"/>
      <c r="B624"/>
      <c r="C624"/>
      <c r="D624"/>
      <c r="E624"/>
      <c r="F624"/>
      <c r="G624"/>
      <c r="H624"/>
      <c r="I624"/>
      <c r="J624"/>
    </row>
    <row r="625" spans="1:10" ht="11.25" customHeight="1" x14ac:dyDescent="0.25">
      <c r="A625"/>
      <c r="B625"/>
      <c r="C625"/>
      <c r="D625"/>
      <c r="E625"/>
      <c r="F625"/>
      <c r="G625"/>
      <c r="H625"/>
      <c r="I625"/>
      <c r="J625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16D-38EC-4754-AE32-35B86A4FA3E6}">
  <sheetPr codeName="Planilha19"/>
  <dimension ref="A1:G384"/>
  <sheetViews>
    <sheetView showGridLines="0" workbookViewId="0"/>
  </sheetViews>
  <sheetFormatPr defaultRowHeight="11.25" customHeight="1" x14ac:dyDescent="0.2"/>
  <cols>
    <col min="1" max="1" width="36.28515625" style="14" bestFit="1" customWidth="1"/>
    <col min="2" max="2" width="20.42578125" style="40" bestFit="1" customWidth="1"/>
    <col min="3" max="3" width="21.85546875" style="40" bestFit="1" customWidth="1"/>
    <col min="4" max="4" width="20.28515625" style="40" bestFit="1" customWidth="1"/>
    <col min="5" max="5" width="21.7109375" style="40" bestFit="1" customWidth="1"/>
    <col min="6" max="6" width="14.85546875" style="40" bestFit="1" customWidth="1"/>
    <col min="7" max="7" width="14.7109375" style="40" bestFit="1" customWidth="1"/>
    <col min="8" max="16384" width="9.140625" style="14"/>
  </cols>
  <sheetData>
    <row r="1" spans="1:7" ht="11.25" customHeight="1" x14ac:dyDescent="0.2">
      <c r="A1" s="39" t="s">
        <v>648</v>
      </c>
      <c r="B1" s="40" t="s">
        <v>674</v>
      </c>
      <c r="C1" s="40" t="s">
        <v>675</v>
      </c>
      <c r="D1" s="40" t="s">
        <v>676</v>
      </c>
      <c r="E1" s="40" t="s">
        <v>677</v>
      </c>
      <c r="F1" s="40" t="s">
        <v>678</v>
      </c>
      <c r="G1" s="40" t="s">
        <v>679</v>
      </c>
    </row>
    <row r="2" spans="1:7" ht="11.25" customHeight="1" x14ac:dyDescent="0.2">
      <c r="A2" s="42" t="s">
        <v>663</v>
      </c>
      <c r="B2" s="40">
        <v>18231.794999999987</v>
      </c>
      <c r="C2" s="40">
        <v>33717.632368199993</v>
      </c>
      <c r="D2" s="40">
        <v>21426.421885241449</v>
      </c>
      <c r="E2" s="40">
        <v>27346.350313150651</v>
      </c>
      <c r="F2" s="40">
        <v>51949.427368199977</v>
      </c>
      <c r="G2" s="40">
        <v>48772.7721983921</v>
      </c>
    </row>
    <row r="3" spans="1:7" ht="11.25" customHeight="1" x14ac:dyDescent="0.2">
      <c r="A3" s="43" t="s">
        <v>35</v>
      </c>
      <c r="B3" s="40">
        <v>18231.794999999987</v>
      </c>
      <c r="C3" s="40">
        <v>26289.865030199995</v>
      </c>
      <c r="D3" s="40">
        <v>21426.421885241449</v>
      </c>
      <c r="E3" s="40">
        <v>20523.710252978199</v>
      </c>
      <c r="F3" s="40">
        <v>44521.660030199986</v>
      </c>
      <c r="G3" s="40">
        <v>41950.132138219647</v>
      </c>
    </row>
    <row r="4" spans="1:7" ht="11.25" customHeight="1" x14ac:dyDescent="0.2">
      <c r="A4" s="44" t="s">
        <v>48</v>
      </c>
      <c r="B4" s="40">
        <v>16271.595000000003</v>
      </c>
      <c r="C4" s="40">
        <v>17180.7407394</v>
      </c>
      <c r="D4" s="40">
        <v>19127.06419929862</v>
      </c>
      <c r="E4" s="40">
        <v>12644.667910276683</v>
      </c>
      <c r="F4" s="40">
        <v>33452.335739400005</v>
      </c>
      <c r="G4" s="40">
        <v>31771.732109575303</v>
      </c>
    </row>
    <row r="5" spans="1:7" ht="11.25" customHeight="1" x14ac:dyDescent="0.2">
      <c r="A5" s="45" t="s">
        <v>46</v>
      </c>
      <c r="B5" s="40">
        <v>16271.595000000003</v>
      </c>
      <c r="C5" s="40">
        <v>17180.7407394</v>
      </c>
      <c r="D5" s="40">
        <v>19127.06419929862</v>
      </c>
      <c r="E5" s="40">
        <v>12644.667910276683</v>
      </c>
      <c r="F5" s="40">
        <v>33452.335739400005</v>
      </c>
      <c r="G5" s="40">
        <v>31771.732109575303</v>
      </c>
    </row>
    <row r="6" spans="1:7" ht="11.25" customHeight="1" x14ac:dyDescent="0.2">
      <c r="A6" s="46" t="s">
        <v>47</v>
      </c>
      <c r="B6" s="40">
        <v>16271.595000000003</v>
      </c>
      <c r="C6" s="40">
        <v>17180.7407394</v>
      </c>
      <c r="D6" s="40">
        <v>19127.06419929862</v>
      </c>
      <c r="E6" s="40">
        <v>12644.667910276683</v>
      </c>
      <c r="F6" s="40">
        <v>33452.335739400005</v>
      </c>
      <c r="G6" s="40">
        <v>31771.732109575303</v>
      </c>
    </row>
    <row r="7" spans="1:7" ht="11.25" customHeight="1" x14ac:dyDescent="0.2">
      <c r="A7" s="47" t="s">
        <v>25</v>
      </c>
      <c r="B7" s="40">
        <v>16271.595000000003</v>
      </c>
      <c r="C7" s="40">
        <v>17180.7407394</v>
      </c>
      <c r="D7" s="40">
        <v>19127.06419929862</v>
      </c>
      <c r="E7" s="40">
        <v>12644.667910276683</v>
      </c>
      <c r="F7" s="40">
        <v>33452.335739400005</v>
      </c>
      <c r="G7" s="40">
        <v>31771.732109575303</v>
      </c>
    </row>
    <row r="8" spans="1:7" ht="11.25" customHeight="1" x14ac:dyDescent="0.2">
      <c r="A8" s="48" t="s">
        <v>25</v>
      </c>
      <c r="B8" s="40">
        <v>16271.595000000003</v>
      </c>
      <c r="C8" s="40">
        <v>17180.7407394</v>
      </c>
      <c r="D8" s="40">
        <v>19127.06419929862</v>
      </c>
      <c r="E8" s="40">
        <v>12644.667910276683</v>
      </c>
      <c r="F8" s="40">
        <v>33452.335739400005</v>
      </c>
      <c r="G8" s="40">
        <v>31771.732109575303</v>
      </c>
    </row>
    <row r="9" spans="1:7" ht="11.25" customHeight="1" x14ac:dyDescent="0.2">
      <c r="A9" s="49" t="s">
        <v>38</v>
      </c>
      <c r="B9" s="40">
        <v>3977.5725000000007</v>
      </c>
      <c r="C9" s="40">
        <v>15428.623946400003</v>
      </c>
      <c r="D9" s="40">
        <v>4665.7799710589488</v>
      </c>
      <c r="E9" s="40">
        <v>11355.146385940026</v>
      </c>
      <c r="F9" s="40">
        <v>19406.196446400005</v>
      </c>
      <c r="G9" s="40">
        <v>16020.926356998974</v>
      </c>
    </row>
    <row r="10" spans="1:7" ht="11.25" customHeight="1" x14ac:dyDescent="0.2">
      <c r="A10" s="50">
        <v>44440</v>
      </c>
      <c r="B10" s="40">
        <v>323.97750000000013</v>
      </c>
      <c r="C10" s="40">
        <v>1288.1408106000013</v>
      </c>
      <c r="D10" s="40">
        <v>380.03272864888089</v>
      </c>
      <c r="E10" s="40">
        <v>948.04484968210136</v>
      </c>
      <c r="F10" s="40">
        <v>1612.1183106000015</v>
      </c>
      <c r="G10" s="40">
        <v>1328.0775783309823</v>
      </c>
    </row>
    <row r="11" spans="1:7" ht="11.25" customHeight="1" x14ac:dyDescent="0.2">
      <c r="A11" s="50">
        <v>44470</v>
      </c>
      <c r="B11" s="40">
        <v>323.97750000000013</v>
      </c>
      <c r="C11" s="40">
        <v>1296.3492024000025</v>
      </c>
      <c r="D11" s="40">
        <v>380.03272864888089</v>
      </c>
      <c r="E11" s="40">
        <v>954.08605535319498</v>
      </c>
      <c r="F11" s="40">
        <v>1620.3267024000027</v>
      </c>
      <c r="G11" s="40">
        <v>1334.1187840020759</v>
      </c>
    </row>
    <row r="12" spans="1:7" ht="11.25" customHeight="1" x14ac:dyDescent="0.2">
      <c r="A12" s="50">
        <v>44501</v>
      </c>
      <c r="B12" s="40">
        <v>329.42250000000007</v>
      </c>
      <c r="C12" s="40">
        <v>1273.4156861999986</v>
      </c>
      <c r="D12" s="40">
        <v>386.4198333320553</v>
      </c>
      <c r="E12" s="40">
        <v>937.20746433301963</v>
      </c>
      <c r="F12" s="40">
        <v>1602.8381861999987</v>
      </c>
      <c r="G12" s="40">
        <v>1323.6272976650748</v>
      </c>
    </row>
    <row r="13" spans="1:7" ht="11.25" customHeight="1" x14ac:dyDescent="0.2">
      <c r="A13" s="50">
        <v>44531</v>
      </c>
      <c r="B13" s="40">
        <v>323.97750000000013</v>
      </c>
      <c r="C13" s="40">
        <v>1296.8490108000017</v>
      </c>
      <c r="D13" s="40">
        <v>380.03272864888089</v>
      </c>
      <c r="E13" s="40">
        <v>954.45390394206663</v>
      </c>
      <c r="F13" s="40">
        <v>1620.8265108000019</v>
      </c>
      <c r="G13" s="40">
        <v>1334.4866325909475</v>
      </c>
    </row>
    <row r="14" spans="1:7" ht="11.25" customHeight="1" x14ac:dyDescent="0.2">
      <c r="A14" s="50">
        <v>44562</v>
      </c>
      <c r="B14" s="40">
        <v>334.86750000000001</v>
      </c>
      <c r="C14" s="40">
        <v>1378.1447694000017</v>
      </c>
      <c r="D14" s="40">
        <v>392.80693801522972</v>
      </c>
      <c r="E14" s="40">
        <v>1014.2858917243884</v>
      </c>
      <c r="F14" s="40">
        <v>1713.0122694000017</v>
      </c>
      <c r="G14" s="40">
        <v>1407.0928297396181</v>
      </c>
    </row>
    <row r="15" spans="1:7" ht="11.25" customHeight="1" x14ac:dyDescent="0.2">
      <c r="A15" s="50">
        <v>44593</v>
      </c>
      <c r="B15" s="40">
        <v>334.86750000000001</v>
      </c>
      <c r="C15" s="40">
        <v>1239.9861936000007</v>
      </c>
      <c r="D15" s="40">
        <v>392.80693801522972</v>
      </c>
      <c r="E15" s="40">
        <v>912.60405294653322</v>
      </c>
      <c r="F15" s="40">
        <v>1574.8536936000007</v>
      </c>
      <c r="G15" s="40">
        <v>1305.410990961763</v>
      </c>
    </row>
    <row r="16" spans="1:7" ht="11.25" customHeight="1" x14ac:dyDescent="0.2">
      <c r="A16" s="50">
        <v>44621</v>
      </c>
      <c r="B16" s="40">
        <v>329.42250000000007</v>
      </c>
      <c r="C16" s="40">
        <v>1321.3396224000012</v>
      </c>
      <c r="D16" s="40">
        <v>386.4198333320553</v>
      </c>
      <c r="E16" s="40">
        <v>972.47848479680192</v>
      </c>
      <c r="F16" s="40">
        <v>1650.7621224000013</v>
      </c>
      <c r="G16" s="40">
        <v>1358.8983181288572</v>
      </c>
    </row>
    <row r="17" spans="1:7" ht="11.25" customHeight="1" x14ac:dyDescent="0.2">
      <c r="A17" s="50">
        <v>44652</v>
      </c>
      <c r="B17" s="40">
        <v>323.97750000000013</v>
      </c>
      <c r="C17" s="40">
        <v>1336.3338744000025</v>
      </c>
      <c r="D17" s="40">
        <v>380.03272864888089</v>
      </c>
      <c r="E17" s="40">
        <v>983.51394246296798</v>
      </c>
      <c r="F17" s="40">
        <v>1660.3113744000027</v>
      </c>
      <c r="G17" s="40">
        <v>1363.5466711118488</v>
      </c>
    </row>
    <row r="18" spans="1:7" ht="11.25" customHeight="1" x14ac:dyDescent="0.2">
      <c r="A18" s="50">
        <v>44682</v>
      </c>
      <c r="B18" s="40">
        <v>381.15</v>
      </c>
      <c r="C18" s="40">
        <v>1314.7267727999965</v>
      </c>
      <c r="D18" s="40">
        <v>447.09732782221261</v>
      </c>
      <c r="E18" s="40">
        <v>967.61156500556694</v>
      </c>
      <c r="F18" s="40">
        <v>1695.8767727999966</v>
      </c>
      <c r="G18" s="40">
        <v>1414.7088928277794</v>
      </c>
    </row>
    <row r="19" spans="1:7" ht="11.25" customHeight="1" x14ac:dyDescent="0.2">
      <c r="A19" s="50">
        <v>44713</v>
      </c>
      <c r="B19" s="40">
        <v>323.97750000000013</v>
      </c>
      <c r="C19" s="40">
        <v>1217.8600602000008</v>
      </c>
      <c r="D19" s="40">
        <v>380.03272864888089</v>
      </c>
      <c r="E19" s="40">
        <v>896.3196788776155</v>
      </c>
      <c r="F19" s="40">
        <v>1541.837560200001</v>
      </c>
      <c r="G19" s="40">
        <v>1276.3524075264963</v>
      </c>
    </row>
    <row r="20" spans="1:7" ht="11.25" customHeight="1" x14ac:dyDescent="0.2">
      <c r="A20" s="50">
        <v>44743</v>
      </c>
      <c r="B20" s="40">
        <v>323.97750000000013</v>
      </c>
      <c r="C20" s="40">
        <v>1251.1742123999984</v>
      </c>
      <c r="D20" s="40">
        <v>380.03272864888089</v>
      </c>
      <c r="E20" s="40">
        <v>920.8382021282082</v>
      </c>
      <c r="F20" s="40">
        <v>1575.1517123999986</v>
      </c>
      <c r="G20" s="40">
        <v>1300.8709307770891</v>
      </c>
    </row>
    <row r="21" spans="1:7" ht="11.25" customHeight="1" x14ac:dyDescent="0.2">
      <c r="A21" s="50">
        <v>44774</v>
      </c>
      <c r="B21" s="40">
        <v>323.97750000000013</v>
      </c>
      <c r="C21" s="40">
        <v>1214.3037311999988</v>
      </c>
      <c r="D21" s="40">
        <v>380.03272864888089</v>
      </c>
      <c r="E21" s="40">
        <v>893.70229468756213</v>
      </c>
      <c r="F21" s="40">
        <v>1538.281231199999</v>
      </c>
      <c r="G21" s="40">
        <v>1273.735023336443</v>
      </c>
    </row>
    <row r="22" spans="1:7" ht="11.25" customHeight="1" x14ac:dyDescent="0.2">
      <c r="A22" s="49" t="s">
        <v>37</v>
      </c>
      <c r="B22" s="40">
        <v>12294.022500000003</v>
      </c>
      <c r="C22" s="40">
        <v>1752.1167929999992</v>
      </c>
      <c r="D22" s="40">
        <v>14461.28422823967</v>
      </c>
      <c r="E22" s="40">
        <v>1289.5215243366561</v>
      </c>
      <c r="F22" s="40">
        <v>14046.139293000002</v>
      </c>
      <c r="G22" s="40">
        <v>15750.805752576327</v>
      </c>
    </row>
    <row r="23" spans="1:7" ht="11.25" customHeight="1" x14ac:dyDescent="0.2">
      <c r="A23" s="50">
        <v>44440</v>
      </c>
      <c r="B23" s="40">
        <v>1005.4905000000005</v>
      </c>
      <c r="C23" s="40">
        <v>154.28700839999999</v>
      </c>
      <c r="D23" s="40">
        <v>1182.7442083577466</v>
      </c>
      <c r="E23" s="40">
        <v>113.55202978030619</v>
      </c>
      <c r="F23" s="40">
        <v>1159.7775084000004</v>
      </c>
      <c r="G23" s="40">
        <v>1296.2962381380528</v>
      </c>
    </row>
    <row r="24" spans="1:7" ht="11.25" customHeight="1" x14ac:dyDescent="0.2">
      <c r="A24" s="50">
        <v>44470</v>
      </c>
      <c r="B24" s="40">
        <v>1005.4905000000005</v>
      </c>
      <c r="C24" s="40">
        <v>143.00287260000007</v>
      </c>
      <c r="D24" s="40">
        <v>1182.7442083577466</v>
      </c>
      <c r="E24" s="40">
        <v>105.24714048538476</v>
      </c>
      <c r="F24" s="40">
        <v>1148.4933726000006</v>
      </c>
      <c r="G24" s="40">
        <v>1287.9913488431314</v>
      </c>
    </row>
    <row r="25" spans="1:7" ht="11.25" customHeight="1" x14ac:dyDescent="0.2">
      <c r="A25" s="50">
        <v>44501</v>
      </c>
      <c r="B25" s="40">
        <v>1013.9399999999999</v>
      </c>
      <c r="C25" s="40">
        <v>147.8856161999999</v>
      </c>
      <c r="D25" s="40">
        <v>1192.6832353187356</v>
      </c>
      <c r="E25" s="40">
        <v>108.84073823821267</v>
      </c>
      <c r="F25" s="40">
        <v>1161.8256161999998</v>
      </c>
      <c r="G25" s="40">
        <v>1301.5239735569482</v>
      </c>
    </row>
    <row r="26" spans="1:7" ht="11.25" customHeight="1" x14ac:dyDescent="0.2">
      <c r="A26" s="50">
        <v>44531</v>
      </c>
      <c r="B26" s="40">
        <v>1005.4905000000005</v>
      </c>
      <c r="C26" s="40">
        <v>150.0578603999999</v>
      </c>
      <c r="D26" s="40">
        <v>1182.7442083577466</v>
      </c>
      <c r="E26" s="40">
        <v>110.43946479754167</v>
      </c>
      <c r="F26" s="40">
        <v>1155.5483604000003</v>
      </c>
      <c r="G26" s="40">
        <v>1293.1836731552883</v>
      </c>
    </row>
    <row r="27" spans="1:7" ht="11.25" customHeight="1" x14ac:dyDescent="0.2">
      <c r="A27" s="50">
        <v>44562</v>
      </c>
      <c r="B27" s="40">
        <v>1030.8389999999997</v>
      </c>
      <c r="C27" s="40">
        <v>141.52267080000004</v>
      </c>
      <c r="D27" s="40">
        <v>1212.5612892407144</v>
      </c>
      <c r="E27" s="40">
        <v>104.1577427414172</v>
      </c>
      <c r="F27" s="40">
        <v>1172.3616707999997</v>
      </c>
      <c r="G27" s="40">
        <v>1316.7190319821316</v>
      </c>
    </row>
    <row r="28" spans="1:7" ht="11.25" customHeight="1" x14ac:dyDescent="0.2">
      <c r="A28" s="50">
        <v>44593</v>
      </c>
      <c r="B28" s="40">
        <v>1030.8389999999997</v>
      </c>
      <c r="C28" s="40">
        <v>139.44654359999981</v>
      </c>
      <c r="D28" s="40">
        <v>1212.5612892407144</v>
      </c>
      <c r="E28" s="40">
        <v>102.62975629533267</v>
      </c>
      <c r="F28" s="40">
        <v>1170.2855435999995</v>
      </c>
      <c r="G28" s="40">
        <v>1315.1910455360471</v>
      </c>
    </row>
    <row r="29" spans="1:7" ht="11.25" customHeight="1" x14ac:dyDescent="0.2">
      <c r="A29" s="50">
        <v>44621</v>
      </c>
      <c r="B29" s="40">
        <v>1022.3895000000003</v>
      </c>
      <c r="C29" s="40">
        <v>153.76797660000003</v>
      </c>
      <c r="D29" s="40">
        <v>1202.6222622797254</v>
      </c>
      <c r="E29" s="40">
        <v>113.17003316878512</v>
      </c>
      <c r="F29" s="40">
        <v>1176.1574766000003</v>
      </c>
      <c r="G29" s="40">
        <v>1315.7922954485105</v>
      </c>
    </row>
    <row r="30" spans="1:7" ht="11.25" customHeight="1" x14ac:dyDescent="0.2">
      <c r="A30" s="50">
        <v>44652</v>
      </c>
      <c r="B30" s="40">
        <v>1005.4905000000005</v>
      </c>
      <c r="C30" s="40">
        <v>141.92636220000011</v>
      </c>
      <c r="D30" s="40">
        <v>1182.7442083577466</v>
      </c>
      <c r="E30" s="40">
        <v>104.45485121704476</v>
      </c>
      <c r="F30" s="40">
        <v>1147.4168622000007</v>
      </c>
      <c r="G30" s="40">
        <v>1287.1990595747914</v>
      </c>
    </row>
    <row r="31" spans="1:7" ht="11.25" customHeight="1" x14ac:dyDescent="0.2">
      <c r="A31" s="50">
        <v>44682</v>
      </c>
      <c r="B31" s="40">
        <v>1132.2330000000004</v>
      </c>
      <c r="C31" s="40">
        <v>146.3669675999999</v>
      </c>
      <c r="D31" s="40">
        <v>1331.8296127725887</v>
      </c>
      <c r="E31" s="40">
        <v>107.72304444894726</v>
      </c>
      <c r="F31" s="40">
        <v>1278.5999676000004</v>
      </c>
      <c r="G31" s="40">
        <v>1439.552657221536</v>
      </c>
    </row>
    <row r="32" spans="1:7" ht="11.25" customHeight="1" x14ac:dyDescent="0.2">
      <c r="A32" s="50">
        <v>44713</v>
      </c>
      <c r="B32" s="40">
        <v>1005.4905000000005</v>
      </c>
      <c r="C32" s="40">
        <v>146.40541439999987</v>
      </c>
      <c r="D32" s="40">
        <v>1182.7442083577466</v>
      </c>
      <c r="E32" s="40">
        <v>107.75134049424511</v>
      </c>
      <c r="F32" s="40">
        <v>1151.8959144000003</v>
      </c>
      <c r="G32" s="40">
        <v>1290.4955488519918</v>
      </c>
    </row>
    <row r="33" spans="1:7" ht="11.25" customHeight="1" x14ac:dyDescent="0.2">
      <c r="A33" s="50">
        <v>44743</v>
      </c>
      <c r="B33" s="40">
        <v>1005.4905000000005</v>
      </c>
      <c r="C33" s="40">
        <v>134.79448079999977</v>
      </c>
      <c r="D33" s="40">
        <v>1182.7442083577466</v>
      </c>
      <c r="E33" s="40">
        <v>99.205934814291766</v>
      </c>
      <c r="F33" s="40">
        <v>1140.2849808000003</v>
      </c>
      <c r="G33" s="40">
        <v>1281.9501431720385</v>
      </c>
    </row>
    <row r="34" spans="1:7" ht="11.25" customHeight="1" x14ac:dyDescent="0.2">
      <c r="A34" s="50">
        <v>44774</v>
      </c>
      <c r="B34" s="40">
        <v>1030.8389999999997</v>
      </c>
      <c r="C34" s="40">
        <v>152.65301939999983</v>
      </c>
      <c r="D34" s="40">
        <v>1212.5612892407144</v>
      </c>
      <c r="E34" s="40">
        <v>112.34944785514708</v>
      </c>
      <c r="F34" s="40">
        <v>1183.4920193999997</v>
      </c>
      <c r="G34" s="40">
        <v>1324.9107370958614</v>
      </c>
    </row>
    <row r="35" spans="1:7" ht="11.25" customHeight="1" x14ac:dyDescent="0.2">
      <c r="A35" s="44" t="s">
        <v>36</v>
      </c>
      <c r="B35" s="40">
        <v>1960.1999999999996</v>
      </c>
      <c r="C35" s="40">
        <v>9109.1242908000022</v>
      </c>
      <c r="D35" s="40">
        <v>2299.3576859428072</v>
      </c>
      <c r="E35" s="40">
        <v>7879.0423427015185</v>
      </c>
      <c r="F35" s="40">
        <v>11069.324290800001</v>
      </c>
      <c r="G35" s="40">
        <v>10178.400028644326</v>
      </c>
    </row>
    <row r="36" spans="1:7" ht="11.25" customHeight="1" x14ac:dyDescent="0.2">
      <c r="A36" s="45" t="s">
        <v>46</v>
      </c>
      <c r="B36" s="40">
        <v>1960.1999999999996</v>
      </c>
      <c r="C36" s="40">
        <v>9109.1242908000022</v>
      </c>
      <c r="D36" s="40">
        <v>2299.3576859428072</v>
      </c>
      <c r="E36" s="40">
        <v>7879.0423427015185</v>
      </c>
      <c r="F36" s="40">
        <v>11069.324290800001</v>
      </c>
      <c r="G36" s="40">
        <v>10178.400028644326</v>
      </c>
    </row>
    <row r="37" spans="1:7" ht="11.25" customHeight="1" x14ac:dyDescent="0.2">
      <c r="A37" s="46" t="s">
        <v>47</v>
      </c>
      <c r="B37" s="40">
        <v>1960.1999999999996</v>
      </c>
      <c r="C37" s="40">
        <v>9109.1242908000022</v>
      </c>
      <c r="D37" s="40">
        <v>2299.3576859428072</v>
      </c>
      <c r="E37" s="40">
        <v>7879.0423427015185</v>
      </c>
      <c r="F37" s="40">
        <v>11069.324290800001</v>
      </c>
      <c r="G37" s="40">
        <v>10178.400028644326</v>
      </c>
    </row>
    <row r="38" spans="1:7" ht="11.25" customHeight="1" x14ac:dyDescent="0.2">
      <c r="A38" s="47" t="s">
        <v>25</v>
      </c>
      <c r="B38" s="40">
        <v>1960.1999999999996</v>
      </c>
      <c r="C38" s="40">
        <v>9109.1242908000022</v>
      </c>
      <c r="D38" s="40">
        <v>2299.3576859428072</v>
      </c>
      <c r="E38" s="40">
        <v>7879.0423427015185</v>
      </c>
      <c r="F38" s="40">
        <v>11069.324290800001</v>
      </c>
      <c r="G38" s="40">
        <v>10178.400028644326</v>
      </c>
    </row>
    <row r="39" spans="1:7" ht="11.25" customHeight="1" x14ac:dyDescent="0.2">
      <c r="A39" s="48" t="s">
        <v>25</v>
      </c>
      <c r="B39" s="40">
        <v>1960.1999999999996</v>
      </c>
      <c r="C39" s="40">
        <v>9109.1242908000022</v>
      </c>
      <c r="D39" s="40">
        <v>2299.3576859428072</v>
      </c>
      <c r="E39" s="40">
        <v>7879.0423427015185</v>
      </c>
      <c r="F39" s="40">
        <v>11069.324290800001</v>
      </c>
      <c r="G39" s="40">
        <v>10178.400028644326</v>
      </c>
    </row>
    <row r="40" spans="1:7" ht="11.25" customHeight="1" x14ac:dyDescent="0.2">
      <c r="A40" s="49" t="s">
        <v>38</v>
      </c>
      <c r="B40" s="40">
        <v>0</v>
      </c>
      <c r="C40" s="40">
        <v>5809.5421607999997</v>
      </c>
      <c r="D40" s="40">
        <v>0</v>
      </c>
      <c r="E40" s="40">
        <v>4275.7022207782074</v>
      </c>
      <c r="F40" s="40">
        <v>5809.5421607999997</v>
      </c>
      <c r="G40" s="40">
        <v>4275.7022207782074</v>
      </c>
    </row>
    <row r="41" spans="1:7" ht="11.25" customHeight="1" x14ac:dyDescent="0.2">
      <c r="A41" s="50">
        <v>44440</v>
      </c>
      <c r="B41" s="40">
        <v>0</v>
      </c>
      <c r="C41" s="40">
        <v>663.09195959999988</v>
      </c>
      <c r="D41" s="40">
        <v>0</v>
      </c>
      <c r="E41" s="40">
        <v>488.02189325216563</v>
      </c>
      <c r="F41" s="40">
        <v>663.09195959999988</v>
      </c>
      <c r="G41" s="40">
        <v>488.02189325216563</v>
      </c>
    </row>
    <row r="42" spans="1:7" ht="11.25" customHeight="1" x14ac:dyDescent="0.2">
      <c r="A42" s="50">
        <v>44470</v>
      </c>
      <c r="B42" s="40">
        <v>0</v>
      </c>
      <c r="C42" s="40">
        <v>413.9374722000008</v>
      </c>
      <c r="D42" s="40">
        <v>0</v>
      </c>
      <c r="E42" s="40">
        <v>304.64937169939418</v>
      </c>
      <c r="F42" s="40">
        <v>413.9374722000008</v>
      </c>
      <c r="G42" s="40">
        <v>304.64937169939418</v>
      </c>
    </row>
    <row r="43" spans="1:7" ht="11.25" customHeight="1" x14ac:dyDescent="0.2">
      <c r="A43" s="50">
        <v>44501</v>
      </c>
      <c r="B43" s="40">
        <v>0</v>
      </c>
      <c r="C43" s="40">
        <v>460.5926639999999</v>
      </c>
      <c r="D43" s="40">
        <v>0</v>
      </c>
      <c r="E43" s="40">
        <v>338.98662266834486</v>
      </c>
      <c r="F43" s="40">
        <v>460.5926639999999</v>
      </c>
      <c r="G43" s="40">
        <v>338.98662266834486</v>
      </c>
    </row>
    <row r="44" spans="1:7" ht="11.25" customHeight="1" x14ac:dyDescent="0.2">
      <c r="A44" s="50">
        <v>44531</v>
      </c>
      <c r="B44" s="40">
        <v>0</v>
      </c>
      <c r="C44" s="40">
        <v>475.45235219999967</v>
      </c>
      <c r="D44" s="40">
        <v>0</v>
      </c>
      <c r="E44" s="40">
        <v>349.92304417596699</v>
      </c>
      <c r="F44" s="40">
        <v>475.45235219999967</v>
      </c>
      <c r="G44" s="40">
        <v>349.92304417596699</v>
      </c>
    </row>
    <row r="45" spans="1:7" ht="11.25" customHeight="1" x14ac:dyDescent="0.2">
      <c r="A45" s="50">
        <v>44562</v>
      </c>
      <c r="B45" s="40">
        <v>0</v>
      </c>
      <c r="C45" s="40">
        <v>452.48038919999971</v>
      </c>
      <c r="D45" s="40">
        <v>0</v>
      </c>
      <c r="E45" s="40">
        <v>333.01615711049658</v>
      </c>
      <c r="F45" s="40">
        <v>452.48038919999971</v>
      </c>
      <c r="G45" s="40">
        <v>333.01615711049658</v>
      </c>
    </row>
    <row r="46" spans="1:7" ht="11.25" customHeight="1" x14ac:dyDescent="0.2">
      <c r="A46" s="50">
        <v>44593</v>
      </c>
      <c r="B46" s="40">
        <v>0</v>
      </c>
      <c r="C46" s="40">
        <v>428.45113919999994</v>
      </c>
      <c r="D46" s="40">
        <v>0</v>
      </c>
      <c r="E46" s="40">
        <v>315.33112879933515</v>
      </c>
      <c r="F46" s="40">
        <v>428.45113919999994</v>
      </c>
      <c r="G46" s="40">
        <v>315.33112879933515</v>
      </c>
    </row>
    <row r="47" spans="1:7" ht="11.25" customHeight="1" x14ac:dyDescent="0.2">
      <c r="A47" s="50">
        <v>44621</v>
      </c>
      <c r="B47" s="40">
        <v>0</v>
      </c>
      <c r="C47" s="40">
        <v>463.97598239999934</v>
      </c>
      <c r="D47" s="40">
        <v>0</v>
      </c>
      <c r="E47" s="40">
        <v>341.47667465455595</v>
      </c>
      <c r="F47" s="40">
        <v>463.97598239999934</v>
      </c>
      <c r="G47" s="40">
        <v>341.47667465455595</v>
      </c>
    </row>
    <row r="48" spans="1:7" ht="11.25" customHeight="1" x14ac:dyDescent="0.2">
      <c r="A48" s="50">
        <v>44652</v>
      </c>
      <c r="B48" s="40">
        <v>0</v>
      </c>
      <c r="C48" s="40">
        <v>451.11552780000011</v>
      </c>
      <c r="D48" s="40">
        <v>0</v>
      </c>
      <c r="E48" s="40">
        <v>332.01164750242293</v>
      </c>
      <c r="F48" s="40">
        <v>451.11552780000011</v>
      </c>
      <c r="G48" s="40">
        <v>332.01164750242293</v>
      </c>
    </row>
    <row r="49" spans="1:7" ht="11.25" customHeight="1" x14ac:dyDescent="0.2">
      <c r="A49" s="50">
        <v>44682</v>
      </c>
      <c r="B49" s="40">
        <v>0</v>
      </c>
      <c r="C49" s="40">
        <v>519.80073599999969</v>
      </c>
      <c r="D49" s="40">
        <v>0</v>
      </c>
      <c r="E49" s="40">
        <v>382.56253242704679</v>
      </c>
      <c r="F49" s="40">
        <v>519.80073599999969</v>
      </c>
      <c r="G49" s="40">
        <v>382.56253242704679</v>
      </c>
    </row>
    <row r="50" spans="1:7" ht="11.25" customHeight="1" x14ac:dyDescent="0.2">
      <c r="A50" s="50">
        <v>44713</v>
      </c>
      <c r="B50" s="40">
        <v>0</v>
      </c>
      <c r="C50" s="40">
        <v>485.35240320000054</v>
      </c>
      <c r="D50" s="40">
        <v>0</v>
      </c>
      <c r="E50" s="40">
        <v>357.20927584016619</v>
      </c>
      <c r="F50" s="40">
        <v>485.35240320000054</v>
      </c>
      <c r="G50" s="40">
        <v>357.20927584016619</v>
      </c>
    </row>
    <row r="51" spans="1:7" ht="11.25" customHeight="1" x14ac:dyDescent="0.2">
      <c r="A51" s="50">
        <v>44743</v>
      </c>
      <c r="B51" s="40">
        <v>0</v>
      </c>
      <c r="C51" s="40">
        <v>503.8068671999996</v>
      </c>
      <c r="D51" s="40">
        <v>0</v>
      </c>
      <c r="E51" s="40">
        <v>370.7913775831376</v>
      </c>
      <c r="F51" s="40">
        <v>503.8068671999996</v>
      </c>
      <c r="G51" s="40">
        <v>370.7913775831376</v>
      </c>
    </row>
    <row r="52" spans="1:7" ht="11.25" customHeight="1" x14ac:dyDescent="0.2">
      <c r="A52" s="50">
        <v>44774</v>
      </c>
      <c r="B52" s="40">
        <v>0</v>
      </c>
      <c r="C52" s="40">
        <v>491.48466780000052</v>
      </c>
      <c r="D52" s="40">
        <v>0</v>
      </c>
      <c r="E52" s="40">
        <v>361.7224950651746</v>
      </c>
      <c r="F52" s="40">
        <v>491.48466780000052</v>
      </c>
      <c r="G52" s="40">
        <v>361.7224950651746</v>
      </c>
    </row>
    <row r="53" spans="1:7" ht="11.25" customHeight="1" x14ac:dyDescent="0.2">
      <c r="A53" s="49" t="s">
        <v>25</v>
      </c>
      <c r="B53" s="40">
        <v>1960.1999999999996</v>
      </c>
      <c r="C53" s="40">
        <v>0</v>
      </c>
      <c r="D53" s="40">
        <v>2299.3576859428072</v>
      </c>
      <c r="E53" s="40">
        <v>0</v>
      </c>
      <c r="F53" s="40">
        <v>1960.1999999999996</v>
      </c>
      <c r="G53" s="40">
        <v>2299.3576859428072</v>
      </c>
    </row>
    <row r="54" spans="1:7" ht="11.25" customHeight="1" x14ac:dyDescent="0.2">
      <c r="A54" s="50">
        <v>44440</v>
      </c>
      <c r="B54" s="40">
        <v>163.35</v>
      </c>
      <c r="C54" s="40">
        <v>0</v>
      </c>
      <c r="D54" s="40">
        <v>191.61314049523398</v>
      </c>
      <c r="E54" s="40">
        <v>0</v>
      </c>
      <c r="F54" s="40">
        <v>163.35</v>
      </c>
      <c r="G54" s="40">
        <v>191.61314049523398</v>
      </c>
    </row>
    <row r="55" spans="1:7" ht="11.25" customHeight="1" x14ac:dyDescent="0.2">
      <c r="A55" s="50">
        <v>44470</v>
      </c>
      <c r="B55" s="40">
        <v>163.35</v>
      </c>
      <c r="C55" s="40">
        <v>0</v>
      </c>
      <c r="D55" s="40">
        <v>191.61314049523398</v>
      </c>
      <c r="E55" s="40">
        <v>0</v>
      </c>
      <c r="F55" s="40">
        <v>163.35</v>
      </c>
      <c r="G55" s="40">
        <v>191.61314049523398</v>
      </c>
    </row>
    <row r="56" spans="1:7" ht="11.25" customHeight="1" x14ac:dyDescent="0.2">
      <c r="A56" s="50">
        <v>44501</v>
      </c>
      <c r="B56" s="40">
        <v>163.35</v>
      </c>
      <c r="C56" s="40">
        <v>0</v>
      </c>
      <c r="D56" s="40">
        <v>191.61314049523398</v>
      </c>
      <c r="E56" s="40">
        <v>0</v>
      </c>
      <c r="F56" s="40">
        <v>163.35</v>
      </c>
      <c r="G56" s="40">
        <v>191.61314049523398</v>
      </c>
    </row>
    <row r="57" spans="1:7" ht="11.25" customHeight="1" x14ac:dyDescent="0.2">
      <c r="A57" s="50">
        <v>44531</v>
      </c>
      <c r="B57" s="40">
        <v>163.35</v>
      </c>
      <c r="C57" s="40">
        <v>0</v>
      </c>
      <c r="D57" s="40">
        <v>191.61314049523398</v>
      </c>
      <c r="E57" s="40">
        <v>0</v>
      </c>
      <c r="F57" s="40">
        <v>163.35</v>
      </c>
      <c r="G57" s="40">
        <v>191.61314049523398</v>
      </c>
    </row>
    <row r="58" spans="1:7" ht="11.25" customHeight="1" x14ac:dyDescent="0.2">
      <c r="A58" s="50">
        <v>44562</v>
      </c>
      <c r="B58" s="40">
        <v>163.35</v>
      </c>
      <c r="C58" s="40">
        <v>0</v>
      </c>
      <c r="D58" s="40">
        <v>191.61314049523398</v>
      </c>
      <c r="E58" s="40">
        <v>0</v>
      </c>
      <c r="F58" s="40">
        <v>163.35</v>
      </c>
      <c r="G58" s="40">
        <v>191.61314049523398</v>
      </c>
    </row>
    <row r="59" spans="1:7" ht="11.25" customHeight="1" x14ac:dyDescent="0.2">
      <c r="A59" s="50">
        <v>44593</v>
      </c>
      <c r="B59" s="40">
        <v>163.35</v>
      </c>
      <c r="C59" s="40">
        <v>0</v>
      </c>
      <c r="D59" s="40">
        <v>191.61314049523398</v>
      </c>
      <c r="E59" s="40">
        <v>0</v>
      </c>
      <c r="F59" s="40">
        <v>163.35</v>
      </c>
      <c r="G59" s="40">
        <v>191.61314049523398</v>
      </c>
    </row>
    <row r="60" spans="1:7" ht="11.25" customHeight="1" x14ac:dyDescent="0.2">
      <c r="A60" s="50">
        <v>44621</v>
      </c>
      <c r="B60" s="40">
        <v>163.35</v>
      </c>
      <c r="C60" s="40">
        <v>0</v>
      </c>
      <c r="D60" s="40">
        <v>191.61314049523398</v>
      </c>
      <c r="E60" s="40">
        <v>0</v>
      </c>
      <c r="F60" s="40">
        <v>163.35</v>
      </c>
      <c r="G60" s="40">
        <v>191.61314049523398</v>
      </c>
    </row>
    <row r="61" spans="1:7" ht="11.25" customHeight="1" x14ac:dyDescent="0.2">
      <c r="A61" s="50">
        <v>44652</v>
      </c>
      <c r="B61" s="40">
        <v>163.35</v>
      </c>
      <c r="C61" s="40">
        <v>0</v>
      </c>
      <c r="D61" s="40">
        <v>191.61314049523398</v>
      </c>
      <c r="E61" s="40">
        <v>0</v>
      </c>
      <c r="F61" s="40">
        <v>163.35</v>
      </c>
      <c r="G61" s="40">
        <v>191.61314049523398</v>
      </c>
    </row>
    <row r="62" spans="1:7" ht="11.25" customHeight="1" x14ac:dyDescent="0.2">
      <c r="A62" s="50">
        <v>44682</v>
      </c>
      <c r="B62" s="40">
        <v>163.35</v>
      </c>
      <c r="C62" s="40">
        <v>0</v>
      </c>
      <c r="D62" s="40">
        <v>191.61314049523398</v>
      </c>
      <c r="E62" s="40">
        <v>0</v>
      </c>
      <c r="F62" s="40">
        <v>163.35</v>
      </c>
      <c r="G62" s="40">
        <v>191.61314049523398</v>
      </c>
    </row>
    <row r="63" spans="1:7" ht="11.25" customHeight="1" x14ac:dyDescent="0.2">
      <c r="A63" s="50">
        <v>44713</v>
      </c>
      <c r="B63" s="40">
        <v>163.35</v>
      </c>
      <c r="C63" s="40">
        <v>0</v>
      </c>
      <c r="D63" s="40">
        <v>191.61314049523398</v>
      </c>
      <c r="E63" s="40">
        <v>0</v>
      </c>
      <c r="F63" s="40">
        <v>163.35</v>
      </c>
      <c r="G63" s="40">
        <v>191.61314049523398</v>
      </c>
    </row>
    <row r="64" spans="1:7" ht="11.25" customHeight="1" x14ac:dyDescent="0.2">
      <c r="A64" s="50">
        <v>44743</v>
      </c>
      <c r="B64" s="40">
        <v>163.35</v>
      </c>
      <c r="C64" s="40">
        <v>0</v>
      </c>
      <c r="D64" s="40">
        <v>191.61314049523398</v>
      </c>
      <c r="E64" s="40">
        <v>0</v>
      </c>
      <c r="F64" s="40">
        <v>163.35</v>
      </c>
      <c r="G64" s="40">
        <v>191.61314049523398</v>
      </c>
    </row>
    <row r="65" spans="1:7" ht="11.25" customHeight="1" x14ac:dyDescent="0.2">
      <c r="A65" s="50">
        <v>44774</v>
      </c>
      <c r="B65" s="40">
        <v>163.35</v>
      </c>
      <c r="C65" s="40">
        <v>0</v>
      </c>
      <c r="D65" s="40">
        <v>191.61314049523398</v>
      </c>
      <c r="E65" s="40">
        <v>0</v>
      </c>
      <c r="F65" s="40">
        <v>163.35</v>
      </c>
      <c r="G65" s="40">
        <v>191.61314049523398</v>
      </c>
    </row>
    <row r="66" spans="1:7" ht="11.25" customHeight="1" x14ac:dyDescent="0.2">
      <c r="A66" s="49" t="s">
        <v>37</v>
      </c>
      <c r="B66" s="40">
        <v>0</v>
      </c>
      <c r="C66" s="40">
        <v>3299.5821300000011</v>
      </c>
      <c r="D66" s="40">
        <v>0</v>
      </c>
      <c r="E66" s="40">
        <v>3603.3401219233119</v>
      </c>
      <c r="F66" s="40">
        <v>3299.5821300000011</v>
      </c>
      <c r="G66" s="40">
        <v>3603.3401219233119</v>
      </c>
    </row>
    <row r="67" spans="1:7" ht="11.25" customHeight="1" x14ac:dyDescent="0.2">
      <c r="A67" s="50">
        <v>44440</v>
      </c>
      <c r="B67" s="40">
        <v>0</v>
      </c>
      <c r="C67" s="40">
        <v>384.18896880000068</v>
      </c>
      <c r="D67" s="40">
        <v>0</v>
      </c>
      <c r="E67" s="40">
        <v>419.55722607740813</v>
      </c>
      <c r="F67" s="40">
        <v>384.18896880000068</v>
      </c>
      <c r="G67" s="40">
        <v>419.55722607740813</v>
      </c>
    </row>
    <row r="68" spans="1:7" ht="11.25" customHeight="1" x14ac:dyDescent="0.2">
      <c r="A68" s="50">
        <v>44470</v>
      </c>
      <c r="B68" s="40">
        <v>0</v>
      </c>
      <c r="C68" s="40">
        <v>233.20732799999962</v>
      </c>
      <c r="D68" s="40">
        <v>0</v>
      </c>
      <c r="E68" s="40">
        <v>254.67628584499826</v>
      </c>
      <c r="F68" s="40">
        <v>233.20732799999962</v>
      </c>
      <c r="G68" s="40">
        <v>254.67628584499826</v>
      </c>
    </row>
    <row r="69" spans="1:7" ht="11.25" customHeight="1" x14ac:dyDescent="0.2">
      <c r="A69" s="50">
        <v>44501</v>
      </c>
      <c r="B69" s="40">
        <v>0</v>
      </c>
      <c r="C69" s="40">
        <v>279.34619159999977</v>
      </c>
      <c r="D69" s="40">
        <v>0</v>
      </c>
      <c r="E69" s="40">
        <v>305.06267170829778</v>
      </c>
      <c r="F69" s="40">
        <v>279.34619159999977</v>
      </c>
      <c r="G69" s="40">
        <v>305.06267170829778</v>
      </c>
    </row>
    <row r="70" spans="1:7" ht="11.25" customHeight="1" x14ac:dyDescent="0.2">
      <c r="A70" s="50">
        <v>44531</v>
      </c>
      <c r="B70" s="40">
        <v>0</v>
      </c>
      <c r="C70" s="40">
        <v>275.9284980000005</v>
      </c>
      <c r="D70" s="40">
        <v>0</v>
      </c>
      <c r="E70" s="40">
        <v>301.33034682953564</v>
      </c>
      <c r="F70" s="40">
        <v>275.9284980000005</v>
      </c>
      <c r="G70" s="40">
        <v>301.33034682953564</v>
      </c>
    </row>
    <row r="71" spans="1:7" ht="11.25" customHeight="1" x14ac:dyDescent="0.2">
      <c r="A71" s="50">
        <v>44562</v>
      </c>
      <c r="B71" s="40">
        <v>0</v>
      </c>
      <c r="C71" s="40">
        <v>242.25416400000012</v>
      </c>
      <c r="D71" s="40">
        <v>0</v>
      </c>
      <c r="E71" s="40">
        <v>264.55596934760649</v>
      </c>
      <c r="F71" s="40">
        <v>242.25416400000012</v>
      </c>
      <c r="G71" s="40">
        <v>264.55596934760649</v>
      </c>
    </row>
    <row r="72" spans="1:7" ht="11.25" customHeight="1" x14ac:dyDescent="0.2">
      <c r="A72" s="50">
        <v>44593</v>
      </c>
      <c r="B72" s="40">
        <v>0</v>
      </c>
      <c r="C72" s="40">
        <v>253.61296920000009</v>
      </c>
      <c r="D72" s="40">
        <v>0</v>
      </c>
      <c r="E72" s="40">
        <v>276.96046085643621</v>
      </c>
      <c r="F72" s="40">
        <v>253.61296920000009</v>
      </c>
      <c r="G72" s="40">
        <v>276.96046085643621</v>
      </c>
    </row>
    <row r="73" spans="1:7" ht="11.25" customHeight="1" x14ac:dyDescent="0.2">
      <c r="A73" s="50">
        <v>44621</v>
      </c>
      <c r="B73" s="40">
        <v>0</v>
      </c>
      <c r="C73" s="40">
        <v>283.2664872000002</v>
      </c>
      <c r="D73" s="40">
        <v>0</v>
      </c>
      <c r="E73" s="40">
        <v>309.34386789276158</v>
      </c>
      <c r="F73" s="40">
        <v>283.2664872000002</v>
      </c>
      <c r="G73" s="40">
        <v>309.34386789276158</v>
      </c>
    </row>
    <row r="74" spans="1:7" ht="11.25" customHeight="1" x14ac:dyDescent="0.2">
      <c r="A74" s="50">
        <v>44652</v>
      </c>
      <c r="B74" s="40">
        <v>0</v>
      </c>
      <c r="C74" s="40">
        <v>262.45876440000001</v>
      </c>
      <c r="D74" s="40">
        <v>0</v>
      </c>
      <c r="E74" s="40">
        <v>286.62059583676364</v>
      </c>
      <c r="F74" s="40">
        <v>262.45876440000001</v>
      </c>
      <c r="G74" s="40">
        <v>286.62059583676364</v>
      </c>
    </row>
    <row r="75" spans="1:7" ht="11.25" customHeight="1" x14ac:dyDescent="0.2">
      <c r="A75" s="50">
        <v>44682</v>
      </c>
      <c r="B75" s="40">
        <v>0</v>
      </c>
      <c r="C75" s="40">
        <v>279.24567119999989</v>
      </c>
      <c r="D75" s="40">
        <v>0</v>
      </c>
      <c r="E75" s="40">
        <v>304.9528974471578</v>
      </c>
      <c r="F75" s="40">
        <v>279.24567119999989</v>
      </c>
      <c r="G75" s="40">
        <v>304.9528974471578</v>
      </c>
    </row>
    <row r="76" spans="1:7" ht="11.25" customHeight="1" x14ac:dyDescent="0.2">
      <c r="A76" s="50">
        <v>44713</v>
      </c>
      <c r="B76" s="40">
        <v>0</v>
      </c>
      <c r="C76" s="40">
        <v>278.34098759999989</v>
      </c>
      <c r="D76" s="40">
        <v>0</v>
      </c>
      <c r="E76" s="40">
        <v>303.96492909689704</v>
      </c>
      <c r="F76" s="40">
        <v>278.34098759999989</v>
      </c>
      <c r="G76" s="40">
        <v>303.96492909689704</v>
      </c>
    </row>
    <row r="77" spans="1:7" ht="11.25" customHeight="1" x14ac:dyDescent="0.2">
      <c r="A77" s="50">
        <v>44743</v>
      </c>
      <c r="B77" s="40">
        <v>0</v>
      </c>
      <c r="C77" s="40">
        <v>254.91973439999975</v>
      </c>
      <c r="D77" s="40">
        <v>0</v>
      </c>
      <c r="E77" s="40">
        <v>278.38752625125693</v>
      </c>
      <c r="F77" s="40">
        <v>254.91973439999975</v>
      </c>
      <c r="G77" s="40">
        <v>278.38752625125693</v>
      </c>
    </row>
    <row r="78" spans="1:7" ht="11.25" customHeight="1" x14ac:dyDescent="0.2">
      <c r="A78" s="50">
        <v>44774</v>
      </c>
      <c r="B78" s="40">
        <v>0</v>
      </c>
      <c r="C78" s="40">
        <v>272.81236560000013</v>
      </c>
      <c r="D78" s="40">
        <v>0</v>
      </c>
      <c r="E78" s="40">
        <v>297.92734473419262</v>
      </c>
      <c r="F78" s="40">
        <v>272.81236560000013</v>
      </c>
      <c r="G78" s="40">
        <v>297.92734473419262</v>
      </c>
    </row>
    <row r="79" spans="1:7" ht="11.25" customHeight="1" x14ac:dyDescent="0.2">
      <c r="A79" s="43" t="s">
        <v>33</v>
      </c>
      <c r="B79" s="40">
        <v>0</v>
      </c>
      <c r="C79" s="40">
        <v>7427.7673380000015</v>
      </c>
      <c r="D79" s="40">
        <v>0</v>
      </c>
      <c r="E79" s="40">
        <v>6822.6400601724536</v>
      </c>
      <c r="F79" s="40">
        <v>7427.7673380000015</v>
      </c>
      <c r="G79" s="40">
        <v>6822.6400601724536</v>
      </c>
    </row>
    <row r="80" spans="1:7" ht="11.25" customHeight="1" x14ac:dyDescent="0.2">
      <c r="A80" s="44" t="s">
        <v>23</v>
      </c>
      <c r="B80" s="40">
        <v>0</v>
      </c>
      <c r="C80" s="40">
        <v>7427.7673380000015</v>
      </c>
      <c r="D80" s="40">
        <v>0</v>
      </c>
      <c r="E80" s="40">
        <v>6822.6400601724536</v>
      </c>
      <c r="F80" s="40">
        <v>7427.7673380000015</v>
      </c>
      <c r="G80" s="40">
        <v>6822.6400601724536</v>
      </c>
    </row>
    <row r="81" spans="1:7" ht="11.25" customHeight="1" x14ac:dyDescent="0.2">
      <c r="A81" s="45" t="s">
        <v>46</v>
      </c>
      <c r="B81" s="40">
        <v>0</v>
      </c>
      <c r="C81" s="40">
        <v>7427.7673380000015</v>
      </c>
      <c r="D81" s="40">
        <v>0</v>
      </c>
      <c r="E81" s="40">
        <v>6822.6400601724536</v>
      </c>
      <c r="F81" s="40">
        <v>7427.7673380000015</v>
      </c>
      <c r="G81" s="40">
        <v>6822.6400601724536</v>
      </c>
    </row>
    <row r="82" spans="1:7" ht="11.25" customHeight="1" x14ac:dyDescent="0.2">
      <c r="A82" s="46" t="s">
        <v>47</v>
      </c>
      <c r="B82" s="40">
        <v>0</v>
      </c>
      <c r="C82" s="40">
        <v>7427.7673380000015</v>
      </c>
      <c r="D82" s="40">
        <v>0</v>
      </c>
      <c r="E82" s="40">
        <v>6822.6400601724536</v>
      </c>
      <c r="F82" s="40">
        <v>7427.7673380000015</v>
      </c>
      <c r="G82" s="40">
        <v>6822.6400601724536</v>
      </c>
    </row>
    <row r="83" spans="1:7" ht="11.25" customHeight="1" x14ac:dyDescent="0.2">
      <c r="A83" s="47" t="s">
        <v>25</v>
      </c>
      <c r="B83" s="40">
        <v>0</v>
      </c>
      <c r="C83" s="40">
        <v>7427.7673380000015</v>
      </c>
      <c r="D83" s="40">
        <v>0</v>
      </c>
      <c r="E83" s="40">
        <v>6822.6400601724536</v>
      </c>
      <c r="F83" s="40">
        <v>7427.7673380000015</v>
      </c>
      <c r="G83" s="40">
        <v>6822.6400601724536</v>
      </c>
    </row>
    <row r="84" spans="1:7" ht="11.25" customHeight="1" x14ac:dyDescent="0.2">
      <c r="A84" s="48" t="s">
        <v>25</v>
      </c>
      <c r="B84" s="40">
        <v>0</v>
      </c>
      <c r="C84" s="40">
        <v>7427.7673380000015</v>
      </c>
      <c r="D84" s="40">
        <v>0</v>
      </c>
      <c r="E84" s="40">
        <v>6822.6400601724536</v>
      </c>
      <c r="F84" s="40">
        <v>7427.7673380000015</v>
      </c>
      <c r="G84" s="40">
        <v>6822.6400601724536</v>
      </c>
    </row>
    <row r="85" spans="1:7" ht="11.25" customHeight="1" x14ac:dyDescent="0.2">
      <c r="A85" s="49" t="s">
        <v>25</v>
      </c>
      <c r="B85" s="40">
        <v>0</v>
      </c>
      <c r="C85" s="40">
        <v>7427.7673380000015</v>
      </c>
      <c r="D85" s="40">
        <v>0</v>
      </c>
      <c r="E85" s="40">
        <v>6822.6400601724536</v>
      </c>
      <c r="F85" s="40">
        <v>7427.7673380000015</v>
      </c>
      <c r="G85" s="40">
        <v>6822.6400601724536</v>
      </c>
    </row>
    <row r="86" spans="1:7" ht="11.25" customHeight="1" x14ac:dyDescent="0.2">
      <c r="A86" s="50">
        <v>44440</v>
      </c>
      <c r="B86" s="40">
        <v>0</v>
      </c>
      <c r="C86" s="40">
        <v>567.1031940000006</v>
      </c>
      <c r="D86" s="40">
        <v>0</v>
      </c>
      <c r="E86" s="40">
        <v>520.90228376457981</v>
      </c>
      <c r="F86" s="40">
        <v>567.1031940000006</v>
      </c>
      <c r="G86" s="40">
        <v>520.90228376457981</v>
      </c>
    </row>
    <row r="87" spans="1:7" ht="11.25" customHeight="1" x14ac:dyDescent="0.2">
      <c r="A87" s="50">
        <v>44470</v>
      </c>
      <c r="B87" s="40">
        <v>0</v>
      </c>
      <c r="C87" s="40">
        <v>579.10537800000145</v>
      </c>
      <c r="D87" s="40">
        <v>0</v>
      </c>
      <c r="E87" s="40">
        <v>531.92667072256108</v>
      </c>
      <c r="F87" s="40">
        <v>579.10537800000145</v>
      </c>
      <c r="G87" s="40">
        <v>531.92667072256108</v>
      </c>
    </row>
    <row r="88" spans="1:7" ht="11.25" customHeight="1" x14ac:dyDescent="0.2">
      <c r="A88" s="50">
        <v>44501</v>
      </c>
      <c r="B88" s="40">
        <v>0</v>
      </c>
      <c r="C88" s="40">
        <v>630.38437200000044</v>
      </c>
      <c r="D88" s="40">
        <v>0</v>
      </c>
      <c r="E88" s="40">
        <v>579.02805432674097</v>
      </c>
      <c r="F88" s="40">
        <v>630.38437200000044</v>
      </c>
      <c r="G88" s="40">
        <v>579.02805432674097</v>
      </c>
    </row>
    <row r="89" spans="1:7" ht="11.25" customHeight="1" x14ac:dyDescent="0.2">
      <c r="A89" s="50">
        <v>44531</v>
      </c>
      <c r="B89" s="40">
        <v>0</v>
      </c>
      <c r="C89" s="40">
        <v>622.83243600000094</v>
      </c>
      <c r="D89" s="40">
        <v>0</v>
      </c>
      <c r="E89" s="40">
        <v>572.09136140936039</v>
      </c>
      <c r="F89" s="40">
        <v>622.83243600000094</v>
      </c>
      <c r="G89" s="40">
        <v>572.09136140936039</v>
      </c>
    </row>
    <row r="90" spans="1:7" ht="11.25" customHeight="1" x14ac:dyDescent="0.2">
      <c r="A90" s="50">
        <v>44562</v>
      </c>
      <c r="B90" s="40">
        <v>0</v>
      </c>
      <c r="C90" s="40">
        <v>593.33268599999974</v>
      </c>
      <c r="D90" s="40">
        <v>0</v>
      </c>
      <c r="E90" s="40">
        <v>544.99490470083992</v>
      </c>
      <c r="F90" s="40">
        <v>593.33268599999974</v>
      </c>
      <c r="G90" s="40">
        <v>544.99490470083992</v>
      </c>
    </row>
    <row r="91" spans="1:7" ht="11.25" customHeight="1" x14ac:dyDescent="0.2">
      <c r="A91" s="50">
        <v>44593</v>
      </c>
      <c r="B91" s="40">
        <v>0</v>
      </c>
      <c r="C91" s="40">
        <v>606.98685599999988</v>
      </c>
      <c r="D91" s="40">
        <v>0</v>
      </c>
      <c r="E91" s="40">
        <v>557.53669323449753</v>
      </c>
      <c r="F91" s="40">
        <v>606.98685599999988</v>
      </c>
      <c r="G91" s="40">
        <v>557.53669323449753</v>
      </c>
    </row>
    <row r="92" spans="1:7" ht="11.25" customHeight="1" x14ac:dyDescent="0.2">
      <c r="A92" s="50">
        <v>44621</v>
      </c>
      <c r="B92" s="40">
        <v>0</v>
      </c>
      <c r="C92" s="40">
        <v>579.91451400000074</v>
      </c>
      <c r="D92" s="40">
        <v>0</v>
      </c>
      <c r="E92" s="40">
        <v>532.66988782085127</v>
      </c>
      <c r="F92" s="40">
        <v>579.91451400000074</v>
      </c>
      <c r="G92" s="40">
        <v>532.66988782085127</v>
      </c>
    </row>
    <row r="93" spans="1:7" ht="11.25" customHeight="1" x14ac:dyDescent="0.2">
      <c r="A93" s="50">
        <v>44652</v>
      </c>
      <c r="B93" s="40">
        <v>0</v>
      </c>
      <c r="C93" s="40">
        <v>650.47791600000028</v>
      </c>
      <c r="D93" s="40">
        <v>0</v>
      </c>
      <c r="E93" s="40">
        <v>597.4846122676297</v>
      </c>
      <c r="F93" s="40">
        <v>650.47791600000028</v>
      </c>
      <c r="G93" s="40">
        <v>597.4846122676297</v>
      </c>
    </row>
    <row r="94" spans="1:7" ht="11.25" customHeight="1" x14ac:dyDescent="0.2">
      <c r="A94" s="50">
        <v>44682</v>
      </c>
      <c r="B94" s="40">
        <v>0</v>
      </c>
      <c r="C94" s="40">
        <v>615.24678599999856</v>
      </c>
      <c r="D94" s="40">
        <v>0</v>
      </c>
      <c r="E94" s="40">
        <v>565.12370111288192</v>
      </c>
      <c r="F94" s="40">
        <v>615.24678599999856</v>
      </c>
      <c r="G94" s="40">
        <v>565.12370111288192</v>
      </c>
    </row>
    <row r="95" spans="1:7" ht="11.25" customHeight="1" x14ac:dyDescent="0.2">
      <c r="A95" s="50">
        <v>44713</v>
      </c>
      <c r="B95" s="40">
        <v>0</v>
      </c>
      <c r="C95" s="40">
        <v>671.61659400000053</v>
      </c>
      <c r="D95" s="40">
        <v>0</v>
      </c>
      <c r="E95" s="40">
        <v>616.90115896047757</v>
      </c>
      <c r="F95" s="40">
        <v>671.61659400000053</v>
      </c>
      <c r="G95" s="40">
        <v>616.90115896047757</v>
      </c>
    </row>
    <row r="96" spans="1:7" ht="11.25" customHeight="1" x14ac:dyDescent="0.2">
      <c r="A96" s="50">
        <v>44743</v>
      </c>
      <c r="B96" s="40">
        <v>0</v>
      </c>
      <c r="C96" s="40">
        <v>655.90586999999846</v>
      </c>
      <c r="D96" s="40">
        <v>0</v>
      </c>
      <c r="E96" s="40">
        <v>602.47036030199547</v>
      </c>
      <c r="F96" s="40">
        <v>655.90586999999846</v>
      </c>
      <c r="G96" s="40">
        <v>602.47036030199547</v>
      </c>
    </row>
    <row r="97" spans="1:7" ht="11.25" customHeight="1" x14ac:dyDescent="0.2">
      <c r="A97" s="50">
        <v>44774</v>
      </c>
      <c r="B97" s="40">
        <v>0</v>
      </c>
      <c r="C97" s="40">
        <v>654.86073600000009</v>
      </c>
      <c r="D97" s="40">
        <v>0</v>
      </c>
      <c r="E97" s="40">
        <v>601.51037155003803</v>
      </c>
      <c r="F97" s="40">
        <v>654.86073600000009</v>
      </c>
      <c r="G97" s="40">
        <v>601.51037155003803</v>
      </c>
    </row>
    <row r="98" spans="1:7" ht="11.25" customHeight="1" x14ac:dyDescent="0.2">
      <c r="A98" s="42" t="s">
        <v>666</v>
      </c>
      <c r="B98" s="40">
        <v>0</v>
      </c>
      <c r="C98" s="40">
        <v>154701.14456299989</v>
      </c>
      <c r="D98" s="40">
        <v>0</v>
      </c>
      <c r="E98" s="40">
        <v>127701.41997049935</v>
      </c>
      <c r="F98" s="40">
        <v>154701.14456299989</v>
      </c>
      <c r="G98" s="40">
        <v>127701.41997049938</v>
      </c>
    </row>
    <row r="99" spans="1:7" ht="11.25" customHeight="1" x14ac:dyDescent="0.2">
      <c r="A99" s="43" t="s">
        <v>22</v>
      </c>
      <c r="B99" s="40">
        <v>0</v>
      </c>
      <c r="C99" s="40">
        <v>154701.14456299989</v>
      </c>
      <c r="D99" s="40">
        <v>0</v>
      </c>
      <c r="E99" s="40">
        <v>127701.41997049935</v>
      </c>
      <c r="F99" s="40">
        <v>154701.14456299989</v>
      </c>
      <c r="G99" s="40">
        <v>127701.41997049938</v>
      </c>
    </row>
    <row r="100" spans="1:7" ht="11.25" customHeight="1" x14ac:dyDescent="0.2">
      <c r="A100" s="44" t="s">
        <v>23</v>
      </c>
      <c r="B100" s="40">
        <v>0</v>
      </c>
      <c r="C100" s="40">
        <v>154701.14456299989</v>
      </c>
      <c r="D100" s="40">
        <v>0</v>
      </c>
      <c r="E100" s="40">
        <v>127701.41997049935</v>
      </c>
      <c r="F100" s="40">
        <v>154701.14456299989</v>
      </c>
      <c r="G100" s="40">
        <v>127701.41997049938</v>
      </c>
    </row>
    <row r="101" spans="1:7" ht="11.25" customHeight="1" x14ac:dyDescent="0.2">
      <c r="A101" s="45" t="s">
        <v>24</v>
      </c>
      <c r="B101" s="40">
        <v>0</v>
      </c>
      <c r="C101" s="40">
        <v>154701.14456299989</v>
      </c>
      <c r="D101" s="40">
        <v>0</v>
      </c>
      <c r="E101" s="40">
        <v>127701.41997049935</v>
      </c>
      <c r="F101" s="40">
        <v>154701.14456299989</v>
      </c>
      <c r="G101" s="40">
        <v>127701.41997049938</v>
      </c>
    </row>
    <row r="102" spans="1:7" ht="11.25" customHeight="1" x14ac:dyDescent="0.2">
      <c r="A102" s="46" t="s">
        <v>29</v>
      </c>
      <c r="B102" s="40">
        <v>0</v>
      </c>
      <c r="C102" s="40">
        <v>56127.710369999986</v>
      </c>
      <c r="D102" s="40">
        <v>0</v>
      </c>
      <c r="E102" s="40">
        <v>46331.370042487586</v>
      </c>
      <c r="F102" s="40">
        <v>56127.710369999986</v>
      </c>
      <c r="G102" s="40">
        <v>46331.370042487586</v>
      </c>
    </row>
    <row r="103" spans="1:7" ht="11.25" customHeight="1" x14ac:dyDescent="0.2">
      <c r="A103" s="47" t="s">
        <v>25</v>
      </c>
      <c r="B103" s="40">
        <v>0</v>
      </c>
      <c r="C103" s="40">
        <v>56127.710369999986</v>
      </c>
      <c r="D103" s="40">
        <v>0</v>
      </c>
      <c r="E103" s="40">
        <v>46331.370042487586</v>
      </c>
      <c r="F103" s="40">
        <v>56127.710369999986</v>
      </c>
      <c r="G103" s="40">
        <v>46331.370042487586</v>
      </c>
    </row>
    <row r="104" spans="1:7" ht="11.25" customHeight="1" x14ac:dyDescent="0.2">
      <c r="A104" s="48" t="s">
        <v>25</v>
      </c>
      <c r="B104" s="40">
        <v>0</v>
      </c>
      <c r="C104" s="40">
        <v>56127.710369999986</v>
      </c>
      <c r="D104" s="40">
        <v>0</v>
      </c>
      <c r="E104" s="40">
        <v>46331.370042487586</v>
      </c>
      <c r="F104" s="40">
        <v>56127.710369999986</v>
      </c>
      <c r="G104" s="40">
        <v>46331.370042487586</v>
      </c>
    </row>
    <row r="105" spans="1:7" ht="11.25" customHeight="1" x14ac:dyDescent="0.2">
      <c r="A105" s="49" t="s">
        <v>25</v>
      </c>
      <c r="B105" s="40">
        <v>0</v>
      </c>
      <c r="C105" s="40">
        <v>56127.710369999986</v>
      </c>
      <c r="D105" s="40">
        <v>0</v>
      </c>
      <c r="E105" s="40">
        <v>46331.370042487586</v>
      </c>
      <c r="F105" s="40">
        <v>56127.710369999986</v>
      </c>
      <c r="G105" s="40">
        <v>46331.370042487586</v>
      </c>
    </row>
    <row r="106" spans="1:7" ht="11.25" customHeight="1" x14ac:dyDescent="0.2">
      <c r="A106" s="50">
        <v>44440</v>
      </c>
      <c r="B106" s="40">
        <v>0</v>
      </c>
      <c r="C106" s="40">
        <v>3827.7548999999999</v>
      </c>
      <c r="D106" s="40">
        <v>0</v>
      </c>
      <c r="E106" s="40">
        <v>3159.6715378507683</v>
      </c>
      <c r="F106" s="40">
        <v>3827.7548999999999</v>
      </c>
      <c r="G106" s="40">
        <v>3159.6715378507683</v>
      </c>
    </row>
    <row r="107" spans="1:7" ht="11.25" customHeight="1" x14ac:dyDescent="0.2">
      <c r="A107" s="50">
        <v>44470</v>
      </c>
      <c r="B107" s="40">
        <v>0</v>
      </c>
      <c r="C107" s="40">
        <v>3895.2467999999994</v>
      </c>
      <c r="D107" s="40">
        <v>0</v>
      </c>
      <c r="E107" s="40">
        <v>3215.3836304577089</v>
      </c>
      <c r="F107" s="40">
        <v>3895.2467999999994</v>
      </c>
      <c r="G107" s="40">
        <v>3215.3836304577089</v>
      </c>
    </row>
    <row r="108" spans="1:7" ht="11.25" customHeight="1" x14ac:dyDescent="0.2">
      <c r="A108" s="50">
        <v>44501</v>
      </c>
      <c r="B108" s="40">
        <v>0</v>
      </c>
      <c r="C108" s="40">
        <v>3953.0970000000002</v>
      </c>
      <c r="D108" s="40">
        <v>0</v>
      </c>
      <c r="E108" s="40">
        <v>3263.1368526922297</v>
      </c>
      <c r="F108" s="40">
        <v>3953.0970000000002</v>
      </c>
      <c r="G108" s="40">
        <v>3263.1368526922297</v>
      </c>
    </row>
    <row r="109" spans="1:7" ht="11.25" customHeight="1" x14ac:dyDescent="0.2">
      <c r="A109" s="50">
        <v>44531</v>
      </c>
      <c r="B109" s="40">
        <v>0</v>
      </c>
      <c r="C109" s="40">
        <v>3933.8136</v>
      </c>
      <c r="D109" s="40">
        <v>0</v>
      </c>
      <c r="E109" s="40">
        <v>3247.2191119473891</v>
      </c>
      <c r="F109" s="40">
        <v>3933.8136</v>
      </c>
      <c r="G109" s="40">
        <v>3247.2191119473891</v>
      </c>
    </row>
    <row r="110" spans="1:7" ht="11.25" customHeight="1" x14ac:dyDescent="0.2">
      <c r="A110" s="50">
        <v>44562</v>
      </c>
      <c r="B110" s="40">
        <v>0</v>
      </c>
      <c r="C110" s="40">
        <v>4280.9147999999996</v>
      </c>
      <c r="D110" s="40">
        <v>0</v>
      </c>
      <c r="E110" s="40">
        <v>3533.7384453545119</v>
      </c>
      <c r="F110" s="40">
        <v>4280.9147999999996</v>
      </c>
      <c r="G110" s="40">
        <v>3533.7384453545119</v>
      </c>
    </row>
    <row r="111" spans="1:7" ht="11.25" customHeight="1" x14ac:dyDescent="0.2">
      <c r="A111" s="50">
        <v>44593</v>
      </c>
      <c r="B111" s="40">
        <v>0</v>
      </c>
      <c r="C111" s="40">
        <v>5148.6677999999993</v>
      </c>
      <c r="D111" s="40">
        <v>0</v>
      </c>
      <c r="E111" s="40">
        <v>4250.0367788723179</v>
      </c>
      <c r="F111" s="40">
        <v>5148.6677999999993</v>
      </c>
      <c r="G111" s="40">
        <v>4250.0367788723179</v>
      </c>
    </row>
    <row r="112" spans="1:7" ht="11.25" customHeight="1" x14ac:dyDescent="0.2">
      <c r="A112" s="50">
        <v>44621</v>
      </c>
      <c r="B112" s="40">
        <v>0</v>
      </c>
      <c r="C112" s="40">
        <v>5360.7851999999993</v>
      </c>
      <c r="D112" s="40">
        <v>0</v>
      </c>
      <c r="E112" s="40">
        <v>4425.1319270655595</v>
      </c>
      <c r="F112" s="40">
        <v>5360.7851999999993</v>
      </c>
      <c r="G112" s="40">
        <v>4425.1319270655595</v>
      </c>
    </row>
    <row r="113" spans="1:7" ht="11.25" customHeight="1" x14ac:dyDescent="0.2">
      <c r="A113" s="50">
        <v>44652</v>
      </c>
      <c r="B113" s="40">
        <v>0</v>
      </c>
      <c r="C113" s="40">
        <v>5408.9936999999991</v>
      </c>
      <c r="D113" s="40">
        <v>0</v>
      </c>
      <c r="E113" s="40">
        <v>4464.92627892766</v>
      </c>
      <c r="F113" s="40">
        <v>5408.9936999999991</v>
      </c>
      <c r="G113" s="40">
        <v>4464.92627892766</v>
      </c>
    </row>
    <row r="114" spans="1:7" ht="11.25" customHeight="1" x14ac:dyDescent="0.2">
      <c r="A114" s="50">
        <v>44682</v>
      </c>
      <c r="B114" s="40">
        <v>0</v>
      </c>
      <c r="C114" s="40">
        <v>5412.3683700000001</v>
      </c>
      <c r="D114" s="40">
        <v>0</v>
      </c>
      <c r="E114" s="40">
        <v>4467.7118835580077</v>
      </c>
      <c r="F114" s="40">
        <v>5412.3683700000001</v>
      </c>
      <c r="G114" s="40">
        <v>4467.7118835580077</v>
      </c>
    </row>
    <row r="115" spans="1:7" ht="11.25" customHeight="1" x14ac:dyDescent="0.2">
      <c r="A115" s="50">
        <v>44713</v>
      </c>
      <c r="B115" s="40">
        <v>0</v>
      </c>
      <c r="C115" s="40">
        <v>4888.3419000000004</v>
      </c>
      <c r="D115" s="40">
        <v>0</v>
      </c>
      <c r="E115" s="40">
        <v>4035.1472788169767</v>
      </c>
      <c r="F115" s="40">
        <v>4888.3419000000004</v>
      </c>
      <c r="G115" s="40">
        <v>4035.1472788169767</v>
      </c>
    </row>
    <row r="116" spans="1:7" ht="11.25" customHeight="1" x14ac:dyDescent="0.2">
      <c r="A116" s="50">
        <v>44743</v>
      </c>
      <c r="B116" s="40">
        <v>0</v>
      </c>
      <c r="C116" s="40">
        <v>4811.2083000000002</v>
      </c>
      <c r="D116" s="40">
        <v>0</v>
      </c>
      <c r="E116" s="40">
        <v>3971.4763158376159</v>
      </c>
      <c r="F116" s="40">
        <v>4811.2083000000002</v>
      </c>
      <c r="G116" s="40">
        <v>3971.4763158376159</v>
      </c>
    </row>
    <row r="117" spans="1:7" ht="11.25" customHeight="1" x14ac:dyDescent="0.2">
      <c r="A117" s="50">
        <v>44774</v>
      </c>
      <c r="B117" s="40">
        <v>0</v>
      </c>
      <c r="C117" s="40">
        <v>5206.5179999999991</v>
      </c>
      <c r="D117" s="40">
        <v>0</v>
      </c>
      <c r="E117" s="40">
        <v>4297.7900011068386</v>
      </c>
      <c r="F117" s="40">
        <v>5206.5179999999991</v>
      </c>
      <c r="G117" s="40">
        <v>4297.7900011068386</v>
      </c>
    </row>
    <row r="118" spans="1:7" ht="11.25" customHeight="1" x14ac:dyDescent="0.2">
      <c r="A118" s="46" t="s">
        <v>30</v>
      </c>
      <c r="B118" s="40">
        <v>0</v>
      </c>
      <c r="C118" s="40">
        <v>75552.553339999999</v>
      </c>
      <c r="D118" s="40">
        <v>0</v>
      </c>
      <c r="E118" s="40">
        <v>62365.381720524798</v>
      </c>
      <c r="F118" s="40">
        <v>75552.553339999999</v>
      </c>
      <c r="G118" s="40">
        <v>62365.381720524798</v>
      </c>
    </row>
    <row r="119" spans="1:7" ht="11.25" customHeight="1" x14ac:dyDescent="0.2">
      <c r="A119" s="47" t="s">
        <v>25</v>
      </c>
      <c r="B119" s="40">
        <v>0</v>
      </c>
      <c r="C119" s="40">
        <v>75552.553339999999</v>
      </c>
      <c r="D119" s="40">
        <v>0</v>
      </c>
      <c r="E119" s="40">
        <v>62365.381720524798</v>
      </c>
      <c r="F119" s="40">
        <v>75552.553339999999</v>
      </c>
      <c r="G119" s="40">
        <v>62365.381720524798</v>
      </c>
    </row>
    <row r="120" spans="1:7" ht="11.25" customHeight="1" x14ac:dyDescent="0.2">
      <c r="A120" s="48" t="s">
        <v>25</v>
      </c>
      <c r="B120" s="40">
        <v>0</v>
      </c>
      <c r="C120" s="40">
        <v>75552.553339999999</v>
      </c>
      <c r="D120" s="40">
        <v>0</v>
      </c>
      <c r="E120" s="40">
        <v>62365.381720524798</v>
      </c>
      <c r="F120" s="40">
        <v>75552.553339999999</v>
      </c>
      <c r="G120" s="40">
        <v>62365.381720524798</v>
      </c>
    </row>
    <row r="121" spans="1:7" ht="11.25" customHeight="1" x14ac:dyDescent="0.2">
      <c r="A121" s="49" t="s">
        <v>25</v>
      </c>
      <c r="B121" s="40">
        <v>0</v>
      </c>
      <c r="C121" s="40">
        <v>75552.553339999999</v>
      </c>
      <c r="D121" s="40">
        <v>0</v>
      </c>
      <c r="E121" s="40">
        <v>62365.381720524798</v>
      </c>
      <c r="F121" s="40">
        <v>75552.553339999999</v>
      </c>
      <c r="G121" s="40">
        <v>62365.381720524798</v>
      </c>
    </row>
    <row r="122" spans="1:7" ht="11.25" customHeight="1" x14ac:dyDescent="0.2">
      <c r="A122" s="50">
        <v>44440</v>
      </c>
      <c r="B122" s="40">
        <v>0</v>
      </c>
      <c r="C122" s="40">
        <v>5046.3566999999994</v>
      </c>
      <c r="D122" s="40">
        <v>0</v>
      </c>
      <c r="E122" s="40">
        <v>4165.5503087650886</v>
      </c>
      <c r="F122" s="40">
        <v>5046.3566999999994</v>
      </c>
      <c r="G122" s="40">
        <v>4165.5503087650886</v>
      </c>
    </row>
    <row r="123" spans="1:7" ht="11.25" customHeight="1" x14ac:dyDescent="0.2">
      <c r="A123" s="50">
        <v>44470</v>
      </c>
      <c r="B123" s="40">
        <v>0</v>
      </c>
      <c r="C123" s="40">
        <v>5121.7108799999996</v>
      </c>
      <c r="D123" s="40">
        <v>0</v>
      </c>
      <c r="E123" s="40">
        <v>4227.7519418295415</v>
      </c>
      <c r="F123" s="40">
        <v>5121.7108799999996</v>
      </c>
      <c r="G123" s="40">
        <v>4227.7519418295415</v>
      </c>
    </row>
    <row r="124" spans="1:7" ht="11.25" customHeight="1" x14ac:dyDescent="0.2">
      <c r="A124" s="50">
        <v>44501</v>
      </c>
      <c r="B124" s="40">
        <v>0</v>
      </c>
      <c r="C124" s="40">
        <v>5288.2416399999993</v>
      </c>
      <c r="D124" s="40">
        <v>0</v>
      </c>
      <c r="E124" s="40">
        <v>4365.2159183131862</v>
      </c>
      <c r="F124" s="40">
        <v>5288.2416399999993</v>
      </c>
      <c r="G124" s="40">
        <v>4365.2159183131862</v>
      </c>
    </row>
    <row r="125" spans="1:7" ht="11.25" customHeight="1" x14ac:dyDescent="0.2">
      <c r="A125" s="50">
        <v>44531</v>
      </c>
      <c r="B125" s="40">
        <v>0</v>
      </c>
      <c r="C125" s="40">
        <v>5310.1952199999996</v>
      </c>
      <c r="D125" s="40">
        <v>0</v>
      </c>
      <c r="E125" s="40">
        <v>4383.337653930389</v>
      </c>
      <c r="F125" s="40">
        <v>5310.1952199999996</v>
      </c>
      <c r="G125" s="40">
        <v>4383.337653930389</v>
      </c>
    </row>
    <row r="126" spans="1:7" ht="11.25" customHeight="1" x14ac:dyDescent="0.2">
      <c r="A126" s="50">
        <v>44562</v>
      </c>
      <c r="B126" s="40">
        <v>0</v>
      </c>
      <c r="C126" s="40">
        <v>5871.8904199999988</v>
      </c>
      <c r="D126" s="40">
        <v>0</v>
      </c>
      <c r="E126" s="40">
        <v>4846.9928715236811</v>
      </c>
      <c r="F126" s="40">
        <v>5871.8904199999988</v>
      </c>
      <c r="G126" s="40">
        <v>4846.9928715236811</v>
      </c>
    </row>
    <row r="127" spans="1:7" ht="11.25" customHeight="1" x14ac:dyDescent="0.2">
      <c r="A127" s="50">
        <v>44593</v>
      </c>
      <c r="B127" s="40">
        <v>0</v>
      </c>
      <c r="C127" s="40">
        <v>7091.401899999998</v>
      </c>
      <c r="D127" s="40">
        <v>0</v>
      </c>
      <c r="E127" s="40">
        <v>5853.6471221153142</v>
      </c>
      <c r="F127" s="40">
        <v>7091.401899999998</v>
      </c>
      <c r="G127" s="40">
        <v>5853.6471221153142</v>
      </c>
    </row>
    <row r="128" spans="1:7" ht="11.25" customHeight="1" x14ac:dyDescent="0.2">
      <c r="A128" s="50">
        <v>44621</v>
      </c>
      <c r="B128" s="40">
        <v>0</v>
      </c>
      <c r="C128" s="40">
        <v>7359.5915799999984</v>
      </c>
      <c r="D128" s="40">
        <v>0</v>
      </c>
      <c r="E128" s="40">
        <v>6075.0261626281681</v>
      </c>
      <c r="F128" s="40">
        <v>7359.5915799999984</v>
      </c>
      <c r="G128" s="40">
        <v>6075.0261626281681</v>
      </c>
    </row>
    <row r="129" spans="1:7" ht="11.25" customHeight="1" x14ac:dyDescent="0.2">
      <c r="A129" s="50">
        <v>44652</v>
      </c>
      <c r="B129" s="40">
        <v>0</v>
      </c>
      <c r="C129" s="40">
        <v>7269.9972399999997</v>
      </c>
      <c r="D129" s="40">
        <v>0</v>
      </c>
      <c r="E129" s="40">
        <v>6001.0698902444501</v>
      </c>
      <c r="F129" s="40">
        <v>7269.9972399999997</v>
      </c>
      <c r="G129" s="40">
        <v>6001.0698902444501</v>
      </c>
    </row>
    <row r="130" spans="1:7" ht="11.25" customHeight="1" x14ac:dyDescent="0.2">
      <c r="A130" s="50">
        <v>44682</v>
      </c>
      <c r="B130" s="40">
        <v>0</v>
      </c>
      <c r="C130" s="40">
        <v>7157.6581999999999</v>
      </c>
      <c r="D130" s="40">
        <v>0</v>
      </c>
      <c r="E130" s="40">
        <v>5908.338846725791</v>
      </c>
      <c r="F130" s="40">
        <v>7157.6581999999999</v>
      </c>
      <c r="G130" s="40">
        <v>5908.338846725791</v>
      </c>
    </row>
    <row r="131" spans="1:7" ht="11.25" customHeight="1" x14ac:dyDescent="0.2">
      <c r="A131" s="50">
        <v>44713</v>
      </c>
      <c r="B131" s="40">
        <v>0</v>
      </c>
      <c r="C131" s="40">
        <v>6456.3303199999991</v>
      </c>
      <c r="D131" s="40">
        <v>0</v>
      </c>
      <c r="E131" s="40">
        <v>5329.4228602519124</v>
      </c>
      <c r="F131" s="40">
        <v>6456.3303199999991</v>
      </c>
      <c r="G131" s="40">
        <v>5329.4228602519124</v>
      </c>
    </row>
    <row r="132" spans="1:7" ht="11.25" customHeight="1" x14ac:dyDescent="0.2">
      <c r="A132" s="50">
        <v>44743</v>
      </c>
      <c r="B132" s="40">
        <v>0</v>
      </c>
      <c r="C132" s="40">
        <v>6334.4978399999991</v>
      </c>
      <c r="D132" s="40">
        <v>0</v>
      </c>
      <c r="E132" s="40">
        <v>5228.8553905204099</v>
      </c>
      <c r="F132" s="40">
        <v>6334.4978399999991</v>
      </c>
      <c r="G132" s="40">
        <v>5228.8553905204099</v>
      </c>
    </row>
    <row r="133" spans="1:7" ht="11.25" customHeight="1" x14ac:dyDescent="0.2">
      <c r="A133" s="50">
        <v>44774</v>
      </c>
      <c r="B133" s="40">
        <v>0</v>
      </c>
      <c r="C133" s="40">
        <v>7244.6813999999995</v>
      </c>
      <c r="D133" s="40">
        <v>0</v>
      </c>
      <c r="E133" s="40">
        <v>5980.1727536768649</v>
      </c>
      <c r="F133" s="40">
        <v>7244.6813999999995</v>
      </c>
      <c r="G133" s="40">
        <v>5980.1727536768649</v>
      </c>
    </row>
    <row r="134" spans="1:7" ht="11.25" customHeight="1" x14ac:dyDescent="0.2">
      <c r="A134" s="46" t="s">
        <v>31</v>
      </c>
      <c r="B134" s="40">
        <v>0</v>
      </c>
      <c r="C134" s="40">
        <v>23020.880852999984</v>
      </c>
      <c r="D134" s="40">
        <v>0</v>
      </c>
      <c r="E134" s="40">
        <v>19004.668207486979</v>
      </c>
      <c r="F134" s="40">
        <v>23020.880852999984</v>
      </c>
      <c r="G134" s="40">
        <v>19004.668207486979</v>
      </c>
    </row>
    <row r="135" spans="1:7" ht="11.25" customHeight="1" x14ac:dyDescent="0.2">
      <c r="A135" s="47" t="s">
        <v>25</v>
      </c>
      <c r="B135" s="40">
        <v>0</v>
      </c>
      <c r="C135" s="40">
        <v>23020.880852999984</v>
      </c>
      <c r="D135" s="40">
        <v>0</v>
      </c>
      <c r="E135" s="40">
        <v>19004.668207486979</v>
      </c>
      <c r="F135" s="40">
        <v>23020.880852999984</v>
      </c>
      <c r="G135" s="40">
        <v>19004.668207486979</v>
      </c>
    </row>
    <row r="136" spans="1:7" ht="11.25" customHeight="1" x14ac:dyDescent="0.2">
      <c r="A136" s="48" t="s">
        <v>25</v>
      </c>
      <c r="B136" s="40">
        <v>0</v>
      </c>
      <c r="C136" s="40">
        <v>23020.880852999984</v>
      </c>
      <c r="D136" s="40">
        <v>0</v>
      </c>
      <c r="E136" s="40">
        <v>19004.668207486979</v>
      </c>
      <c r="F136" s="40">
        <v>23020.880852999984</v>
      </c>
      <c r="G136" s="40">
        <v>19004.668207486979</v>
      </c>
    </row>
    <row r="137" spans="1:7" ht="11.25" customHeight="1" x14ac:dyDescent="0.2">
      <c r="A137" s="49" t="s">
        <v>25</v>
      </c>
      <c r="B137" s="40">
        <v>0</v>
      </c>
      <c r="C137" s="40">
        <v>23020.880852999984</v>
      </c>
      <c r="D137" s="40">
        <v>0</v>
      </c>
      <c r="E137" s="40">
        <v>19004.668207486979</v>
      </c>
      <c r="F137" s="40">
        <v>23020.880852999984</v>
      </c>
      <c r="G137" s="40">
        <v>19004.668207486979</v>
      </c>
    </row>
    <row r="138" spans="1:7" ht="11.25" customHeight="1" x14ac:dyDescent="0.2">
      <c r="A138" s="50">
        <v>44440</v>
      </c>
      <c r="B138" s="40">
        <v>0</v>
      </c>
      <c r="C138" s="40">
        <v>1519.241759999999</v>
      </c>
      <c r="D138" s="40">
        <v>0</v>
      </c>
      <c r="E138" s="40">
        <v>1254.1955265338268</v>
      </c>
      <c r="F138" s="40">
        <v>1519.241759999999</v>
      </c>
      <c r="G138" s="40">
        <v>1254.1955265338268</v>
      </c>
    </row>
    <row r="139" spans="1:7" ht="11.25" customHeight="1" x14ac:dyDescent="0.2">
      <c r="A139" s="50">
        <v>44470</v>
      </c>
      <c r="B139" s="40">
        <v>0</v>
      </c>
      <c r="C139" s="40">
        <v>1542.5279999999991</v>
      </c>
      <c r="D139" s="40">
        <v>0</v>
      </c>
      <c r="E139" s="40">
        <v>1273.4192595872107</v>
      </c>
      <c r="F139" s="40">
        <v>1542.5279999999991</v>
      </c>
      <c r="G139" s="40">
        <v>1273.4192595872107</v>
      </c>
    </row>
    <row r="140" spans="1:7" ht="11.25" customHeight="1" x14ac:dyDescent="0.2">
      <c r="A140" s="50">
        <v>44501</v>
      </c>
      <c r="B140" s="40">
        <v>0</v>
      </c>
      <c r="C140" s="40">
        <v>1609.6675199999991</v>
      </c>
      <c r="D140" s="40">
        <v>0</v>
      </c>
      <c r="E140" s="40">
        <v>1328.8456491551412</v>
      </c>
      <c r="F140" s="40">
        <v>1609.6675199999991</v>
      </c>
      <c r="G140" s="40">
        <v>1328.8456491551412</v>
      </c>
    </row>
    <row r="141" spans="1:7" ht="11.25" customHeight="1" x14ac:dyDescent="0.2">
      <c r="A141" s="50">
        <v>44531</v>
      </c>
      <c r="B141" s="40">
        <v>0</v>
      </c>
      <c r="C141" s="40">
        <v>1640.1719999999989</v>
      </c>
      <c r="D141" s="40">
        <v>0</v>
      </c>
      <c r="E141" s="40">
        <v>1354.0283313078753</v>
      </c>
      <c r="F141" s="40">
        <v>1640.1719999999989</v>
      </c>
      <c r="G141" s="40">
        <v>1354.0283313078753</v>
      </c>
    </row>
    <row r="142" spans="1:7" ht="11.25" customHeight="1" x14ac:dyDescent="0.2">
      <c r="A142" s="50">
        <v>44562</v>
      </c>
      <c r="B142" s="40">
        <v>0</v>
      </c>
      <c r="C142" s="40">
        <v>1983.8788799999988</v>
      </c>
      <c r="D142" s="40">
        <v>0</v>
      </c>
      <c r="E142" s="40">
        <v>1637.7722637646157</v>
      </c>
      <c r="F142" s="40">
        <v>1983.8788799999988</v>
      </c>
      <c r="G142" s="40">
        <v>1637.7722637646157</v>
      </c>
    </row>
    <row r="143" spans="1:7" ht="11.25" customHeight="1" x14ac:dyDescent="0.2">
      <c r="A143" s="50">
        <v>44593</v>
      </c>
      <c r="B143" s="40">
        <v>0</v>
      </c>
      <c r="C143" s="40">
        <v>2392.2532799999985</v>
      </c>
      <c r="D143" s="40">
        <v>0</v>
      </c>
      <c r="E143" s="40">
        <v>1974.9018497963577</v>
      </c>
      <c r="F143" s="40">
        <v>2392.2532799999985</v>
      </c>
      <c r="G143" s="40">
        <v>1974.9018497963577</v>
      </c>
    </row>
    <row r="144" spans="1:7" ht="11.25" customHeight="1" x14ac:dyDescent="0.2">
      <c r="A144" s="50">
        <v>44621</v>
      </c>
      <c r="B144" s="40">
        <v>0</v>
      </c>
      <c r="C144" s="40">
        <v>2377.4212799999987</v>
      </c>
      <c r="D144" s="40">
        <v>0</v>
      </c>
      <c r="E144" s="40">
        <v>1962.6574338387886</v>
      </c>
      <c r="F144" s="40">
        <v>2377.4212799999987</v>
      </c>
      <c r="G144" s="40">
        <v>1962.6574338387886</v>
      </c>
    </row>
    <row r="145" spans="1:7" ht="11.25" customHeight="1" x14ac:dyDescent="0.2">
      <c r="A145" s="50">
        <v>44652</v>
      </c>
      <c r="B145" s="40">
        <v>0</v>
      </c>
      <c r="C145" s="40">
        <v>2187.0278399999984</v>
      </c>
      <c r="D145" s="40">
        <v>0</v>
      </c>
      <c r="E145" s="40">
        <v>1805.4799476634566</v>
      </c>
      <c r="F145" s="40">
        <v>2187.0278399999984</v>
      </c>
      <c r="G145" s="40">
        <v>1805.4799476634566</v>
      </c>
    </row>
    <row r="146" spans="1:7" ht="11.25" customHeight="1" x14ac:dyDescent="0.2">
      <c r="A146" s="50">
        <v>44682</v>
      </c>
      <c r="B146" s="40">
        <v>0</v>
      </c>
      <c r="C146" s="40">
        <v>1937.9344529999985</v>
      </c>
      <c r="D146" s="40">
        <v>0</v>
      </c>
      <c r="E146" s="40">
        <v>1599.8431446000513</v>
      </c>
      <c r="F146" s="40">
        <v>1937.9344529999985</v>
      </c>
      <c r="G146" s="40">
        <v>1599.8431446000513</v>
      </c>
    </row>
    <row r="147" spans="1:7" ht="11.25" customHeight="1" x14ac:dyDescent="0.2">
      <c r="A147" s="50">
        <v>44713</v>
      </c>
      <c r="B147" s="40">
        <v>0</v>
      </c>
      <c r="C147" s="40">
        <v>1953.1766399999988</v>
      </c>
      <c r="D147" s="40">
        <v>0</v>
      </c>
      <c r="E147" s="40">
        <v>1612.426322732447</v>
      </c>
      <c r="F147" s="40">
        <v>1953.1766399999988</v>
      </c>
      <c r="G147" s="40">
        <v>1612.426322732447</v>
      </c>
    </row>
    <row r="148" spans="1:7" ht="11.25" customHeight="1" x14ac:dyDescent="0.2">
      <c r="A148" s="50">
        <v>44743</v>
      </c>
      <c r="B148" s="40">
        <v>0</v>
      </c>
      <c r="C148" s="40">
        <v>1838.871359999999</v>
      </c>
      <c r="D148" s="40">
        <v>0</v>
      </c>
      <c r="E148" s="40">
        <v>1518.062690419446</v>
      </c>
      <c r="F148" s="40">
        <v>1838.871359999999</v>
      </c>
      <c r="G148" s="40">
        <v>1518.062690419446</v>
      </c>
    </row>
    <row r="149" spans="1:7" ht="11.25" customHeight="1" x14ac:dyDescent="0.2">
      <c r="A149" s="50">
        <v>44774</v>
      </c>
      <c r="B149" s="40">
        <v>0</v>
      </c>
      <c r="C149" s="40">
        <v>2038.7078399999987</v>
      </c>
      <c r="D149" s="40">
        <v>0</v>
      </c>
      <c r="E149" s="40">
        <v>1683.0357880877634</v>
      </c>
      <c r="F149" s="40">
        <v>2038.7078399999987</v>
      </c>
      <c r="G149" s="40">
        <v>1683.0357880877634</v>
      </c>
    </row>
    <row r="150" spans="1:7" ht="11.25" customHeight="1" x14ac:dyDescent="0.2">
      <c r="A150" s="46" t="s">
        <v>32</v>
      </c>
      <c r="B150" s="40">
        <v>0</v>
      </c>
      <c r="C150" s="40">
        <v>0</v>
      </c>
      <c r="D150" s="40">
        <v>0</v>
      </c>
      <c r="E150" s="40">
        <v>-9.0138598807243411E-12</v>
      </c>
      <c r="F150" s="40">
        <v>0</v>
      </c>
      <c r="G150" s="40">
        <v>-9.0138598807243411E-12</v>
      </c>
    </row>
    <row r="151" spans="1:7" ht="11.25" customHeight="1" x14ac:dyDescent="0.2">
      <c r="A151" s="47" t="s">
        <v>25</v>
      </c>
      <c r="B151" s="40">
        <v>0</v>
      </c>
      <c r="C151" s="40">
        <v>0</v>
      </c>
      <c r="D151" s="40">
        <v>0</v>
      </c>
      <c r="E151" s="40">
        <v>-9.0138598807243411E-12</v>
      </c>
      <c r="F151" s="40">
        <v>0</v>
      </c>
      <c r="G151" s="40">
        <v>-9.0138598807243411E-12</v>
      </c>
    </row>
    <row r="152" spans="1:7" ht="11.25" customHeight="1" x14ac:dyDescent="0.2">
      <c r="A152" s="48" t="s">
        <v>25</v>
      </c>
      <c r="B152" s="40">
        <v>0</v>
      </c>
      <c r="C152" s="40">
        <v>0</v>
      </c>
      <c r="D152" s="40">
        <v>0</v>
      </c>
      <c r="E152" s="40">
        <v>-9.0138598807243411E-12</v>
      </c>
      <c r="F152" s="40">
        <v>0</v>
      </c>
      <c r="G152" s="40">
        <v>-9.0138598807243411E-12</v>
      </c>
    </row>
    <row r="153" spans="1:7" ht="11.25" customHeight="1" x14ac:dyDescent="0.2">
      <c r="A153" s="49" t="s">
        <v>25</v>
      </c>
      <c r="B153" s="40">
        <v>0</v>
      </c>
      <c r="C153" s="40">
        <v>0</v>
      </c>
      <c r="D153" s="40">
        <v>0</v>
      </c>
      <c r="E153" s="40">
        <v>-9.0138598807243411E-12</v>
      </c>
      <c r="F153" s="40">
        <v>0</v>
      </c>
      <c r="G153" s="40">
        <v>-9.0138598807243411E-12</v>
      </c>
    </row>
    <row r="154" spans="1:7" ht="11.25" customHeight="1" x14ac:dyDescent="0.2">
      <c r="A154" s="50">
        <v>44440</v>
      </c>
      <c r="B154" s="40">
        <v>0</v>
      </c>
      <c r="C154" s="40">
        <v>0</v>
      </c>
      <c r="D154" s="40">
        <v>0</v>
      </c>
      <c r="E154" s="40">
        <v>-4.6958348320913497E-13</v>
      </c>
      <c r="F154" s="40">
        <v>0</v>
      </c>
      <c r="G154" s="40">
        <v>-4.6958348320913497E-13</v>
      </c>
    </row>
    <row r="155" spans="1:7" ht="11.25" customHeight="1" x14ac:dyDescent="0.2">
      <c r="A155" s="50">
        <v>44470</v>
      </c>
      <c r="B155" s="40">
        <v>0</v>
      </c>
      <c r="C155" s="40">
        <v>0</v>
      </c>
      <c r="D155" s="40">
        <v>0</v>
      </c>
      <c r="E155" s="40">
        <v>-4.8626702664478221E-13</v>
      </c>
      <c r="F155" s="40">
        <v>0</v>
      </c>
      <c r="G155" s="40">
        <v>-4.8626702664478221E-13</v>
      </c>
    </row>
    <row r="156" spans="1:7" ht="11.25" customHeight="1" x14ac:dyDescent="0.2">
      <c r="A156" s="50">
        <v>44501</v>
      </c>
      <c r="B156" s="40">
        <v>0</v>
      </c>
      <c r="C156" s="40">
        <v>0</v>
      </c>
      <c r="D156" s="40">
        <v>0</v>
      </c>
      <c r="E156" s="40">
        <v>-5.3714188652520536E-13</v>
      </c>
      <c r="F156" s="40">
        <v>0</v>
      </c>
      <c r="G156" s="40">
        <v>-5.3714188652520536E-13</v>
      </c>
    </row>
    <row r="157" spans="1:7" ht="11.25" customHeight="1" x14ac:dyDescent="0.2">
      <c r="A157" s="50">
        <v>44531</v>
      </c>
      <c r="B157" s="40">
        <v>0</v>
      </c>
      <c r="C157" s="40">
        <v>0</v>
      </c>
      <c r="D157" s="40">
        <v>0</v>
      </c>
      <c r="E157" s="40">
        <v>-6.0910565480298831E-13</v>
      </c>
      <c r="F157" s="40">
        <v>0</v>
      </c>
      <c r="G157" s="40">
        <v>-6.0910565480298831E-13</v>
      </c>
    </row>
    <row r="158" spans="1:7" ht="11.25" customHeight="1" x14ac:dyDescent="0.2">
      <c r="A158" s="50">
        <v>44562</v>
      </c>
      <c r="B158" s="40">
        <v>0</v>
      </c>
      <c r="C158" s="40">
        <v>0</v>
      </c>
      <c r="D158" s="40">
        <v>0</v>
      </c>
      <c r="E158" s="40">
        <v>-9.6574126473569775E-13</v>
      </c>
      <c r="F158" s="40">
        <v>0</v>
      </c>
      <c r="G158" s="40">
        <v>-9.6574126473569775E-13</v>
      </c>
    </row>
    <row r="159" spans="1:7" ht="11.25" customHeight="1" x14ac:dyDescent="0.2">
      <c r="A159" s="50">
        <v>44593</v>
      </c>
      <c r="B159" s="40">
        <v>0</v>
      </c>
      <c r="C159" s="40">
        <v>0</v>
      </c>
      <c r="D159" s="40">
        <v>0</v>
      </c>
      <c r="E159" s="40">
        <v>-1.4298109363153345E-12</v>
      </c>
      <c r="F159" s="40">
        <v>0</v>
      </c>
      <c r="G159" s="40">
        <v>-1.4298109363153345E-12</v>
      </c>
    </row>
    <row r="160" spans="1:7" ht="11.25" customHeight="1" x14ac:dyDescent="0.2">
      <c r="A160" s="50">
        <v>44621</v>
      </c>
      <c r="B160" s="40">
        <v>0</v>
      </c>
      <c r="C160" s="40">
        <v>0</v>
      </c>
      <c r="D160" s="40">
        <v>0</v>
      </c>
      <c r="E160" s="40">
        <v>-1.1003180588886607E-12</v>
      </c>
      <c r="F160" s="40">
        <v>0</v>
      </c>
      <c r="G160" s="40">
        <v>-1.1003180588886607E-12</v>
      </c>
    </row>
    <row r="161" spans="1:7" ht="11.25" customHeight="1" x14ac:dyDescent="0.2">
      <c r="A161" s="50">
        <v>44652</v>
      </c>
      <c r="B161" s="40">
        <v>0</v>
      </c>
      <c r="C161" s="40">
        <v>0</v>
      </c>
      <c r="D161" s="40">
        <v>0</v>
      </c>
      <c r="E161" s="40">
        <v>-6.7811356530000926E-13</v>
      </c>
      <c r="F161" s="40">
        <v>0</v>
      </c>
      <c r="G161" s="40">
        <v>-6.7811356530000926E-13</v>
      </c>
    </row>
    <row r="162" spans="1:7" ht="11.25" customHeight="1" x14ac:dyDescent="0.2">
      <c r="A162" s="50">
        <v>44682</v>
      </c>
      <c r="B162" s="40">
        <v>0</v>
      </c>
      <c r="C162" s="40">
        <v>0</v>
      </c>
      <c r="D162" s="40">
        <v>0</v>
      </c>
      <c r="E162" s="40">
        <v>-5.1892357078031634E-13</v>
      </c>
      <c r="F162" s="40">
        <v>0</v>
      </c>
      <c r="G162" s="40">
        <v>-5.1892357078031634E-13</v>
      </c>
    </row>
    <row r="163" spans="1:7" ht="11.25" customHeight="1" x14ac:dyDescent="0.2">
      <c r="A163" s="50">
        <v>44713</v>
      </c>
      <c r="B163" s="40">
        <v>0</v>
      </c>
      <c r="C163" s="40">
        <v>0</v>
      </c>
      <c r="D163" s="40">
        <v>0</v>
      </c>
      <c r="E163" s="40">
        <v>-7.4436456998228099E-13</v>
      </c>
      <c r="F163" s="40">
        <v>0</v>
      </c>
      <c r="G163" s="40">
        <v>-7.4436456998228099E-13</v>
      </c>
    </row>
    <row r="164" spans="1:7" ht="11.25" customHeight="1" x14ac:dyDescent="0.2">
      <c r="A164" s="50">
        <v>44743</v>
      </c>
      <c r="B164" s="40">
        <v>0</v>
      </c>
      <c r="C164" s="40">
        <v>0</v>
      </c>
      <c r="D164" s="40">
        <v>0</v>
      </c>
      <c r="E164" s="40">
        <v>-6.6555116973177069E-13</v>
      </c>
      <c r="F164" s="40">
        <v>0</v>
      </c>
      <c r="G164" s="40">
        <v>-6.6555116973177069E-13</v>
      </c>
    </row>
    <row r="165" spans="1:7" ht="11.25" customHeight="1" x14ac:dyDescent="0.2">
      <c r="A165" s="50">
        <v>44774</v>
      </c>
      <c r="B165" s="40">
        <v>0</v>
      </c>
      <c r="C165" s="40">
        <v>0</v>
      </c>
      <c r="D165" s="40">
        <v>0</v>
      </c>
      <c r="E165" s="40">
        <v>-8.0893869380815885E-13</v>
      </c>
      <c r="F165" s="40">
        <v>0</v>
      </c>
      <c r="G165" s="40">
        <v>-8.0893869380815885E-13</v>
      </c>
    </row>
    <row r="166" spans="1:7" ht="11.25" customHeight="1" x14ac:dyDescent="0.2">
      <c r="A166" s="42" t="s">
        <v>664</v>
      </c>
      <c r="B166" s="40">
        <v>1223343.7719999996</v>
      </c>
      <c r="C166" s="40">
        <v>3166104.5157851563</v>
      </c>
      <c r="D166" s="40">
        <v>1432461.8672334675</v>
      </c>
      <c r="E166" s="40">
        <v>1817057.1824277376</v>
      </c>
      <c r="F166" s="40">
        <v>4389448.2877851557</v>
      </c>
      <c r="G166" s="40">
        <v>3249519.0496612052</v>
      </c>
    </row>
    <row r="167" spans="1:7" ht="11.25" customHeight="1" x14ac:dyDescent="0.2">
      <c r="A167" s="43" t="s">
        <v>35</v>
      </c>
      <c r="B167" s="40">
        <v>1223343.7719999996</v>
      </c>
      <c r="C167" s="40">
        <v>3166104.5157851563</v>
      </c>
      <c r="D167" s="40">
        <v>1432461.8672334675</v>
      </c>
      <c r="E167" s="40">
        <v>1817057.1824277376</v>
      </c>
      <c r="F167" s="40">
        <v>4389448.2877851557</v>
      </c>
      <c r="G167" s="40">
        <v>3249519.0496612052</v>
      </c>
    </row>
    <row r="168" spans="1:7" ht="11.25" customHeight="1" x14ac:dyDescent="0.2">
      <c r="A168" s="44" t="s">
        <v>56</v>
      </c>
      <c r="B168" s="40">
        <v>1223343.7719999996</v>
      </c>
      <c r="C168" s="40">
        <v>3166104.5157851563</v>
      </c>
      <c r="D168" s="40">
        <v>1432461.8672334675</v>
      </c>
      <c r="E168" s="40">
        <v>1817057.1824277376</v>
      </c>
      <c r="F168" s="40">
        <v>4389448.2877851557</v>
      </c>
      <c r="G168" s="40">
        <v>3249519.0496612052</v>
      </c>
    </row>
    <row r="169" spans="1:7" ht="11.25" customHeight="1" x14ac:dyDescent="0.2">
      <c r="A169" s="45" t="s">
        <v>25</v>
      </c>
      <c r="B169" s="40">
        <v>1223343.7719999996</v>
      </c>
      <c r="C169" s="40">
        <v>3166104.5157851563</v>
      </c>
      <c r="D169" s="40">
        <v>1432461.8672334675</v>
      </c>
      <c r="E169" s="40">
        <v>1817057.1824277376</v>
      </c>
      <c r="F169" s="40">
        <v>4389448.2877851557</v>
      </c>
      <c r="G169" s="40">
        <v>3249519.0496612052</v>
      </c>
    </row>
    <row r="170" spans="1:7" ht="11.25" customHeight="1" x14ac:dyDescent="0.2">
      <c r="A170" s="46" t="s">
        <v>25</v>
      </c>
      <c r="B170" s="40">
        <v>1223343.7719999996</v>
      </c>
      <c r="C170" s="40">
        <v>3166104.5157851563</v>
      </c>
      <c r="D170" s="40">
        <v>1432461.8672334675</v>
      </c>
      <c r="E170" s="40">
        <v>1817057.1824277376</v>
      </c>
      <c r="F170" s="40">
        <v>4389448.2877851557</v>
      </c>
      <c r="G170" s="40">
        <v>3249519.0496612052</v>
      </c>
    </row>
    <row r="171" spans="1:7" ht="11.25" customHeight="1" x14ac:dyDescent="0.2">
      <c r="A171" s="47" t="s">
        <v>57</v>
      </c>
      <c r="B171" s="40">
        <v>1223343.7719999996</v>
      </c>
      <c r="C171" s="40">
        <v>3166104.5157851563</v>
      </c>
      <c r="D171" s="40">
        <v>1432461.8672334675</v>
      </c>
      <c r="E171" s="40">
        <v>1817057.1824277376</v>
      </c>
      <c r="F171" s="40">
        <v>4389448.2877851557</v>
      </c>
      <c r="G171" s="40">
        <v>3249519.0496612052</v>
      </c>
    </row>
    <row r="172" spans="1:7" ht="11.25" customHeight="1" x14ac:dyDescent="0.2">
      <c r="A172" s="48" t="s">
        <v>58</v>
      </c>
      <c r="B172" s="40">
        <v>1223343.7719999996</v>
      </c>
      <c r="C172" s="40">
        <v>3166104.5157851563</v>
      </c>
      <c r="D172" s="40">
        <v>1432461.8672334675</v>
      </c>
      <c r="E172" s="40">
        <v>1817057.1824277376</v>
      </c>
      <c r="F172" s="40">
        <v>4389448.2877851557</v>
      </c>
      <c r="G172" s="40">
        <v>3249519.0496612052</v>
      </c>
    </row>
    <row r="173" spans="1:7" ht="11.25" customHeight="1" x14ac:dyDescent="0.2">
      <c r="A173" s="49" t="s">
        <v>38</v>
      </c>
      <c r="B173" s="40">
        <v>325376.52</v>
      </c>
      <c r="C173" s="40">
        <v>38086.718459999989</v>
      </c>
      <c r="D173" s="40">
        <v>380059.21595527936</v>
      </c>
      <c r="E173" s="40">
        <v>21582.770522134739</v>
      </c>
      <c r="F173" s="40">
        <v>363463.23846000002</v>
      </c>
      <c r="G173" s="40">
        <v>401641.98647741409</v>
      </c>
    </row>
    <row r="174" spans="1:7" ht="11.25" customHeight="1" x14ac:dyDescent="0.2">
      <c r="A174" s="50">
        <v>44440</v>
      </c>
      <c r="B174" s="40">
        <v>25270</v>
      </c>
      <c r="C174" s="40">
        <v>3549.2859919999996</v>
      </c>
      <c r="D174" s="40">
        <v>29516.869831879423</v>
      </c>
      <c r="E174" s="40">
        <v>2011.2897141089991</v>
      </c>
      <c r="F174" s="40">
        <v>28819.285992000001</v>
      </c>
      <c r="G174" s="40">
        <v>31528.159545988423</v>
      </c>
    </row>
    <row r="175" spans="1:7" ht="11.25" customHeight="1" x14ac:dyDescent="0.2">
      <c r="A175" s="50">
        <v>44470</v>
      </c>
      <c r="B175" s="40">
        <v>25270</v>
      </c>
      <c r="C175" s="40">
        <v>2153.3514239999995</v>
      </c>
      <c r="D175" s="40">
        <v>29516.869831879423</v>
      </c>
      <c r="E175" s="40">
        <v>1220.2492500506187</v>
      </c>
      <c r="F175" s="40">
        <v>27423.351424</v>
      </c>
      <c r="G175" s="40">
        <v>30737.119081930043</v>
      </c>
    </row>
    <row r="176" spans="1:7" ht="11.25" customHeight="1" x14ac:dyDescent="0.2">
      <c r="A176" s="50">
        <v>44501</v>
      </c>
      <c r="B176" s="40">
        <v>25270</v>
      </c>
      <c r="C176" s="40">
        <v>2520.7413839999999</v>
      </c>
      <c r="D176" s="40">
        <v>29516.869831879423</v>
      </c>
      <c r="E176" s="40">
        <v>1428.4397563328514</v>
      </c>
      <c r="F176" s="40">
        <v>27790.741384000001</v>
      </c>
      <c r="G176" s="40">
        <v>30945.309588212276</v>
      </c>
    </row>
    <row r="177" spans="1:7" ht="11.25" customHeight="1" x14ac:dyDescent="0.2">
      <c r="A177" s="50">
        <v>44531</v>
      </c>
      <c r="B177" s="40">
        <v>25775.399999999998</v>
      </c>
      <c r="C177" s="40">
        <v>2791.4935719999994</v>
      </c>
      <c r="D177" s="40">
        <v>30107.207228517011</v>
      </c>
      <c r="E177" s="40">
        <v>1581.8681055907959</v>
      </c>
      <c r="F177" s="40">
        <v>28566.893571999997</v>
      </c>
      <c r="G177" s="40">
        <v>31689.075334107805</v>
      </c>
    </row>
    <row r="178" spans="1:7" ht="11.25" customHeight="1" x14ac:dyDescent="0.2">
      <c r="A178" s="50">
        <v>44562</v>
      </c>
      <c r="B178" s="40">
        <v>25775.399999999998</v>
      </c>
      <c r="C178" s="40">
        <v>3964.3799439999998</v>
      </c>
      <c r="D178" s="40">
        <v>30107.207228517011</v>
      </c>
      <c r="E178" s="40">
        <v>2246.512854179492</v>
      </c>
      <c r="F178" s="40">
        <v>29739.779943999998</v>
      </c>
      <c r="G178" s="40">
        <v>32353.720082696502</v>
      </c>
    </row>
    <row r="179" spans="1:7" ht="11.25" customHeight="1" x14ac:dyDescent="0.2">
      <c r="A179" s="50">
        <v>44593</v>
      </c>
      <c r="B179" s="40">
        <v>25775.399999999998</v>
      </c>
      <c r="C179" s="40">
        <v>3414.7015279999996</v>
      </c>
      <c r="D179" s="40">
        <v>30107.207228517011</v>
      </c>
      <c r="E179" s="40">
        <v>1935.0241359808354</v>
      </c>
      <c r="F179" s="40">
        <v>29190.101527999999</v>
      </c>
      <c r="G179" s="40">
        <v>32042.231364497846</v>
      </c>
    </row>
    <row r="180" spans="1:7" ht="11.25" customHeight="1" x14ac:dyDescent="0.2">
      <c r="A180" s="50">
        <v>44621</v>
      </c>
      <c r="B180" s="40">
        <v>28393.371999999996</v>
      </c>
      <c r="C180" s="40">
        <v>3306.605372</v>
      </c>
      <c r="D180" s="40">
        <v>33165.154943099718</v>
      </c>
      <c r="E180" s="40">
        <v>1873.7688054192622</v>
      </c>
      <c r="F180" s="40">
        <v>31699.977371999994</v>
      </c>
      <c r="G180" s="40">
        <v>35038.923748518981</v>
      </c>
    </row>
    <row r="181" spans="1:7" ht="11.25" customHeight="1" x14ac:dyDescent="0.2">
      <c r="A181" s="50">
        <v>44652</v>
      </c>
      <c r="B181" s="40">
        <v>28625.855999999996</v>
      </c>
      <c r="C181" s="40">
        <v>2920.0101</v>
      </c>
      <c r="D181" s="40">
        <v>33436.710145553006</v>
      </c>
      <c r="E181" s="40">
        <v>1654.6951393778781</v>
      </c>
      <c r="F181" s="40">
        <v>31545.866099999996</v>
      </c>
      <c r="G181" s="40">
        <v>35091.405284930886</v>
      </c>
    </row>
    <row r="182" spans="1:7" ht="11.25" customHeight="1" x14ac:dyDescent="0.2">
      <c r="A182" s="50">
        <v>44682</v>
      </c>
      <c r="B182" s="40">
        <v>28080.023999999998</v>
      </c>
      <c r="C182" s="40">
        <v>3381.6003479999995</v>
      </c>
      <c r="D182" s="40">
        <v>32799.145757184415</v>
      </c>
      <c r="E182" s="40">
        <v>1916.2665427609791</v>
      </c>
      <c r="F182" s="40">
        <v>31461.624347999998</v>
      </c>
      <c r="G182" s="40">
        <v>34715.412299945398</v>
      </c>
    </row>
    <row r="183" spans="1:7" ht="11.25" customHeight="1" x14ac:dyDescent="0.2">
      <c r="A183" s="50">
        <v>44713</v>
      </c>
      <c r="B183" s="40">
        <v>29070.607999999997</v>
      </c>
      <c r="C183" s="40">
        <v>3539.6096959999995</v>
      </c>
      <c r="D183" s="40">
        <v>33956.207054594088</v>
      </c>
      <c r="E183" s="40">
        <v>2005.8064043223715</v>
      </c>
      <c r="F183" s="40">
        <v>32610.217695999996</v>
      </c>
      <c r="G183" s="40">
        <v>35962.013458916459</v>
      </c>
    </row>
    <row r="184" spans="1:7" ht="11.25" customHeight="1" x14ac:dyDescent="0.2">
      <c r="A184" s="50">
        <v>44743</v>
      </c>
      <c r="B184" s="40">
        <v>25775.399999999998</v>
      </c>
      <c r="C184" s="40">
        <v>2951.6532079999997</v>
      </c>
      <c r="D184" s="40">
        <v>30107.207228517011</v>
      </c>
      <c r="E184" s="40">
        <v>1672.6264804381058</v>
      </c>
      <c r="F184" s="40">
        <v>28727.053207999998</v>
      </c>
      <c r="G184" s="40">
        <v>31779.833708955117</v>
      </c>
    </row>
    <row r="185" spans="1:7" ht="11.25" customHeight="1" x14ac:dyDescent="0.2">
      <c r="A185" s="50">
        <v>44774</v>
      </c>
      <c r="B185" s="40">
        <v>32295.059999999998</v>
      </c>
      <c r="C185" s="40">
        <v>3593.2858919999999</v>
      </c>
      <c r="D185" s="40">
        <v>37722.559645141904</v>
      </c>
      <c r="E185" s="40">
        <v>2036.2233335725457</v>
      </c>
      <c r="F185" s="40">
        <v>35888.345891999998</v>
      </c>
      <c r="G185" s="40">
        <v>39758.782978714451</v>
      </c>
    </row>
    <row r="186" spans="1:7" ht="11.25" customHeight="1" x14ac:dyDescent="0.2">
      <c r="A186" s="49" t="s">
        <v>25</v>
      </c>
      <c r="B186" s="40">
        <v>0</v>
      </c>
      <c r="C186" s="40">
        <v>3120129.266969156</v>
      </c>
      <c r="D186" s="40">
        <v>0</v>
      </c>
      <c r="E186" s="40">
        <v>1791004.1832454663</v>
      </c>
      <c r="F186" s="40">
        <v>3120129.266969156</v>
      </c>
      <c r="G186" s="40">
        <v>1791004.1832454663</v>
      </c>
    </row>
    <row r="187" spans="1:7" ht="11.25" customHeight="1" x14ac:dyDescent="0.2">
      <c r="A187" s="50">
        <v>44440</v>
      </c>
      <c r="B187" s="40">
        <v>0</v>
      </c>
      <c r="C187" s="40">
        <v>242583.96285099603</v>
      </c>
      <c r="D187" s="40">
        <v>0</v>
      </c>
      <c r="E187" s="40">
        <v>139247.08083535038</v>
      </c>
      <c r="F187" s="40">
        <v>242583.96285099603</v>
      </c>
      <c r="G187" s="40">
        <v>139247.08083535038</v>
      </c>
    </row>
    <row r="188" spans="1:7" ht="11.25" customHeight="1" x14ac:dyDescent="0.2">
      <c r="A188" s="50">
        <v>44470</v>
      </c>
      <c r="B188" s="40">
        <v>0</v>
      </c>
      <c r="C188" s="40">
        <v>250570.522083908</v>
      </c>
      <c r="D188" s="40">
        <v>0</v>
      </c>
      <c r="E188" s="40">
        <v>143831.49377852876</v>
      </c>
      <c r="F188" s="40">
        <v>250570.522083908</v>
      </c>
      <c r="G188" s="40">
        <v>143831.49377852876</v>
      </c>
    </row>
    <row r="189" spans="1:7" ht="11.25" customHeight="1" x14ac:dyDescent="0.2">
      <c r="A189" s="50">
        <v>44501</v>
      </c>
      <c r="B189" s="40">
        <v>0</v>
      </c>
      <c r="C189" s="40">
        <v>248627.96122320005</v>
      </c>
      <c r="D189" s="40">
        <v>0</v>
      </c>
      <c r="E189" s="40">
        <v>142716.43272494734</v>
      </c>
      <c r="F189" s="40">
        <v>248627.96122320005</v>
      </c>
      <c r="G189" s="40">
        <v>142716.43272494734</v>
      </c>
    </row>
    <row r="190" spans="1:7" ht="11.25" customHeight="1" x14ac:dyDescent="0.2">
      <c r="A190" s="50">
        <v>44531</v>
      </c>
      <c r="B190" s="40">
        <v>0</v>
      </c>
      <c r="C190" s="40">
        <v>258399.57638216802</v>
      </c>
      <c r="D190" s="40">
        <v>0</v>
      </c>
      <c r="E190" s="40">
        <v>148325.49636601136</v>
      </c>
      <c r="F190" s="40">
        <v>258399.57638216802</v>
      </c>
      <c r="G190" s="40">
        <v>148325.49636601136</v>
      </c>
    </row>
    <row r="191" spans="1:7" ht="11.25" customHeight="1" x14ac:dyDescent="0.2">
      <c r="A191" s="50">
        <v>44562</v>
      </c>
      <c r="B191" s="40">
        <v>0</v>
      </c>
      <c r="C191" s="40">
        <v>284341.02217856399</v>
      </c>
      <c r="D191" s="40">
        <v>0</v>
      </c>
      <c r="E191" s="40">
        <v>163216.3018312325</v>
      </c>
      <c r="F191" s="40">
        <v>284341.02217856399</v>
      </c>
      <c r="G191" s="40">
        <v>163216.3018312325</v>
      </c>
    </row>
    <row r="192" spans="1:7" ht="11.25" customHeight="1" x14ac:dyDescent="0.2">
      <c r="A192" s="50">
        <v>44593</v>
      </c>
      <c r="B192" s="40">
        <v>0</v>
      </c>
      <c r="C192" s="40">
        <v>254880.614201252</v>
      </c>
      <c r="D192" s="40">
        <v>0</v>
      </c>
      <c r="E192" s="40">
        <v>146305.55570091665</v>
      </c>
      <c r="F192" s="40">
        <v>254880.614201252</v>
      </c>
      <c r="G192" s="40">
        <v>146305.55570091665</v>
      </c>
    </row>
    <row r="193" spans="1:7" ht="11.25" customHeight="1" x14ac:dyDescent="0.2">
      <c r="A193" s="50">
        <v>44621</v>
      </c>
      <c r="B193" s="40">
        <v>0</v>
      </c>
      <c r="C193" s="40">
        <v>277692.91689677199</v>
      </c>
      <c r="D193" s="40">
        <v>0</v>
      </c>
      <c r="E193" s="40">
        <v>159400.18289782951</v>
      </c>
      <c r="F193" s="40">
        <v>277692.91689677199</v>
      </c>
      <c r="G193" s="40">
        <v>159400.18289782951</v>
      </c>
    </row>
    <row r="194" spans="1:7" ht="11.25" customHeight="1" x14ac:dyDescent="0.2">
      <c r="A194" s="50">
        <v>44652</v>
      </c>
      <c r="B194" s="40">
        <v>0</v>
      </c>
      <c r="C194" s="40">
        <v>254790.93327994799</v>
      </c>
      <c r="D194" s="40">
        <v>0</v>
      </c>
      <c r="E194" s="40">
        <v>146254.07741541319</v>
      </c>
      <c r="F194" s="40">
        <v>254790.93327994799</v>
      </c>
      <c r="G194" s="40">
        <v>146254.07741541319</v>
      </c>
    </row>
    <row r="195" spans="1:7" ht="11.25" customHeight="1" x14ac:dyDescent="0.2">
      <c r="A195" s="50">
        <v>44682</v>
      </c>
      <c r="B195" s="40">
        <v>0</v>
      </c>
      <c r="C195" s="40">
        <v>248886.18819760802</v>
      </c>
      <c r="D195" s="40">
        <v>0</v>
      </c>
      <c r="E195" s="40">
        <v>142864.65914501512</v>
      </c>
      <c r="F195" s="40">
        <v>248886.18819760802</v>
      </c>
      <c r="G195" s="40">
        <v>142864.65914501512</v>
      </c>
    </row>
    <row r="196" spans="1:7" ht="11.25" customHeight="1" x14ac:dyDescent="0.2">
      <c r="A196" s="50">
        <v>44713</v>
      </c>
      <c r="B196" s="40">
        <v>0</v>
      </c>
      <c r="C196" s="40">
        <v>269187.42509661603</v>
      </c>
      <c r="D196" s="40">
        <v>0</v>
      </c>
      <c r="E196" s="40">
        <v>154517.89434783082</v>
      </c>
      <c r="F196" s="40">
        <v>269187.42509661603</v>
      </c>
      <c r="G196" s="40">
        <v>154517.89434783082</v>
      </c>
    </row>
    <row r="197" spans="1:7" ht="11.25" customHeight="1" x14ac:dyDescent="0.2">
      <c r="A197" s="50">
        <v>44743</v>
      </c>
      <c r="B197" s="40">
        <v>0</v>
      </c>
      <c r="C197" s="40">
        <v>264285.619161824</v>
      </c>
      <c r="D197" s="40">
        <v>0</v>
      </c>
      <c r="E197" s="40">
        <v>151704.17921506072</v>
      </c>
      <c r="F197" s="40">
        <v>264285.619161824</v>
      </c>
      <c r="G197" s="40">
        <v>151704.17921506072</v>
      </c>
    </row>
    <row r="198" spans="1:7" ht="11.25" customHeight="1" x14ac:dyDescent="0.2">
      <c r="A198" s="50">
        <v>44774</v>
      </c>
      <c r="B198" s="40">
        <v>0</v>
      </c>
      <c r="C198" s="40">
        <v>265882.52541629999</v>
      </c>
      <c r="D198" s="40">
        <v>0</v>
      </c>
      <c r="E198" s="40">
        <v>152620.82898732982</v>
      </c>
      <c r="F198" s="40">
        <v>265882.52541629999</v>
      </c>
      <c r="G198" s="40">
        <v>152620.82898732982</v>
      </c>
    </row>
    <row r="199" spans="1:7" ht="11.25" customHeight="1" x14ac:dyDescent="0.2">
      <c r="A199" s="49" t="s">
        <v>37</v>
      </c>
      <c r="B199" s="40">
        <v>897967.25199999986</v>
      </c>
      <c r="C199" s="40">
        <v>7888.5303559999993</v>
      </c>
      <c r="D199" s="40">
        <v>1052402.6512781885</v>
      </c>
      <c r="E199" s="40">
        <v>4470.2286601364976</v>
      </c>
      <c r="F199" s="40">
        <v>905855.78235599981</v>
      </c>
      <c r="G199" s="40">
        <v>1056872.8799383249</v>
      </c>
    </row>
    <row r="200" spans="1:7" ht="11.25" customHeight="1" x14ac:dyDescent="0.2">
      <c r="A200" s="50">
        <v>44440</v>
      </c>
      <c r="B200" s="40">
        <v>73796.45</v>
      </c>
      <c r="C200" s="40">
        <v>676.82523999999989</v>
      </c>
      <c r="D200" s="40">
        <v>86488.209299327864</v>
      </c>
      <c r="E200" s="40">
        <v>383.53957571457221</v>
      </c>
      <c r="F200" s="40">
        <v>74473.275240000003</v>
      </c>
      <c r="G200" s="40">
        <v>86871.748875042438</v>
      </c>
    </row>
    <row r="201" spans="1:7" ht="11.25" customHeight="1" x14ac:dyDescent="0.2">
      <c r="A201" s="50">
        <v>44470</v>
      </c>
      <c r="B201" s="40">
        <v>73796.45</v>
      </c>
      <c r="C201" s="40">
        <v>518.02057999999988</v>
      </c>
      <c r="D201" s="40">
        <v>86488.209299327864</v>
      </c>
      <c r="E201" s="40">
        <v>293.54903115701865</v>
      </c>
      <c r="F201" s="40">
        <v>74314.470579999994</v>
      </c>
      <c r="G201" s="40">
        <v>86781.758330484881</v>
      </c>
    </row>
    <row r="202" spans="1:7" ht="11.25" customHeight="1" x14ac:dyDescent="0.2">
      <c r="A202" s="50">
        <v>44501</v>
      </c>
      <c r="B202" s="40">
        <v>73796.45</v>
      </c>
      <c r="C202" s="40">
        <v>559.1558839999999</v>
      </c>
      <c r="D202" s="40">
        <v>86488.209299327864</v>
      </c>
      <c r="E202" s="40">
        <v>316.85935723624397</v>
      </c>
      <c r="F202" s="40">
        <v>74355.605884000004</v>
      </c>
      <c r="G202" s="40">
        <v>86805.068656564108</v>
      </c>
    </row>
    <row r="203" spans="1:7" ht="11.25" customHeight="1" x14ac:dyDescent="0.2">
      <c r="A203" s="50">
        <v>44531</v>
      </c>
      <c r="B203" s="40">
        <v>73796.45</v>
      </c>
      <c r="C203" s="40">
        <v>666.55245999999988</v>
      </c>
      <c r="D203" s="40">
        <v>86488.209299327864</v>
      </c>
      <c r="E203" s="40">
        <v>377.71825368082369</v>
      </c>
      <c r="F203" s="40">
        <v>74463.002460000003</v>
      </c>
      <c r="G203" s="40">
        <v>86865.927553008689</v>
      </c>
    </row>
    <row r="204" spans="1:7" ht="11.25" customHeight="1" x14ac:dyDescent="0.2">
      <c r="A204" s="50">
        <v>44562</v>
      </c>
      <c r="B204" s="40">
        <v>73796.45</v>
      </c>
      <c r="C204" s="40">
        <v>685.3527519999999</v>
      </c>
      <c r="D204" s="40">
        <v>86488.209299327864</v>
      </c>
      <c r="E204" s="40">
        <v>388.37189895118934</v>
      </c>
      <c r="F204" s="40">
        <v>74481.802752000003</v>
      </c>
      <c r="G204" s="40">
        <v>86876.581198279047</v>
      </c>
    </row>
    <row r="205" spans="1:7" ht="11.25" customHeight="1" x14ac:dyDescent="0.2">
      <c r="A205" s="50">
        <v>44593</v>
      </c>
      <c r="B205" s="40">
        <v>73796.45</v>
      </c>
      <c r="C205" s="40">
        <v>645.73443199999997</v>
      </c>
      <c r="D205" s="40">
        <v>86488.209299327864</v>
      </c>
      <c r="E205" s="40">
        <v>365.9212089572344</v>
      </c>
      <c r="F205" s="40">
        <v>74442.184431999995</v>
      </c>
      <c r="G205" s="40">
        <v>86854.130508285103</v>
      </c>
    </row>
    <row r="206" spans="1:7" ht="11.25" customHeight="1" x14ac:dyDescent="0.2">
      <c r="A206" s="50">
        <v>44621</v>
      </c>
      <c r="B206" s="40">
        <v>73796.45</v>
      </c>
      <c r="C206" s="40">
        <v>655.57273599999996</v>
      </c>
      <c r="D206" s="40">
        <v>86488.209299327864</v>
      </c>
      <c r="E206" s="40">
        <v>371.49632453937642</v>
      </c>
      <c r="F206" s="40">
        <v>74452.022735999999</v>
      </c>
      <c r="G206" s="40">
        <v>86859.705623867238</v>
      </c>
    </row>
    <row r="207" spans="1:7" ht="11.25" customHeight="1" x14ac:dyDescent="0.2">
      <c r="A207" s="50">
        <v>44652</v>
      </c>
      <c r="B207" s="40">
        <v>73796.45</v>
      </c>
      <c r="C207" s="40">
        <v>586.83715999999993</v>
      </c>
      <c r="D207" s="40">
        <v>86488.209299327864</v>
      </c>
      <c r="E207" s="40">
        <v>332.54562929707606</v>
      </c>
      <c r="F207" s="40">
        <v>74383.287159999993</v>
      </c>
      <c r="G207" s="40">
        <v>86820.754928624941</v>
      </c>
    </row>
    <row r="208" spans="1:7" ht="11.25" customHeight="1" x14ac:dyDescent="0.2">
      <c r="A208" s="50">
        <v>44682</v>
      </c>
      <c r="B208" s="40">
        <v>73796.45</v>
      </c>
      <c r="C208" s="40">
        <v>674.47612399999991</v>
      </c>
      <c r="D208" s="40">
        <v>86488.209299327864</v>
      </c>
      <c r="E208" s="40">
        <v>382.20839167961469</v>
      </c>
      <c r="F208" s="40">
        <v>74470.926123999991</v>
      </c>
      <c r="G208" s="40">
        <v>86870.417691007475</v>
      </c>
    </row>
    <row r="209" spans="1:7" ht="11.25" customHeight="1" x14ac:dyDescent="0.2">
      <c r="A209" s="50">
        <v>44713</v>
      </c>
      <c r="B209" s="40">
        <v>73796.45</v>
      </c>
      <c r="C209" s="40">
        <v>705.96458799999994</v>
      </c>
      <c r="D209" s="40">
        <v>86488.209299327864</v>
      </c>
      <c r="E209" s="40">
        <v>400.0520999350332</v>
      </c>
      <c r="F209" s="40">
        <v>74502.414588</v>
      </c>
      <c r="G209" s="40">
        <v>86888.26139926289</v>
      </c>
    </row>
    <row r="210" spans="1:7" ht="11.25" customHeight="1" x14ac:dyDescent="0.2">
      <c r="A210" s="50">
        <v>44743</v>
      </c>
      <c r="B210" s="40">
        <v>73796.45</v>
      </c>
      <c r="C210" s="40">
        <v>683.62221199999988</v>
      </c>
      <c r="D210" s="40">
        <v>86488.209299327864</v>
      </c>
      <c r="E210" s="40">
        <v>387.39124613546824</v>
      </c>
      <c r="F210" s="40">
        <v>74480.072211999999</v>
      </c>
      <c r="G210" s="40">
        <v>86875.600545463327</v>
      </c>
    </row>
    <row r="211" spans="1:7" ht="11.25" customHeight="1" x14ac:dyDescent="0.2">
      <c r="A211" s="50">
        <v>44774</v>
      </c>
      <c r="B211" s="40">
        <v>86206.301999999996</v>
      </c>
      <c r="C211" s="40">
        <v>830.41618799999992</v>
      </c>
      <c r="D211" s="40">
        <v>101032.34898558218</v>
      </c>
      <c r="E211" s="40">
        <v>470.57564285284701</v>
      </c>
      <c r="F211" s="40">
        <v>87036.718187999999</v>
      </c>
      <c r="G211" s="40">
        <v>101502.92462843502</v>
      </c>
    </row>
    <row r="212" spans="1:7" ht="11.25" customHeight="1" x14ac:dyDescent="0.2">
      <c r="A212" s="42" t="s">
        <v>665</v>
      </c>
      <c r="B212" s="40">
        <v>87252</v>
      </c>
      <c r="C212" s="40">
        <v>0</v>
      </c>
      <c r="D212" s="40">
        <v>77851.691425883953</v>
      </c>
      <c r="E212" s="40">
        <v>0</v>
      </c>
      <c r="F212" s="40">
        <v>87252</v>
      </c>
      <c r="G212" s="40">
        <v>77851.691425883953</v>
      </c>
    </row>
    <row r="213" spans="1:7" ht="11.25" customHeight="1" x14ac:dyDescent="0.2">
      <c r="A213" s="43" t="s">
        <v>35</v>
      </c>
      <c r="B213" s="40">
        <v>87252</v>
      </c>
      <c r="C213" s="40">
        <v>0</v>
      </c>
      <c r="D213" s="40">
        <v>77851.691425883953</v>
      </c>
      <c r="E213" s="40">
        <v>0</v>
      </c>
      <c r="F213" s="40">
        <v>87252</v>
      </c>
      <c r="G213" s="40">
        <v>77851.691425883953</v>
      </c>
    </row>
    <row r="214" spans="1:7" ht="11.25" customHeight="1" x14ac:dyDescent="0.2">
      <c r="A214" s="44" t="s">
        <v>60</v>
      </c>
      <c r="B214" s="40">
        <v>87252</v>
      </c>
      <c r="C214" s="40">
        <v>0</v>
      </c>
      <c r="D214" s="40">
        <v>77851.691425883953</v>
      </c>
      <c r="E214" s="40">
        <v>0</v>
      </c>
      <c r="F214" s="40">
        <v>87252</v>
      </c>
      <c r="G214" s="40">
        <v>77851.691425883953</v>
      </c>
    </row>
    <row r="215" spans="1:7" ht="11.25" customHeight="1" x14ac:dyDescent="0.2">
      <c r="A215" s="45" t="s">
        <v>25</v>
      </c>
      <c r="B215" s="40">
        <v>87252</v>
      </c>
      <c r="C215" s="40">
        <v>0</v>
      </c>
      <c r="D215" s="40">
        <v>77851.691425883953</v>
      </c>
      <c r="E215" s="40">
        <v>0</v>
      </c>
      <c r="F215" s="40">
        <v>87252</v>
      </c>
      <c r="G215" s="40">
        <v>77851.691425883953</v>
      </c>
    </row>
    <row r="216" spans="1:7" ht="11.25" customHeight="1" x14ac:dyDescent="0.2">
      <c r="A216" s="46" t="s">
        <v>25</v>
      </c>
      <c r="B216" s="40">
        <v>87252</v>
      </c>
      <c r="C216" s="40">
        <v>0</v>
      </c>
      <c r="D216" s="40">
        <v>77851.691425883953</v>
      </c>
      <c r="E216" s="40">
        <v>0</v>
      </c>
      <c r="F216" s="40">
        <v>87252</v>
      </c>
      <c r="G216" s="40">
        <v>77851.691425883953</v>
      </c>
    </row>
    <row r="217" spans="1:7" ht="11.25" customHeight="1" x14ac:dyDescent="0.2">
      <c r="A217" s="47" t="s">
        <v>25</v>
      </c>
      <c r="B217" s="40">
        <v>87252</v>
      </c>
      <c r="C217" s="40">
        <v>0</v>
      </c>
      <c r="D217" s="40">
        <v>77851.691425883953</v>
      </c>
      <c r="E217" s="40">
        <v>0</v>
      </c>
      <c r="F217" s="40">
        <v>87252</v>
      </c>
      <c r="G217" s="40">
        <v>77851.691425883953</v>
      </c>
    </row>
    <row r="218" spans="1:7" ht="11.25" customHeight="1" x14ac:dyDescent="0.2">
      <c r="A218" s="48" t="s">
        <v>65</v>
      </c>
      <c r="B218" s="40">
        <v>13006.4</v>
      </c>
      <c r="C218" s="40">
        <v>0</v>
      </c>
      <c r="D218" s="40">
        <v>11605.123542859961</v>
      </c>
      <c r="E218" s="40">
        <v>0</v>
      </c>
      <c r="F218" s="40">
        <v>13006.4</v>
      </c>
      <c r="G218" s="40">
        <v>11605.123542859961</v>
      </c>
    </row>
    <row r="219" spans="1:7" ht="11.25" customHeight="1" x14ac:dyDescent="0.2">
      <c r="A219" s="49" t="s">
        <v>25</v>
      </c>
      <c r="B219" s="40">
        <v>13006.4</v>
      </c>
      <c r="C219" s="40">
        <v>0</v>
      </c>
      <c r="D219" s="40">
        <v>11605.123542859961</v>
      </c>
      <c r="E219" s="40">
        <v>0</v>
      </c>
      <c r="F219" s="40">
        <v>13006.4</v>
      </c>
      <c r="G219" s="40">
        <v>11605.123542859961</v>
      </c>
    </row>
    <row r="220" spans="1:7" ht="11.25" customHeight="1" x14ac:dyDescent="0.2">
      <c r="A220" s="50">
        <v>44440</v>
      </c>
      <c r="B220" s="40">
        <v>1172.1600000000001</v>
      </c>
      <c r="C220" s="40">
        <v>0</v>
      </c>
      <c r="D220" s="40">
        <v>1045.874462725945</v>
      </c>
      <c r="E220" s="40">
        <v>0</v>
      </c>
      <c r="F220" s="40">
        <v>1172.1600000000001</v>
      </c>
      <c r="G220" s="40">
        <v>1045.874462725945</v>
      </c>
    </row>
    <row r="221" spans="1:7" ht="11.25" customHeight="1" x14ac:dyDescent="0.2">
      <c r="A221" s="50">
        <v>44470</v>
      </c>
      <c r="B221" s="40">
        <v>1351.68</v>
      </c>
      <c r="C221" s="40">
        <v>0</v>
      </c>
      <c r="D221" s="40">
        <v>1206.0534344947835</v>
      </c>
      <c r="E221" s="40">
        <v>0</v>
      </c>
      <c r="F221" s="40">
        <v>1351.68</v>
      </c>
      <c r="G221" s="40">
        <v>1206.0534344947835</v>
      </c>
    </row>
    <row r="222" spans="1:7" ht="11.25" customHeight="1" x14ac:dyDescent="0.2">
      <c r="A222" s="50">
        <v>44501</v>
      </c>
      <c r="B222" s="40">
        <v>936.32</v>
      </c>
      <c r="C222" s="40">
        <v>0</v>
      </c>
      <c r="D222" s="40">
        <v>835.44326451982397</v>
      </c>
      <c r="E222" s="40">
        <v>0</v>
      </c>
      <c r="F222" s="40">
        <v>936.32</v>
      </c>
      <c r="G222" s="40">
        <v>835.44326451982397</v>
      </c>
    </row>
    <row r="223" spans="1:7" ht="11.25" customHeight="1" x14ac:dyDescent="0.2">
      <c r="A223" s="50">
        <v>44531</v>
      </c>
      <c r="B223" s="40">
        <v>1124.6400000000001</v>
      </c>
      <c r="C223" s="40">
        <v>0</v>
      </c>
      <c r="D223" s="40">
        <v>1003.4741466694878</v>
      </c>
      <c r="E223" s="40">
        <v>0</v>
      </c>
      <c r="F223" s="40">
        <v>1124.6400000000001</v>
      </c>
      <c r="G223" s="40">
        <v>1003.4741466694878</v>
      </c>
    </row>
    <row r="224" spans="1:7" ht="11.25" customHeight="1" x14ac:dyDescent="0.2">
      <c r="A224" s="50">
        <v>44562</v>
      </c>
      <c r="B224" s="40">
        <v>1124.6400000000001</v>
      </c>
      <c r="C224" s="40">
        <v>0</v>
      </c>
      <c r="D224" s="40">
        <v>1003.4741466694878</v>
      </c>
      <c r="E224" s="40">
        <v>0</v>
      </c>
      <c r="F224" s="40">
        <v>1124.6400000000001</v>
      </c>
      <c r="G224" s="40">
        <v>1003.4741466694878</v>
      </c>
    </row>
    <row r="225" spans="1:7" ht="11.25" customHeight="1" x14ac:dyDescent="0.2">
      <c r="A225" s="50">
        <v>44593</v>
      </c>
      <c r="B225" s="40">
        <v>915.2</v>
      </c>
      <c r="C225" s="40">
        <v>0</v>
      </c>
      <c r="D225" s="40">
        <v>816.59867960584302</v>
      </c>
      <c r="E225" s="40">
        <v>0</v>
      </c>
      <c r="F225" s="40">
        <v>915.2</v>
      </c>
      <c r="G225" s="40">
        <v>816.59867960584302</v>
      </c>
    </row>
    <row r="226" spans="1:7" ht="11.25" customHeight="1" x14ac:dyDescent="0.2">
      <c r="A226" s="50">
        <v>44621</v>
      </c>
      <c r="B226" s="40">
        <v>1277.76</v>
      </c>
      <c r="C226" s="40">
        <v>0</v>
      </c>
      <c r="D226" s="40">
        <v>1140.09738729585</v>
      </c>
      <c r="E226" s="40">
        <v>0</v>
      </c>
      <c r="F226" s="40">
        <v>1277.76</v>
      </c>
      <c r="G226" s="40">
        <v>1140.09738729585</v>
      </c>
    </row>
    <row r="227" spans="1:7" ht="11.25" customHeight="1" x14ac:dyDescent="0.2">
      <c r="A227" s="50">
        <v>44652</v>
      </c>
      <c r="B227" s="40">
        <v>1166.8800000000001</v>
      </c>
      <c r="C227" s="40">
        <v>0</v>
      </c>
      <c r="D227" s="40">
        <v>1041.1633164974498</v>
      </c>
      <c r="E227" s="40">
        <v>0</v>
      </c>
      <c r="F227" s="40">
        <v>1166.8800000000001</v>
      </c>
      <c r="G227" s="40">
        <v>1041.1633164974498</v>
      </c>
    </row>
    <row r="228" spans="1:7" ht="11.25" customHeight="1" x14ac:dyDescent="0.2">
      <c r="A228" s="50">
        <v>44682</v>
      </c>
      <c r="B228" s="40">
        <v>844.8</v>
      </c>
      <c r="C228" s="40">
        <v>0</v>
      </c>
      <c r="D228" s="40">
        <v>753.78339655923969</v>
      </c>
      <c r="E228" s="40">
        <v>0</v>
      </c>
      <c r="F228" s="40">
        <v>844.8</v>
      </c>
      <c r="G228" s="40">
        <v>753.78339655923969</v>
      </c>
    </row>
    <row r="229" spans="1:7" ht="11.25" customHeight="1" x14ac:dyDescent="0.2">
      <c r="A229" s="50">
        <v>44713</v>
      </c>
      <c r="B229" s="40">
        <v>895.84</v>
      </c>
      <c r="C229" s="40">
        <v>0</v>
      </c>
      <c r="D229" s="40">
        <v>799.32447676802701</v>
      </c>
      <c r="E229" s="40">
        <v>0</v>
      </c>
      <c r="F229" s="40">
        <v>895.84</v>
      </c>
      <c r="G229" s="40">
        <v>799.32447676802701</v>
      </c>
    </row>
    <row r="230" spans="1:7" ht="11.25" customHeight="1" x14ac:dyDescent="0.2">
      <c r="A230" s="50">
        <v>44743</v>
      </c>
      <c r="B230" s="40">
        <v>1131.68</v>
      </c>
      <c r="C230" s="40">
        <v>0</v>
      </c>
      <c r="D230" s="40">
        <v>1009.7556749741482</v>
      </c>
      <c r="E230" s="40">
        <v>0</v>
      </c>
      <c r="F230" s="40">
        <v>1131.68</v>
      </c>
      <c r="G230" s="40">
        <v>1009.7556749741482</v>
      </c>
    </row>
    <row r="231" spans="1:7" ht="11.25" customHeight="1" x14ac:dyDescent="0.2">
      <c r="A231" s="50">
        <v>44774</v>
      </c>
      <c r="B231" s="40">
        <v>1064.8</v>
      </c>
      <c r="C231" s="40">
        <v>0</v>
      </c>
      <c r="D231" s="40">
        <v>950.08115607987497</v>
      </c>
      <c r="E231" s="40">
        <v>0</v>
      </c>
      <c r="F231" s="40">
        <v>1064.8</v>
      </c>
      <c r="G231" s="40">
        <v>950.08115607987497</v>
      </c>
    </row>
    <row r="232" spans="1:7" ht="11.25" customHeight="1" x14ac:dyDescent="0.2">
      <c r="A232" s="48" t="s">
        <v>63</v>
      </c>
      <c r="B232" s="40">
        <v>6485.6000000000013</v>
      </c>
      <c r="C232" s="40">
        <v>0</v>
      </c>
      <c r="D232" s="40">
        <v>5786.85795066833</v>
      </c>
      <c r="E232" s="40">
        <v>0</v>
      </c>
      <c r="F232" s="40">
        <v>6485.6000000000013</v>
      </c>
      <c r="G232" s="40">
        <v>5786.85795066833</v>
      </c>
    </row>
    <row r="233" spans="1:7" ht="11.25" customHeight="1" x14ac:dyDescent="0.2">
      <c r="A233" s="49" t="s">
        <v>25</v>
      </c>
      <c r="B233" s="40">
        <v>6485.6000000000013</v>
      </c>
      <c r="C233" s="40">
        <v>0</v>
      </c>
      <c r="D233" s="40">
        <v>5786.85795066833</v>
      </c>
      <c r="E233" s="40">
        <v>0</v>
      </c>
      <c r="F233" s="40">
        <v>6485.6000000000013</v>
      </c>
      <c r="G233" s="40">
        <v>5786.85795066833</v>
      </c>
    </row>
    <row r="234" spans="1:7" ht="11.25" customHeight="1" x14ac:dyDescent="0.2">
      <c r="A234" s="50">
        <v>44440</v>
      </c>
      <c r="B234" s="40">
        <v>589.6</v>
      </c>
      <c r="C234" s="40">
        <v>0</v>
      </c>
      <c r="D234" s="40">
        <v>526.07799551530263</v>
      </c>
      <c r="E234" s="40">
        <v>0</v>
      </c>
      <c r="F234" s="40">
        <v>589.6</v>
      </c>
      <c r="G234" s="40">
        <v>526.07799551530263</v>
      </c>
    </row>
    <row r="235" spans="1:7" ht="11.25" customHeight="1" x14ac:dyDescent="0.2">
      <c r="A235" s="50">
        <v>44470</v>
      </c>
      <c r="B235" s="40">
        <v>589.6</v>
      </c>
      <c r="C235" s="40">
        <v>0</v>
      </c>
      <c r="D235" s="40">
        <v>526.07799551530263</v>
      </c>
      <c r="E235" s="40">
        <v>0</v>
      </c>
      <c r="F235" s="40">
        <v>589.6</v>
      </c>
      <c r="G235" s="40">
        <v>526.07799551530263</v>
      </c>
    </row>
    <row r="236" spans="1:7" ht="11.25" customHeight="1" x14ac:dyDescent="0.2">
      <c r="A236" s="50">
        <v>44501</v>
      </c>
      <c r="B236" s="40">
        <v>589.6</v>
      </c>
      <c r="C236" s="40">
        <v>0</v>
      </c>
      <c r="D236" s="40">
        <v>526.07799551530263</v>
      </c>
      <c r="E236" s="40">
        <v>0</v>
      </c>
      <c r="F236" s="40">
        <v>589.6</v>
      </c>
      <c r="G236" s="40">
        <v>526.07799551530263</v>
      </c>
    </row>
    <row r="237" spans="1:7" ht="11.25" customHeight="1" x14ac:dyDescent="0.2">
      <c r="A237" s="50">
        <v>44531</v>
      </c>
      <c r="B237" s="40">
        <v>589.6</v>
      </c>
      <c r="C237" s="40">
        <v>0</v>
      </c>
      <c r="D237" s="40">
        <v>526.07799551530263</v>
      </c>
      <c r="E237" s="40">
        <v>0</v>
      </c>
      <c r="F237" s="40">
        <v>589.6</v>
      </c>
      <c r="G237" s="40">
        <v>526.07799551530263</v>
      </c>
    </row>
    <row r="238" spans="1:7" ht="11.25" customHeight="1" x14ac:dyDescent="0.2">
      <c r="A238" s="50">
        <v>44562</v>
      </c>
      <c r="B238" s="40">
        <v>589.6</v>
      </c>
      <c r="C238" s="40">
        <v>0</v>
      </c>
      <c r="D238" s="40">
        <v>526.07799551530263</v>
      </c>
      <c r="E238" s="40">
        <v>0</v>
      </c>
      <c r="F238" s="40">
        <v>589.6</v>
      </c>
      <c r="G238" s="40">
        <v>526.07799551530263</v>
      </c>
    </row>
    <row r="239" spans="1:7" ht="11.25" customHeight="1" x14ac:dyDescent="0.2">
      <c r="A239" s="50">
        <v>44593</v>
      </c>
      <c r="B239" s="40">
        <v>0</v>
      </c>
      <c r="C239" s="40">
        <v>0</v>
      </c>
      <c r="D239" s="40">
        <v>0</v>
      </c>
      <c r="E239" s="40">
        <v>0</v>
      </c>
      <c r="F239" s="40">
        <v>0</v>
      </c>
      <c r="G239" s="40">
        <v>0</v>
      </c>
    </row>
    <row r="240" spans="1:7" ht="11.25" customHeight="1" x14ac:dyDescent="0.2">
      <c r="A240" s="50">
        <v>44621</v>
      </c>
      <c r="B240" s="40">
        <v>589.6</v>
      </c>
      <c r="C240" s="40">
        <v>0</v>
      </c>
      <c r="D240" s="40">
        <v>526.07799551530263</v>
      </c>
      <c r="E240" s="40">
        <v>0</v>
      </c>
      <c r="F240" s="40">
        <v>589.6</v>
      </c>
      <c r="G240" s="40">
        <v>526.07799551530263</v>
      </c>
    </row>
    <row r="241" spans="1:7" ht="11.25" customHeight="1" x14ac:dyDescent="0.2">
      <c r="A241" s="50">
        <v>44652</v>
      </c>
      <c r="B241" s="40">
        <v>589.6</v>
      </c>
      <c r="C241" s="40">
        <v>0</v>
      </c>
      <c r="D241" s="40">
        <v>526.07799551530263</v>
      </c>
      <c r="E241" s="40">
        <v>0</v>
      </c>
      <c r="F241" s="40">
        <v>589.6</v>
      </c>
      <c r="G241" s="40">
        <v>526.07799551530263</v>
      </c>
    </row>
    <row r="242" spans="1:7" ht="11.25" customHeight="1" x14ac:dyDescent="0.2">
      <c r="A242" s="50">
        <v>44682</v>
      </c>
      <c r="B242" s="40">
        <v>589.6</v>
      </c>
      <c r="C242" s="40">
        <v>0</v>
      </c>
      <c r="D242" s="40">
        <v>526.07799551530263</v>
      </c>
      <c r="E242" s="40">
        <v>0</v>
      </c>
      <c r="F242" s="40">
        <v>589.6</v>
      </c>
      <c r="G242" s="40">
        <v>526.07799551530263</v>
      </c>
    </row>
    <row r="243" spans="1:7" ht="11.25" customHeight="1" x14ac:dyDescent="0.2">
      <c r="A243" s="50">
        <v>44713</v>
      </c>
      <c r="B243" s="40">
        <v>589.6</v>
      </c>
      <c r="C243" s="40">
        <v>0</v>
      </c>
      <c r="D243" s="40">
        <v>526.07799551530263</v>
      </c>
      <c r="E243" s="40">
        <v>0</v>
      </c>
      <c r="F243" s="40">
        <v>589.6</v>
      </c>
      <c r="G243" s="40">
        <v>526.07799551530263</v>
      </c>
    </row>
    <row r="244" spans="1:7" ht="11.25" customHeight="1" x14ac:dyDescent="0.2">
      <c r="A244" s="50">
        <v>44743</v>
      </c>
      <c r="B244" s="40">
        <v>589.6</v>
      </c>
      <c r="C244" s="40">
        <v>0</v>
      </c>
      <c r="D244" s="40">
        <v>526.07799551530263</v>
      </c>
      <c r="E244" s="40">
        <v>0</v>
      </c>
      <c r="F244" s="40">
        <v>589.6</v>
      </c>
      <c r="G244" s="40">
        <v>526.07799551530263</v>
      </c>
    </row>
    <row r="245" spans="1:7" ht="11.25" customHeight="1" x14ac:dyDescent="0.2">
      <c r="A245" s="50">
        <v>44774</v>
      </c>
      <c r="B245" s="40">
        <v>589.6</v>
      </c>
      <c r="C245" s="40">
        <v>0</v>
      </c>
      <c r="D245" s="40">
        <v>526.07799551530263</v>
      </c>
      <c r="E245" s="40">
        <v>0</v>
      </c>
      <c r="F245" s="40">
        <v>589.6</v>
      </c>
      <c r="G245" s="40">
        <v>526.07799551530263</v>
      </c>
    </row>
    <row r="246" spans="1:7" ht="11.25" customHeight="1" x14ac:dyDescent="0.2">
      <c r="A246" s="48" t="s">
        <v>64</v>
      </c>
      <c r="B246" s="40">
        <v>19360</v>
      </c>
      <c r="C246" s="40">
        <v>0</v>
      </c>
      <c r="D246" s="40">
        <v>17274.202837815908</v>
      </c>
      <c r="E246" s="40">
        <v>0</v>
      </c>
      <c r="F246" s="40">
        <v>19360</v>
      </c>
      <c r="G246" s="40">
        <v>17274.202837815908</v>
      </c>
    </row>
    <row r="247" spans="1:7" ht="11.25" customHeight="1" x14ac:dyDescent="0.2">
      <c r="A247" s="49" t="s">
        <v>25</v>
      </c>
      <c r="B247" s="40">
        <v>19360</v>
      </c>
      <c r="C247" s="40">
        <v>0</v>
      </c>
      <c r="D247" s="40">
        <v>17274.202837815908</v>
      </c>
      <c r="E247" s="40">
        <v>0</v>
      </c>
      <c r="F247" s="40">
        <v>19360</v>
      </c>
      <c r="G247" s="40">
        <v>17274.202837815908</v>
      </c>
    </row>
    <row r="248" spans="1:7" ht="11.25" customHeight="1" x14ac:dyDescent="0.2">
      <c r="A248" s="50">
        <v>44440</v>
      </c>
      <c r="B248" s="40">
        <v>1760</v>
      </c>
      <c r="C248" s="40">
        <v>0</v>
      </c>
      <c r="D248" s="40">
        <v>1570.3820761650827</v>
      </c>
      <c r="E248" s="40">
        <v>0</v>
      </c>
      <c r="F248" s="40">
        <v>1760</v>
      </c>
      <c r="G248" s="40">
        <v>1570.3820761650827</v>
      </c>
    </row>
    <row r="249" spans="1:7" ht="11.25" customHeight="1" x14ac:dyDescent="0.2">
      <c r="A249" s="50">
        <v>44470</v>
      </c>
      <c r="B249" s="40">
        <v>1760</v>
      </c>
      <c r="C249" s="40">
        <v>0</v>
      </c>
      <c r="D249" s="40">
        <v>1570.3820761650827</v>
      </c>
      <c r="E249" s="40">
        <v>0</v>
      </c>
      <c r="F249" s="40">
        <v>1760</v>
      </c>
      <c r="G249" s="40">
        <v>1570.3820761650827</v>
      </c>
    </row>
    <row r="250" spans="1:7" ht="11.25" customHeight="1" x14ac:dyDescent="0.2">
      <c r="A250" s="50">
        <v>44501</v>
      </c>
      <c r="B250" s="40">
        <v>1760</v>
      </c>
      <c r="C250" s="40">
        <v>0</v>
      </c>
      <c r="D250" s="40">
        <v>1570.3820761650827</v>
      </c>
      <c r="E250" s="40">
        <v>0</v>
      </c>
      <c r="F250" s="40">
        <v>1760</v>
      </c>
      <c r="G250" s="40">
        <v>1570.3820761650827</v>
      </c>
    </row>
    <row r="251" spans="1:7" ht="11.25" customHeight="1" x14ac:dyDescent="0.2">
      <c r="A251" s="50">
        <v>44531</v>
      </c>
      <c r="B251" s="40">
        <v>1760</v>
      </c>
      <c r="C251" s="40">
        <v>0</v>
      </c>
      <c r="D251" s="40">
        <v>1570.3820761650827</v>
      </c>
      <c r="E251" s="40">
        <v>0</v>
      </c>
      <c r="F251" s="40">
        <v>1760</v>
      </c>
      <c r="G251" s="40">
        <v>1570.3820761650827</v>
      </c>
    </row>
    <row r="252" spans="1:7" ht="11.25" customHeight="1" x14ac:dyDescent="0.2">
      <c r="A252" s="50">
        <v>44562</v>
      </c>
      <c r="B252" s="40">
        <v>1760</v>
      </c>
      <c r="C252" s="40">
        <v>0</v>
      </c>
      <c r="D252" s="40">
        <v>1570.3820761650827</v>
      </c>
      <c r="E252" s="40">
        <v>0</v>
      </c>
      <c r="F252" s="40">
        <v>1760</v>
      </c>
      <c r="G252" s="40">
        <v>1570.3820761650827</v>
      </c>
    </row>
    <row r="253" spans="1:7" ht="11.25" customHeight="1" x14ac:dyDescent="0.2">
      <c r="A253" s="50">
        <v>44593</v>
      </c>
      <c r="B253" s="40">
        <v>0</v>
      </c>
      <c r="C253" s="40">
        <v>0</v>
      </c>
      <c r="D253" s="40">
        <v>0</v>
      </c>
      <c r="E253" s="40">
        <v>0</v>
      </c>
      <c r="F253" s="40">
        <v>0</v>
      </c>
      <c r="G253" s="40">
        <v>0</v>
      </c>
    </row>
    <row r="254" spans="1:7" ht="11.25" customHeight="1" x14ac:dyDescent="0.2">
      <c r="A254" s="50">
        <v>44621</v>
      </c>
      <c r="B254" s="40">
        <v>1760</v>
      </c>
      <c r="C254" s="40">
        <v>0</v>
      </c>
      <c r="D254" s="40">
        <v>1570.3820761650827</v>
      </c>
      <c r="E254" s="40">
        <v>0</v>
      </c>
      <c r="F254" s="40">
        <v>1760</v>
      </c>
      <c r="G254" s="40">
        <v>1570.3820761650827</v>
      </c>
    </row>
    <row r="255" spans="1:7" ht="11.25" customHeight="1" x14ac:dyDescent="0.2">
      <c r="A255" s="50">
        <v>44652</v>
      </c>
      <c r="B255" s="40">
        <v>1760</v>
      </c>
      <c r="C255" s="40">
        <v>0</v>
      </c>
      <c r="D255" s="40">
        <v>1570.3820761650827</v>
      </c>
      <c r="E255" s="40">
        <v>0</v>
      </c>
      <c r="F255" s="40">
        <v>1760</v>
      </c>
      <c r="G255" s="40">
        <v>1570.3820761650827</v>
      </c>
    </row>
    <row r="256" spans="1:7" ht="11.25" customHeight="1" x14ac:dyDescent="0.2">
      <c r="A256" s="50">
        <v>44682</v>
      </c>
      <c r="B256" s="40">
        <v>1760</v>
      </c>
      <c r="C256" s="40">
        <v>0</v>
      </c>
      <c r="D256" s="40">
        <v>1570.3820761650827</v>
      </c>
      <c r="E256" s="40">
        <v>0</v>
      </c>
      <c r="F256" s="40">
        <v>1760</v>
      </c>
      <c r="G256" s="40">
        <v>1570.3820761650827</v>
      </c>
    </row>
    <row r="257" spans="1:7" ht="11.25" customHeight="1" x14ac:dyDescent="0.2">
      <c r="A257" s="50">
        <v>44713</v>
      </c>
      <c r="B257" s="40">
        <v>1760</v>
      </c>
      <c r="C257" s="40">
        <v>0</v>
      </c>
      <c r="D257" s="40">
        <v>1570.3820761650827</v>
      </c>
      <c r="E257" s="40">
        <v>0</v>
      </c>
      <c r="F257" s="40">
        <v>1760</v>
      </c>
      <c r="G257" s="40">
        <v>1570.3820761650827</v>
      </c>
    </row>
    <row r="258" spans="1:7" ht="11.25" customHeight="1" x14ac:dyDescent="0.2">
      <c r="A258" s="50">
        <v>44743</v>
      </c>
      <c r="B258" s="40">
        <v>1760</v>
      </c>
      <c r="C258" s="40">
        <v>0</v>
      </c>
      <c r="D258" s="40">
        <v>1570.3820761650827</v>
      </c>
      <c r="E258" s="40">
        <v>0</v>
      </c>
      <c r="F258" s="40">
        <v>1760</v>
      </c>
      <c r="G258" s="40">
        <v>1570.3820761650827</v>
      </c>
    </row>
    <row r="259" spans="1:7" ht="11.25" customHeight="1" x14ac:dyDescent="0.2">
      <c r="A259" s="50">
        <v>44774</v>
      </c>
      <c r="B259" s="40">
        <v>1760</v>
      </c>
      <c r="C259" s="40">
        <v>0</v>
      </c>
      <c r="D259" s="40">
        <v>1570.3820761650827</v>
      </c>
      <c r="E259" s="40">
        <v>0</v>
      </c>
      <c r="F259" s="40">
        <v>1760</v>
      </c>
      <c r="G259" s="40">
        <v>1570.3820761650827</v>
      </c>
    </row>
    <row r="260" spans="1:7" ht="11.25" customHeight="1" x14ac:dyDescent="0.2">
      <c r="A260" s="48" t="s">
        <v>61</v>
      </c>
      <c r="B260" s="40">
        <v>48400</v>
      </c>
      <c r="C260" s="40">
        <v>0</v>
      </c>
      <c r="D260" s="40">
        <v>43185.507094539775</v>
      </c>
      <c r="E260" s="40">
        <v>0</v>
      </c>
      <c r="F260" s="40">
        <v>48400</v>
      </c>
      <c r="G260" s="40">
        <v>43185.507094539775</v>
      </c>
    </row>
    <row r="261" spans="1:7" ht="11.25" customHeight="1" x14ac:dyDescent="0.2">
      <c r="A261" s="49" t="s">
        <v>25</v>
      </c>
      <c r="B261" s="40">
        <v>48400</v>
      </c>
      <c r="C261" s="40">
        <v>0</v>
      </c>
      <c r="D261" s="40">
        <v>43185.507094539775</v>
      </c>
      <c r="E261" s="40">
        <v>0</v>
      </c>
      <c r="F261" s="40">
        <v>48400</v>
      </c>
      <c r="G261" s="40">
        <v>43185.507094539775</v>
      </c>
    </row>
    <row r="262" spans="1:7" ht="11.25" customHeight="1" x14ac:dyDescent="0.2">
      <c r="A262" s="50">
        <v>44440</v>
      </c>
      <c r="B262" s="40">
        <v>4400</v>
      </c>
      <c r="C262" s="40">
        <v>0</v>
      </c>
      <c r="D262" s="40">
        <v>3925.9551904127065</v>
      </c>
      <c r="E262" s="40">
        <v>0</v>
      </c>
      <c r="F262" s="40">
        <v>4400</v>
      </c>
      <c r="G262" s="40">
        <v>3925.9551904127065</v>
      </c>
    </row>
    <row r="263" spans="1:7" ht="11.25" customHeight="1" x14ac:dyDescent="0.2">
      <c r="A263" s="50">
        <v>44470</v>
      </c>
      <c r="B263" s="40">
        <v>4400</v>
      </c>
      <c r="C263" s="40">
        <v>0</v>
      </c>
      <c r="D263" s="40">
        <v>3925.9551904127065</v>
      </c>
      <c r="E263" s="40">
        <v>0</v>
      </c>
      <c r="F263" s="40">
        <v>4400</v>
      </c>
      <c r="G263" s="40">
        <v>3925.9551904127065</v>
      </c>
    </row>
    <row r="264" spans="1:7" ht="11.25" customHeight="1" x14ac:dyDescent="0.2">
      <c r="A264" s="50">
        <v>44501</v>
      </c>
      <c r="B264" s="40">
        <v>4400</v>
      </c>
      <c r="C264" s="40">
        <v>0</v>
      </c>
      <c r="D264" s="40">
        <v>3925.9551904127065</v>
      </c>
      <c r="E264" s="40">
        <v>0</v>
      </c>
      <c r="F264" s="40">
        <v>4400</v>
      </c>
      <c r="G264" s="40">
        <v>3925.9551904127065</v>
      </c>
    </row>
    <row r="265" spans="1:7" ht="11.25" customHeight="1" x14ac:dyDescent="0.2">
      <c r="A265" s="50">
        <v>44531</v>
      </c>
      <c r="B265" s="40">
        <v>4400</v>
      </c>
      <c r="C265" s="40">
        <v>0</v>
      </c>
      <c r="D265" s="40">
        <v>3925.9551904127065</v>
      </c>
      <c r="E265" s="40">
        <v>0</v>
      </c>
      <c r="F265" s="40">
        <v>4400</v>
      </c>
      <c r="G265" s="40">
        <v>3925.9551904127065</v>
      </c>
    </row>
    <row r="266" spans="1:7" ht="11.25" customHeight="1" x14ac:dyDescent="0.2">
      <c r="A266" s="50">
        <v>44562</v>
      </c>
      <c r="B266" s="40">
        <v>4400</v>
      </c>
      <c r="C266" s="40">
        <v>0</v>
      </c>
      <c r="D266" s="40">
        <v>3925.9551904127065</v>
      </c>
      <c r="E266" s="40">
        <v>0</v>
      </c>
      <c r="F266" s="40">
        <v>4400</v>
      </c>
      <c r="G266" s="40">
        <v>3925.9551904127065</v>
      </c>
    </row>
    <row r="267" spans="1:7" ht="11.25" customHeight="1" x14ac:dyDescent="0.2">
      <c r="A267" s="50">
        <v>44593</v>
      </c>
      <c r="B267" s="40">
        <v>0</v>
      </c>
      <c r="C267" s="40">
        <v>0</v>
      </c>
      <c r="D267" s="40">
        <v>0</v>
      </c>
      <c r="E267" s="40">
        <v>0</v>
      </c>
      <c r="F267" s="40">
        <v>0</v>
      </c>
      <c r="G267" s="40">
        <v>0</v>
      </c>
    </row>
    <row r="268" spans="1:7" ht="11.25" customHeight="1" x14ac:dyDescent="0.2">
      <c r="A268" s="50">
        <v>44621</v>
      </c>
      <c r="B268" s="40">
        <v>4400</v>
      </c>
      <c r="C268" s="40">
        <v>0</v>
      </c>
      <c r="D268" s="40">
        <v>3925.9551904127065</v>
      </c>
      <c r="E268" s="40">
        <v>0</v>
      </c>
      <c r="F268" s="40">
        <v>4400</v>
      </c>
      <c r="G268" s="40">
        <v>3925.9551904127065</v>
      </c>
    </row>
    <row r="269" spans="1:7" ht="11.25" customHeight="1" x14ac:dyDescent="0.2">
      <c r="A269" s="50">
        <v>44652</v>
      </c>
      <c r="B269" s="40">
        <v>4400</v>
      </c>
      <c r="C269" s="40">
        <v>0</v>
      </c>
      <c r="D269" s="40">
        <v>3925.9551904127065</v>
      </c>
      <c r="E269" s="40">
        <v>0</v>
      </c>
      <c r="F269" s="40">
        <v>4400</v>
      </c>
      <c r="G269" s="40">
        <v>3925.9551904127065</v>
      </c>
    </row>
    <row r="270" spans="1:7" ht="11.25" customHeight="1" x14ac:dyDescent="0.2">
      <c r="A270" s="50">
        <v>44682</v>
      </c>
      <c r="B270" s="40">
        <v>4400</v>
      </c>
      <c r="C270" s="40">
        <v>0</v>
      </c>
      <c r="D270" s="40">
        <v>3925.9551904127065</v>
      </c>
      <c r="E270" s="40">
        <v>0</v>
      </c>
      <c r="F270" s="40">
        <v>4400</v>
      </c>
      <c r="G270" s="40">
        <v>3925.9551904127065</v>
      </c>
    </row>
    <row r="271" spans="1:7" ht="11.25" customHeight="1" x14ac:dyDescent="0.2">
      <c r="A271" s="50">
        <v>44713</v>
      </c>
      <c r="B271" s="40">
        <v>4400</v>
      </c>
      <c r="C271" s="40">
        <v>0</v>
      </c>
      <c r="D271" s="40">
        <v>3925.9551904127065</v>
      </c>
      <c r="E271" s="40">
        <v>0</v>
      </c>
      <c r="F271" s="40">
        <v>4400</v>
      </c>
      <c r="G271" s="40">
        <v>3925.9551904127065</v>
      </c>
    </row>
    <row r="272" spans="1:7" ht="11.25" customHeight="1" x14ac:dyDescent="0.2">
      <c r="A272" s="50">
        <v>44743</v>
      </c>
      <c r="B272" s="40">
        <v>4400</v>
      </c>
      <c r="C272" s="40">
        <v>0</v>
      </c>
      <c r="D272" s="40">
        <v>3925.9551904127065</v>
      </c>
      <c r="E272" s="40">
        <v>0</v>
      </c>
      <c r="F272" s="40">
        <v>4400</v>
      </c>
      <c r="G272" s="40">
        <v>3925.9551904127065</v>
      </c>
    </row>
    <row r="273" spans="1:7" ht="11.25" customHeight="1" x14ac:dyDescent="0.2">
      <c r="A273" s="50">
        <v>44774</v>
      </c>
      <c r="B273" s="40">
        <v>4400</v>
      </c>
      <c r="C273" s="40">
        <v>0</v>
      </c>
      <c r="D273" s="40">
        <v>3925.9551904127065</v>
      </c>
      <c r="E273" s="40">
        <v>0</v>
      </c>
      <c r="F273" s="40">
        <v>4400</v>
      </c>
      <c r="G273" s="40">
        <v>3925.9551904127065</v>
      </c>
    </row>
    <row r="274" spans="1:7" ht="11.25" customHeight="1" x14ac:dyDescent="0.2">
      <c r="A274" s="42" t="s">
        <v>668</v>
      </c>
      <c r="B274" s="40">
        <v>0</v>
      </c>
      <c r="C274" s="40">
        <v>326192.28398399998</v>
      </c>
      <c r="D274" s="40">
        <v>0</v>
      </c>
      <c r="E274" s="40">
        <v>288520.3706768587</v>
      </c>
      <c r="F274" s="40">
        <v>326192.28398399998</v>
      </c>
      <c r="G274" s="40">
        <v>288520.3706768587</v>
      </c>
    </row>
    <row r="275" spans="1:7" ht="11.25" customHeight="1" x14ac:dyDescent="0.2">
      <c r="A275" s="43" t="s">
        <v>40</v>
      </c>
      <c r="B275" s="40">
        <v>0</v>
      </c>
      <c r="C275" s="40">
        <v>326192.28398399998</v>
      </c>
      <c r="D275" s="40">
        <v>0</v>
      </c>
      <c r="E275" s="40">
        <v>288520.3706768587</v>
      </c>
      <c r="F275" s="40">
        <v>326192.28398399998</v>
      </c>
      <c r="G275" s="40">
        <v>288520.3706768587</v>
      </c>
    </row>
    <row r="276" spans="1:7" ht="11.25" customHeight="1" x14ac:dyDescent="0.2">
      <c r="A276" s="44" t="s">
        <v>23</v>
      </c>
      <c r="B276" s="40">
        <v>0</v>
      </c>
      <c r="C276" s="40">
        <v>326192.28398399998</v>
      </c>
      <c r="D276" s="40">
        <v>0</v>
      </c>
      <c r="E276" s="40">
        <v>288520.3706768587</v>
      </c>
      <c r="F276" s="40">
        <v>326192.28398399998</v>
      </c>
      <c r="G276" s="40">
        <v>288520.3706768587</v>
      </c>
    </row>
    <row r="277" spans="1:7" ht="11.25" customHeight="1" x14ac:dyDescent="0.2">
      <c r="A277" s="45" t="s">
        <v>41</v>
      </c>
      <c r="B277" s="40">
        <v>0</v>
      </c>
      <c r="C277" s="40">
        <v>326192.28398399998</v>
      </c>
      <c r="D277" s="40">
        <v>0</v>
      </c>
      <c r="E277" s="40">
        <v>288520.3706768587</v>
      </c>
      <c r="F277" s="40">
        <v>326192.28398399998</v>
      </c>
      <c r="G277" s="40">
        <v>288520.3706768587</v>
      </c>
    </row>
    <row r="278" spans="1:7" ht="11.25" customHeight="1" x14ac:dyDescent="0.2">
      <c r="A278" s="46" t="s">
        <v>50</v>
      </c>
      <c r="B278" s="40">
        <v>0</v>
      </c>
      <c r="C278" s="40">
        <v>545.43977600000005</v>
      </c>
      <c r="D278" s="40">
        <v>0</v>
      </c>
      <c r="E278" s="40">
        <v>482.4469924038483</v>
      </c>
      <c r="F278" s="40">
        <v>545.43977600000005</v>
      </c>
      <c r="G278" s="40">
        <v>482.4469924038483</v>
      </c>
    </row>
    <row r="279" spans="1:7" ht="11.25" customHeight="1" x14ac:dyDescent="0.2">
      <c r="A279" s="47" t="s">
        <v>52</v>
      </c>
      <c r="B279" s="40">
        <v>0</v>
      </c>
      <c r="C279" s="40">
        <v>545.43977600000005</v>
      </c>
      <c r="D279" s="40">
        <v>0</v>
      </c>
      <c r="E279" s="40">
        <v>482.4469924038483</v>
      </c>
      <c r="F279" s="40">
        <v>545.43977600000005</v>
      </c>
      <c r="G279" s="40">
        <v>482.4469924038483</v>
      </c>
    </row>
    <row r="280" spans="1:7" ht="11.25" customHeight="1" x14ac:dyDescent="0.2">
      <c r="A280" s="48" t="s">
        <v>25</v>
      </c>
      <c r="B280" s="40">
        <v>0</v>
      </c>
      <c r="C280" s="40">
        <v>545.43977600000005</v>
      </c>
      <c r="D280" s="40">
        <v>0</v>
      </c>
      <c r="E280" s="40">
        <v>482.4469924038483</v>
      </c>
      <c r="F280" s="40">
        <v>545.43977600000005</v>
      </c>
      <c r="G280" s="40">
        <v>482.4469924038483</v>
      </c>
    </row>
    <row r="281" spans="1:7" ht="11.25" customHeight="1" x14ac:dyDescent="0.2">
      <c r="A281" s="49" t="s">
        <v>25</v>
      </c>
      <c r="B281" s="40">
        <v>0</v>
      </c>
      <c r="C281" s="40">
        <v>545.43977600000005</v>
      </c>
      <c r="D281" s="40">
        <v>0</v>
      </c>
      <c r="E281" s="40">
        <v>482.4469924038483</v>
      </c>
      <c r="F281" s="40">
        <v>545.43977600000005</v>
      </c>
      <c r="G281" s="40">
        <v>482.4469924038483</v>
      </c>
    </row>
    <row r="282" spans="1:7" ht="11.25" customHeight="1" x14ac:dyDescent="0.2">
      <c r="A282" s="50">
        <v>44440</v>
      </c>
      <c r="B282" s="40">
        <v>0</v>
      </c>
      <c r="C282" s="40">
        <v>52.068015999999993</v>
      </c>
      <c r="D282" s="40">
        <v>0</v>
      </c>
      <c r="E282" s="40">
        <v>46.054686190754538</v>
      </c>
      <c r="F282" s="40">
        <v>52.068015999999993</v>
      </c>
      <c r="G282" s="40">
        <v>46.054686190754538</v>
      </c>
    </row>
    <row r="283" spans="1:7" ht="11.25" customHeight="1" x14ac:dyDescent="0.2">
      <c r="A283" s="50">
        <v>44470</v>
      </c>
      <c r="B283" s="40">
        <v>0</v>
      </c>
      <c r="C283" s="40">
        <v>15.656815999999997</v>
      </c>
      <c r="D283" s="40">
        <v>0</v>
      </c>
      <c r="E283" s="40">
        <v>13.848611931485632</v>
      </c>
      <c r="F283" s="40">
        <v>15.656815999999997</v>
      </c>
      <c r="G283" s="40">
        <v>13.848611931485632</v>
      </c>
    </row>
    <row r="284" spans="1:7" ht="11.25" customHeight="1" x14ac:dyDescent="0.2">
      <c r="A284" s="50">
        <v>44501</v>
      </c>
      <c r="B284" s="40">
        <v>0</v>
      </c>
      <c r="C284" s="40">
        <v>67.724831999999992</v>
      </c>
      <c r="D284" s="40">
        <v>0</v>
      </c>
      <c r="E284" s="40">
        <v>59.903298122240173</v>
      </c>
      <c r="F284" s="40">
        <v>67.724831999999992</v>
      </c>
      <c r="G284" s="40">
        <v>59.903298122240173</v>
      </c>
    </row>
    <row r="285" spans="1:7" ht="11.25" customHeight="1" x14ac:dyDescent="0.2">
      <c r="A285" s="50">
        <v>44531</v>
      </c>
      <c r="B285" s="40">
        <v>0</v>
      </c>
      <c r="C285" s="40">
        <v>59.350256000000002</v>
      </c>
      <c r="D285" s="40">
        <v>0</v>
      </c>
      <c r="E285" s="40">
        <v>52.495901042608338</v>
      </c>
      <c r="F285" s="40">
        <v>59.350256000000002</v>
      </c>
      <c r="G285" s="40">
        <v>52.495901042608338</v>
      </c>
    </row>
    <row r="286" spans="1:7" ht="11.25" customHeight="1" x14ac:dyDescent="0.2">
      <c r="A286" s="50">
        <v>44562</v>
      </c>
      <c r="B286" s="40">
        <v>0</v>
      </c>
      <c r="C286" s="40">
        <v>-169.31207999999995</v>
      </c>
      <c r="D286" s="40">
        <v>0</v>
      </c>
      <c r="E286" s="40">
        <v>-149.75824530560044</v>
      </c>
      <c r="F286" s="40">
        <v>-169.31207999999995</v>
      </c>
      <c r="G286" s="40">
        <v>-149.75824530560044</v>
      </c>
    </row>
    <row r="287" spans="1:7" ht="11.25" customHeight="1" x14ac:dyDescent="0.2">
      <c r="A287" s="50">
        <v>44593</v>
      </c>
      <c r="B287" s="40">
        <v>0</v>
      </c>
      <c r="C287" s="40">
        <v>155.47582399999999</v>
      </c>
      <c r="D287" s="40">
        <v>0</v>
      </c>
      <c r="E287" s="40">
        <v>137.51993708707826</v>
      </c>
      <c r="F287" s="40">
        <v>155.47582399999999</v>
      </c>
      <c r="G287" s="40">
        <v>137.51993708707826</v>
      </c>
    </row>
    <row r="288" spans="1:7" ht="11.25" customHeight="1" x14ac:dyDescent="0.2">
      <c r="A288" s="50">
        <v>44621</v>
      </c>
      <c r="B288" s="40">
        <v>0</v>
      </c>
      <c r="C288" s="40">
        <v>89.207439999999991</v>
      </c>
      <c r="D288" s="40">
        <v>0</v>
      </c>
      <c r="E288" s="40">
        <v>78.904881935208834</v>
      </c>
      <c r="F288" s="40">
        <v>89.207439999999991</v>
      </c>
      <c r="G288" s="40">
        <v>78.904881935208834</v>
      </c>
    </row>
    <row r="289" spans="1:7" ht="11.25" customHeight="1" x14ac:dyDescent="0.2">
      <c r="A289" s="50">
        <v>44652</v>
      </c>
      <c r="B289" s="40">
        <v>0</v>
      </c>
      <c r="C289" s="40">
        <v>41.508768000000003</v>
      </c>
      <c r="D289" s="40">
        <v>0</v>
      </c>
      <c r="E289" s="40">
        <v>36.714924655566563</v>
      </c>
      <c r="F289" s="40">
        <v>41.508768000000003</v>
      </c>
      <c r="G289" s="40">
        <v>36.714924655566563</v>
      </c>
    </row>
    <row r="290" spans="1:7" ht="11.25" customHeight="1" x14ac:dyDescent="0.2">
      <c r="A290" s="50">
        <v>44682</v>
      </c>
      <c r="B290" s="40">
        <v>0</v>
      </c>
      <c r="C290" s="40">
        <v>60.078479999999999</v>
      </c>
      <c r="D290" s="40">
        <v>0</v>
      </c>
      <c r="E290" s="40">
        <v>53.140022527793711</v>
      </c>
      <c r="F290" s="40">
        <v>60.078479999999999</v>
      </c>
      <c r="G290" s="40">
        <v>53.140022527793711</v>
      </c>
    </row>
    <row r="291" spans="1:7" ht="11.25" customHeight="1" x14ac:dyDescent="0.2">
      <c r="A291" s="50">
        <v>44713</v>
      </c>
      <c r="B291" s="40">
        <v>0</v>
      </c>
      <c r="C291" s="40">
        <v>54.252687999999999</v>
      </c>
      <c r="D291" s="40">
        <v>0</v>
      </c>
      <c r="E291" s="40">
        <v>47.987050646310678</v>
      </c>
      <c r="F291" s="40">
        <v>54.252687999999999</v>
      </c>
      <c r="G291" s="40">
        <v>47.987050646310678</v>
      </c>
    </row>
    <row r="292" spans="1:7" ht="11.25" customHeight="1" x14ac:dyDescent="0.2">
      <c r="A292" s="50">
        <v>44743</v>
      </c>
      <c r="B292" s="40">
        <v>0</v>
      </c>
      <c r="C292" s="40">
        <v>37.139423999999991</v>
      </c>
      <c r="D292" s="40">
        <v>0</v>
      </c>
      <c r="E292" s="40">
        <v>32.85019574445429</v>
      </c>
      <c r="F292" s="40">
        <v>37.139423999999991</v>
      </c>
      <c r="G292" s="40">
        <v>32.85019574445429</v>
      </c>
    </row>
    <row r="293" spans="1:7" ht="11.25" customHeight="1" x14ac:dyDescent="0.2">
      <c r="A293" s="50">
        <v>44774</v>
      </c>
      <c r="B293" s="40">
        <v>0</v>
      </c>
      <c r="C293" s="40">
        <v>82.289311999999995</v>
      </c>
      <c r="D293" s="40">
        <v>0</v>
      </c>
      <c r="E293" s="40">
        <v>72.785727825947745</v>
      </c>
      <c r="F293" s="40">
        <v>82.289311999999995</v>
      </c>
      <c r="G293" s="40">
        <v>72.785727825947745</v>
      </c>
    </row>
    <row r="294" spans="1:7" ht="11.25" customHeight="1" x14ac:dyDescent="0.2">
      <c r="A294" s="46" t="s">
        <v>53</v>
      </c>
      <c r="B294" s="40">
        <v>0</v>
      </c>
      <c r="C294" s="40">
        <v>325646.84420799999</v>
      </c>
      <c r="D294" s="40">
        <v>0</v>
      </c>
      <c r="E294" s="40">
        <v>288037.92368445487</v>
      </c>
      <c r="F294" s="40">
        <v>325646.84420799999</v>
      </c>
      <c r="G294" s="40">
        <v>288037.92368445487</v>
      </c>
    </row>
    <row r="295" spans="1:7" ht="11.25" customHeight="1" x14ac:dyDescent="0.2">
      <c r="A295" s="47" t="s">
        <v>52</v>
      </c>
      <c r="B295" s="40">
        <v>0</v>
      </c>
      <c r="C295" s="40">
        <v>325646.84420799999</v>
      </c>
      <c r="D295" s="40">
        <v>0</v>
      </c>
      <c r="E295" s="40">
        <v>288037.92368445487</v>
      </c>
      <c r="F295" s="40">
        <v>325646.84420799999</v>
      </c>
      <c r="G295" s="40">
        <v>288037.92368445487</v>
      </c>
    </row>
    <row r="296" spans="1:7" ht="11.25" customHeight="1" x14ac:dyDescent="0.2">
      <c r="A296" s="48" t="s">
        <v>25</v>
      </c>
      <c r="B296" s="40">
        <v>0</v>
      </c>
      <c r="C296" s="40">
        <v>325646.84420799999</v>
      </c>
      <c r="D296" s="40">
        <v>0</v>
      </c>
      <c r="E296" s="40">
        <v>288037.92368445487</v>
      </c>
      <c r="F296" s="40">
        <v>325646.84420799999</v>
      </c>
      <c r="G296" s="40">
        <v>288037.92368445487</v>
      </c>
    </row>
    <row r="297" spans="1:7" ht="11.25" customHeight="1" x14ac:dyDescent="0.2">
      <c r="A297" s="49" t="s">
        <v>25</v>
      </c>
      <c r="B297" s="40">
        <v>0</v>
      </c>
      <c r="C297" s="40">
        <v>325646.84420799999</v>
      </c>
      <c r="D297" s="40">
        <v>0</v>
      </c>
      <c r="E297" s="40">
        <v>288037.92368445487</v>
      </c>
      <c r="F297" s="40">
        <v>325646.84420799999</v>
      </c>
      <c r="G297" s="40">
        <v>288037.92368445487</v>
      </c>
    </row>
    <row r="298" spans="1:7" ht="11.25" customHeight="1" x14ac:dyDescent="0.2">
      <c r="A298" s="50">
        <v>44440</v>
      </c>
      <c r="B298" s="40">
        <v>0</v>
      </c>
      <c r="C298" s="40">
        <v>22970.005519999999</v>
      </c>
      <c r="D298" s="40">
        <v>0</v>
      </c>
      <c r="E298" s="40">
        <v>20317.201946459791</v>
      </c>
      <c r="F298" s="40">
        <v>22970.005519999999</v>
      </c>
      <c r="G298" s="40">
        <v>20317.201946459791</v>
      </c>
    </row>
    <row r="299" spans="1:7" ht="11.25" customHeight="1" x14ac:dyDescent="0.2">
      <c r="A299" s="50">
        <v>44470</v>
      </c>
      <c r="B299" s="40">
        <v>0</v>
      </c>
      <c r="C299" s="40">
        <v>26170.550000000003</v>
      </c>
      <c r="D299" s="40">
        <v>0</v>
      </c>
      <c r="E299" s="40">
        <v>23148.115873849532</v>
      </c>
      <c r="F299" s="40">
        <v>26170.550000000003</v>
      </c>
      <c r="G299" s="40">
        <v>23148.115873849532</v>
      </c>
    </row>
    <row r="300" spans="1:7" ht="11.25" customHeight="1" x14ac:dyDescent="0.2">
      <c r="A300" s="50">
        <v>44501</v>
      </c>
      <c r="B300" s="40">
        <v>0</v>
      </c>
      <c r="C300" s="40">
        <v>28996.059120000002</v>
      </c>
      <c r="D300" s="40">
        <v>0</v>
      </c>
      <c r="E300" s="40">
        <v>25647.307236368801</v>
      </c>
      <c r="F300" s="40">
        <v>28996.059120000002</v>
      </c>
      <c r="G300" s="40">
        <v>25647.307236368801</v>
      </c>
    </row>
    <row r="301" spans="1:7" ht="11.25" customHeight="1" x14ac:dyDescent="0.2">
      <c r="A301" s="50">
        <v>44531</v>
      </c>
      <c r="B301" s="40">
        <v>0</v>
      </c>
      <c r="C301" s="40">
        <v>33850.036192</v>
      </c>
      <c r="D301" s="40">
        <v>0</v>
      </c>
      <c r="E301" s="40">
        <v>29940.698995871935</v>
      </c>
      <c r="F301" s="40">
        <v>33850.036192</v>
      </c>
      <c r="G301" s="40">
        <v>29940.698995871935</v>
      </c>
    </row>
    <row r="302" spans="1:7" ht="11.25" customHeight="1" x14ac:dyDescent="0.2">
      <c r="A302" s="50">
        <v>44562</v>
      </c>
      <c r="B302" s="40">
        <v>0</v>
      </c>
      <c r="C302" s="40">
        <v>34081.247312</v>
      </c>
      <c r="D302" s="40">
        <v>0</v>
      </c>
      <c r="E302" s="40">
        <v>30145.207567418296</v>
      </c>
      <c r="F302" s="40">
        <v>34081.247312</v>
      </c>
      <c r="G302" s="40">
        <v>30145.207567418296</v>
      </c>
    </row>
    <row r="303" spans="1:7" ht="11.25" customHeight="1" x14ac:dyDescent="0.2">
      <c r="A303" s="50">
        <v>44593</v>
      </c>
      <c r="B303" s="40">
        <v>0</v>
      </c>
      <c r="C303" s="40">
        <v>36191.276352000001</v>
      </c>
      <c r="D303" s="40">
        <v>0</v>
      </c>
      <c r="E303" s="40">
        <v>32011.549570742929</v>
      </c>
      <c r="F303" s="40">
        <v>36191.276352000001</v>
      </c>
      <c r="G303" s="40">
        <v>32011.549570742929</v>
      </c>
    </row>
    <row r="304" spans="1:7" ht="11.25" customHeight="1" x14ac:dyDescent="0.2">
      <c r="A304" s="50">
        <v>44621</v>
      </c>
      <c r="B304" s="40">
        <v>0</v>
      </c>
      <c r="C304" s="40">
        <v>34967.860032000004</v>
      </c>
      <c r="D304" s="40">
        <v>0</v>
      </c>
      <c r="E304" s="40">
        <v>30929.425475631495</v>
      </c>
      <c r="F304" s="40">
        <v>34967.860032000004</v>
      </c>
      <c r="G304" s="40">
        <v>30929.425475631495</v>
      </c>
    </row>
    <row r="305" spans="1:7" ht="11.25" customHeight="1" x14ac:dyDescent="0.2">
      <c r="A305" s="50">
        <v>44652</v>
      </c>
      <c r="B305" s="40">
        <v>0</v>
      </c>
      <c r="C305" s="40">
        <v>32230.830128000001</v>
      </c>
      <c r="D305" s="40">
        <v>0</v>
      </c>
      <c r="E305" s="40">
        <v>28508.494873562253</v>
      </c>
      <c r="F305" s="40">
        <v>32230.830128000001</v>
      </c>
      <c r="G305" s="40">
        <v>28508.494873562253</v>
      </c>
    </row>
    <row r="306" spans="1:7" ht="11.25" customHeight="1" x14ac:dyDescent="0.2">
      <c r="A306" s="50">
        <v>44682</v>
      </c>
      <c r="B306" s="40">
        <v>0</v>
      </c>
      <c r="C306" s="40">
        <v>28003.853919999998</v>
      </c>
      <c r="D306" s="40">
        <v>0</v>
      </c>
      <c r="E306" s="40">
        <v>24769.691712803724</v>
      </c>
      <c r="F306" s="40">
        <v>28003.853919999998</v>
      </c>
      <c r="G306" s="40">
        <v>24769.691712803724</v>
      </c>
    </row>
    <row r="307" spans="1:7" ht="11.25" customHeight="1" x14ac:dyDescent="0.2">
      <c r="A307" s="50">
        <v>44713</v>
      </c>
      <c r="B307" s="40">
        <v>0</v>
      </c>
      <c r="C307" s="40">
        <v>18593.379279999997</v>
      </c>
      <c r="D307" s="40">
        <v>0</v>
      </c>
      <c r="E307" s="40">
        <v>16446.031820495671</v>
      </c>
      <c r="F307" s="40">
        <v>18593.379279999997</v>
      </c>
      <c r="G307" s="40">
        <v>16446.031820495671</v>
      </c>
    </row>
    <row r="308" spans="1:7" ht="11.25" customHeight="1" x14ac:dyDescent="0.2">
      <c r="A308" s="50">
        <v>44743</v>
      </c>
      <c r="B308" s="40">
        <v>0</v>
      </c>
      <c r="C308" s="40">
        <v>14663.154352000001</v>
      </c>
      <c r="D308" s="40">
        <v>0</v>
      </c>
      <c r="E308" s="40">
        <v>12969.708164950185</v>
      </c>
      <c r="F308" s="40">
        <v>14663.154352000001</v>
      </c>
      <c r="G308" s="40">
        <v>12969.708164950185</v>
      </c>
    </row>
    <row r="309" spans="1:7" ht="11.25" customHeight="1" x14ac:dyDescent="0.2">
      <c r="A309" s="50">
        <v>44774</v>
      </c>
      <c r="B309" s="40">
        <v>0</v>
      </c>
      <c r="C309" s="40">
        <v>14928.592000000001</v>
      </c>
      <c r="D309" s="40">
        <v>0</v>
      </c>
      <c r="E309" s="40">
        <v>13204.490446300255</v>
      </c>
      <c r="F309" s="40">
        <v>14928.592000000001</v>
      </c>
      <c r="G309" s="40">
        <v>13204.490446300255</v>
      </c>
    </row>
    <row r="310" spans="1:7" ht="11.25" customHeight="1" x14ac:dyDescent="0.2">
      <c r="A310" s="42" t="s">
        <v>667</v>
      </c>
      <c r="B310" s="40">
        <v>0</v>
      </c>
      <c r="C310" s="40">
        <v>1838106.9386899995</v>
      </c>
      <c r="D310" s="40">
        <v>0</v>
      </c>
      <c r="E310" s="40">
        <v>844154.74400699872</v>
      </c>
      <c r="F310" s="40">
        <v>1838106.938689999</v>
      </c>
      <c r="G310" s="40">
        <v>844154.7440069986</v>
      </c>
    </row>
    <row r="311" spans="1:7" ht="11.25" customHeight="1" x14ac:dyDescent="0.2">
      <c r="A311" s="43" t="s">
        <v>40</v>
      </c>
      <c r="B311" s="40">
        <v>0</v>
      </c>
      <c r="C311" s="40">
        <v>1838106.9386899995</v>
      </c>
      <c r="D311" s="40">
        <v>0</v>
      </c>
      <c r="E311" s="40">
        <v>844154.74400699872</v>
      </c>
      <c r="F311" s="40">
        <v>1838106.938689999</v>
      </c>
      <c r="G311" s="40">
        <v>844154.7440069986</v>
      </c>
    </row>
    <row r="312" spans="1:7" ht="11.25" customHeight="1" x14ac:dyDescent="0.2">
      <c r="A312" s="44" t="s">
        <v>23</v>
      </c>
      <c r="B312" s="40">
        <v>0</v>
      </c>
      <c r="C312" s="40">
        <v>1838106.9386899995</v>
      </c>
      <c r="D312" s="40">
        <v>0</v>
      </c>
      <c r="E312" s="40">
        <v>844154.74400699872</v>
      </c>
      <c r="F312" s="40">
        <v>1838106.938689999</v>
      </c>
      <c r="G312" s="40">
        <v>844154.7440069986</v>
      </c>
    </row>
    <row r="313" spans="1:7" ht="11.25" customHeight="1" x14ac:dyDescent="0.2">
      <c r="A313" s="45" t="s">
        <v>41</v>
      </c>
      <c r="B313" s="40">
        <v>0</v>
      </c>
      <c r="C313" s="40">
        <v>1838106.9386899995</v>
      </c>
      <c r="D313" s="40">
        <v>0</v>
      </c>
      <c r="E313" s="40">
        <v>844154.74400699872</v>
      </c>
      <c r="F313" s="40">
        <v>1838106.938689999</v>
      </c>
      <c r="G313" s="40">
        <v>844154.7440069986</v>
      </c>
    </row>
    <row r="314" spans="1:7" ht="11.25" customHeight="1" x14ac:dyDescent="0.2">
      <c r="A314" s="46" t="s">
        <v>50</v>
      </c>
      <c r="B314" s="40">
        <v>0</v>
      </c>
      <c r="C314" s="40">
        <v>798.57348999999977</v>
      </c>
      <c r="D314" s="40">
        <v>0</v>
      </c>
      <c r="E314" s="40">
        <v>366.74667062742481</v>
      </c>
      <c r="F314" s="40">
        <v>798.57348999999977</v>
      </c>
      <c r="G314" s="40">
        <v>366.74667062742481</v>
      </c>
    </row>
    <row r="315" spans="1:7" ht="11.25" customHeight="1" x14ac:dyDescent="0.2">
      <c r="A315" s="47" t="s">
        <v>51</v>
      </c>
      <c r="B315" s="40">
        <v>0</v>
      </c>
      <c r="C315" s="40">
        <v>798.57348999999977</v>
      </c>
      <c r="D315" s="40">
        <v>0</v>
      </c>
      <c r="E315" s="40">
        <v>366.74667062742481</v>
      </c>
      <c r="F315" s="40">
        <v>798.57348999999977</v>
      </c>
      <c r="G315" s="40">
        <v>366.74667062742481</v>
      </c>
    </row>
    <row r="316" spans="1:7" ht="11.25" customHeight="1" x14ac:dyDescent="0.2">
      <c r="A316" s="48" t="s">
        <v>25</v>
      </c>
      <c r="B316" s="40">
        <v>0</v>
      </c>
      <c r="C316" s="40">
        <v>798.57348999999977</v>
      </c>
      <c r="D316" s="40">
        <v>0</v>
      </c>
      <c r="E316" s="40">
        <v>366.74667062742481</v>
      </c>
      <c r="F316" s="40">
        <v>798.57348999999977</v>
      </c>
      <c r="G316" s="40">
        <v>366.74667062742481</v>
      </c>
    </row>
    <row r="317" spans="1:7" ht="11.25" customHeight="1" x14ac:dyDescent="0.2">
      <c r="A317" s="49" t="s">
        <v>25</v>
      </c>
      <c r="B317" s="40">
        <v>0</v>
      </c>
      <c r="C317" s="40">
        <v>798.57348999999977</v>
      </c>
      <c r="D317" s="40">
        <v>0</v>
      </c>
      <c r="E317" s="40">
        <v>366.74667062742481</v>
      </c>
      <c r="F317" s="40">
        <v>798.57348999999977</v>
      </c>
      <c r="G317" s="40">
        <v>366.74667062742481</v>
      </c>
    </row>
    <row r="318" spans="1:7" ht="11.25" customHeight="1" x14ac:dyDescent="0.2">
      <c r="A318" s="50">
        <v>44440</v>
      </c>
      <c r="B318" s="40">
        <v>0</v>
      </c>
      <c r="C318" s="40">
        <v>49.291329999999981</v>
      </c>
      <c r="D318" s="40">
        <v>0</v>
      </c>
      <c r="E318" s="40">
        <v>22.637154118774593</v>
      </c>
      <c r="F318" s="40">
        <v>49.291329999999981</v>
      </c>
      <c r="G318" s="40">
        <v>22.637154118774593</v>
      </c>
    </row>
    <row r="319" spans="1:7" ht="11.25" customHeight="1" x14ac:dyDescent="0.2">
      <c r="A319" s="50">
        <v>44470</v>
      </c>
      <c r="B319" s="40">
        <v>0</v>
      </c>
      <c r="C319" s="40">
        <v>34.254439999999988</v>
      </c>
      <c r="D319" s="40">
        <v>0</v>
      </c>
      <c r="E319" s="40">
        <v>15.731428580489048</v>
      </c>
      <c r="F319" s="40">
        <v>34.254439999999988</v>
      </c>
      <c r="G319" s="40">
        <v>15.731428580489048</v>
      </c>
    </row>
    <row r="320" spans="1:7" ht="11.25" customHeight="1" x14ac:dyDescent="0.2">
      <c r="A320" s="50">
        <v>44501</v>
      </c>
      <c r="B320" s="40">
        <v>0</v>
      </c>
      <c r="C320" s="40">
        <v>69.992339999999984</v>
      </c>
      <c r="D320" s="40">
        <v>0</v>
      </c>
      <c r="E320" s="40">
        <v>32.144139501078016</v>
      </c>
      <c r="F320" s="40">
        <v>69.992339999999984</v>
      </c>
      <c r="G320" s="40">
        <v>32.144139501078016</v>
      </c>
    </row>
    <row r="321" spans="1:7" ht="11.25" customHeight="1" x14ac:dyDescent="0.2">
      <c r="A321" s="50">
        <v>44531</v>
      </c>
      <c r="B321" s="40">
        <v>0</v>
      </c>
      <c r="C321" s="40">
        <v>105.86509999999997</v>
      </c>
      <c r="D321" s="40">
        <v>0</v>
      </c>
      <c r="E321" s="40">
        <v>48.618785179857881</v>
      </c>
      <c r="F321" s="40">
        <v>105.86509999999997</v>
      </c>
      <c r="G321" s="40">
        <v>48.618785179857881</v>
      </c>
    </row>
    <row r="322" spans="1:7" ht="11.25" customHeight="1" x14ac:dyDescent="0.2">
      <c r="A322" s="50">
        <v>44562</v>
      </c>
      <c r="B322" s="40">
        <v>0</v>
      </c>
      <c r="C322" s="40">
        <v>145.98594999999995</v>
      </c>
      <c r="D322" s="40">
        <v>0</v>
      </c>
      <c r="E322" s="40">
        <v>67.044375741651152</v>
      </c>
      <c r="F322" s="40">
        <v>145.98594999999995</v>
      </c>
      <c r="G322" s="40">
        <v>67.044375741651152</v>
      </c>
    </row>
    <row r="323" spans="1:7" ht="11.25" customHeight="1" x14ac:dyDescent="0.2">
      <c r="A323" s="50">
        <v>44593</v>
      </c>
      <c r="B323" s="40">
        <v>0</v>
      </c>
      <c r="C323" s="40">
        <v>96.290039999999962</v>
      </c>
      <c r="D323" s="40">
        <v>0</v>
      </c>
      <c r="E323" s="40">
        <v>44.221417348303852</v>
      </c>
      <c r="F323" s="40">
        <v>96.290039999999962</v>
      </c>
      <c r="G323" s="40">
        <v>44.221417348303852</v>
      </c>
    </row>
    <row r="324" spans="1:7" ht="11.25" customHeight="1" x14ac:dyDescent="0.2">
      <c r="A324" s="50">
        <v>44621</v>
      </c>
      <c r="B324" s="40">
        <v>0</v>
      </c>
      <c r="C324" s="40">
        <v>38.637389999999982</v>
      </c>
      <c r="D324" s="40">
        <v>0</v>
      </c>
      <c r="E324" s="40">
        <v>17.744308221693352</v>
      </c>
      <c r="F324" s="40">
        <v>38.637389999999982</v>
      </c>
      <c r="G324" s="40">
        <v>17.744308221693352</v>
      </c>
    </row>
    <row r="325" spans="1:7" ht="11.25" customHeight="1" x14ac:dyDescent="0.2">
      <c r="A325" s="50">
        <v>44652</v>
      </c>
      <c r="B325" s="40">
        <v>0</v>
      </c>
      <c r="C325" s="40">
        <v>42.008889999999987</v>
      </c>
      <c r="D325" s="40">
        <v>0</v>
      </c>
      <c r="E325" s="40">
        <v>19.292677176465897</v>
      </c>
      <c r="F325" s="40">
        <v>42.008889999999987</v>
      </c>
      <c r="G325" s="40">
        <v>19.292677176465897</v>
      </c>
    </row>
    <row r="326" spans="1:7" ht="11.25" customHeight="1" x14ac:dyDescent="0.2">
      <c r="A326" s="50">
        <v>44682</v>
      </c>
      <c r="B326" s="40">
        <v>0</v>
      </c>
      <c r="C326" s="40">
        <v>48.347309999999986</v>
      </c>
      <c r="D326" s="40">
        <v>0</v>
      </c>
      <c r="E326" s="40">
        <v>22.203610811438281</v>
      </c>
      <c r="F326" s="40">
        <v>48.347309999999986</v>
      </c>
      <c r="G326" s="40">
        <v>22.203610811438281</v>
      </c>
    </row>
    <row r="327" spans="1:7" ht="11.25" customHeight="1" x14ac:dyDescent="0.2">
      <c r="A327" s="50">
        <v>44713</v>
      </c>
      <c r="B327" s="40">
        <v>0</v>
      </c>
      <c r="C327" s="40">
        <v>56.50633999999998</v>
      </c>
      <c r="D327" s="40">
        <v>0</v>
      </c>
      <c r="E327" s="40">
        <v>25.950663681987837</v>
      </c>
      <c r="F327" s="40">
        <v>56.50633999999998</v>
      </c>
      <c r="G327" s="40">
        <v>25.950663681987837</v>
      </c>
    </row>
    <row r="328" spans="1:7" ht="11.25" customHeight="1" x14ac:dyDescent="0.2">
      <c r="A328" s="50">
        <v>44743</v>
      </c>
      <c r="B328" s="40">
        <v>0</v>
      </c>
      <c r="C328" s="40">
        <v>50.505069999999982</v>
      </c>
      <c r="D328" s="40">
        <v>0</v>
      </c>
      <c r="E328" s="40">
        <v>23.19456694249271</v>
      </c>
      <c r="F328" s="40">
        <v>50.505069999999982</v>
      </c>
      <c r="G328" s="40">
        <v>23.19456694249271</v>
      </c>
    </row>
    <row r="329" spans="1:7" ht="11.25" customHeight="1" x14ac:dyDescent="0.2">
      <c r="A329" s="50">
        <v>44774</v>
      </c>
      <c r="B329" s="40">
        <v>0</v>
      </c>
      <c r="C329" s="40">
        <v>60.889289999999981</v>
      </c>
      <c r="D329" s="40">
        <v>0</v>
      </c>
      <c r="E329" s="40">
        <v>27.963543323192145</v>
      </c>
      <c r="F329" s="40">
        <v>60.889289999999981</v>
      </c>
      <c r="G329" s="40">
        <v>27.963543323192145</v>
      </c>
    </row>
    <row r="330" spans="1:7" ht="11.25" customHeight="1" x14ac:dyDescent="0.2">
      <c r="A330" s="46" t="s">
        <v>53</v>
      </c>
      <c r="B330" s="40">
        <v>0</v>
      </c>
      <c r="C330" s="40">
        <v>79816.149269999965</v>
      </c>
      <c r="D330" s="40">
        <v>0</v>
      </c>
      <c r="E330" s="40">
        <v>36655.745994115161</v>
      </c>
      <c r="F330" s="40">
        <v>79816.14926999998</v>
      </c>
      <c r="G330" s="40">
        <v>36655.745994115161</v>
      </c>
    </row>
    <row r="331" spans="1:7" ht="11.25" customHeight="1" x14ac:dyDescent="0.2">
      <c r="A331" s="47" t="s">
        <v>51</v>
      </c>
      <c r="B331" s="40">
        <v>0</v>
      </c>
      <c r="C331" s="40">
        <v>63032.147969999976</v>
      </c>
      <c r="D331" s="40">
        <v>0</v>
      </c>
      <c r="E331" s="40">
        <v>28947.655663466478</v>
      </c>
      <c r="F331" s="40">
        <v>63032.147969999984</v>
      </c>
      <c r="G331" s="40">
        <v>28947.655663466478</v>
      </c>
    </row>
    <row r="332" spans="1:7" ht="11.25" customHeight="1" x14ac:dyDescent="0.2">
      <c r="A332" s="48" t="s">
        <v>25</v>
      </c>
      <c r="B332" s="40">
        <v>0</v>
      </c>
      <c r="C332" s="40">
        <v>63032.147969999976</v>
      </c>
      <c r="D332" s="40">
        <v>0</v>
      </c>
      <c r="E332" s="40">
        <v>28947.655663466478</v>
      </c>
      <c r="F332" s="40">
        <v>63032.147969999984</v>
      </c>
      <c r="G332" s="40">
        <v>28947.655663466478</v>
      </c>
    </row>
    <row r="333" spans="1:7" ht="11.25" customHeight="1" x14ac:dyDescent="0.2">
      <c r="A333" s="49" t="s">
        <v>25</v>
      </c>
      <c r="B333" s="40">
        <v>0</v>
      </c>
      <c r="C333" s="40">
        <v>63032.147969999976</v>
      </c>
      <c r="D333" s="40">
        <v>0</v>
      </c>
      <c r="E333" s="40">
        <v>28947.655663466478</v>
      </c>
      <c r="F333" s="40">
        <v>63032.147969999984</v>
      </c>
      <c r="G333" s="40">
        <v>28947.655663466478</v>
      </c>
    </row>
    <row r="334" spans="1:7" ht="11.25" customHeight="1" x14ac:dyDescent="0.2">
      <c r="A334" s="50">
        <v>44440</v>
      </c>
      <c r="B334" s="40">
        <v>0</v>
      </c>
      <c r="C334" s="40">
        <v>3416.8803899999989</v>
      </c>
      <c r="D334" s="40">
        <v>0</v>
      </c>
      <c r="E334" s="40">
        <v>1569.2100009037827</v>
      </c>
      <c r="F334" s="40">
        <v>3416.8803899999989</v>
      </c>
      <c r="G334" s="40">
        <v>1569.2100009037827</v>
      </c>
    </row>
    <row r="335" spans="1:7" ht="11.25" customHeight="1" x14ac:dyDescent="0.2">
      <c r="A335" s="50">
        <v>44470</v>
      </c>
      <c r="B335" s="40">
        <v>0</v>
      </c>
      <c r="C335" s="40">
        <v>4748.2857399999984</v>
      </c>
      <c r="D335" s="40">
        <v>0</v>
      </c>
      <c r="E335" s="40">
        <v>2180.6609011434603</v>
      </c>
      <c r="F335" s="40">
        <v>4748.2857399999984</v>
      </c>
      <c r="G335" s="40">
        <v>2180.6609011434603</v>
      </c>
    </row>
    <row r="336" spans="1:7" ht="11.25" customHeight="1" x14ac:dyDescent="0.2">
      <c r="A336" s="50">
        <v>44501</v>
      </c>
      <c r="B336" s="40">
        <v>0</v>
      </c>
      <c r="C336" s="40">
        <v>5093.4599099999987</v>
      </c>
      <c r="D336" s="40">
        <v>0</v>
      </c>
      <c r="E336" s="40">
        <v>2339.1829147330732</v>
      </c>
      <c r="F336" s="40">
        <v>5093.4599099999987</v>
      </c>
      <c r="G336" s="40">
        <v>2339.1829147330732</v>
      </c>
    </row>
    <row r="337" spans="1:7" ht="11.25" customHeight="1" x14ac:dyDescent="0.2">
      <c r="A337" s="50">
        <v>44531</v>
      </c>
      <c r="B337" s="40">
        <v>0</v>
      </c>
      <c r="C337" s="40">
        <v>6174.3628099999978</v>
      </c>
      <c r="D337" s="40">
        <v>0</v>
      </c>
      <c r="E337" s="40">
        <v>2835.5900016331502</v>
      </c>
      <c r="F337" s="40">
        <v>6174.3628099999978</v>
      </c>
      <c r="G337" s="40">
        <v>2835.5900016331502</v>
      </c>
    </row>
    <row r="338" spans="1:7" ht="11.25" customHeight="1" x14ac:dyDescent="0.2">
      <c r="A338" s="50">
        <v>44562</v>
      </c>
      <c r="B338" s="40">
        <v>0</v>
      </c>
      <c r="C338" s="40">
        <v>6860.3281999999981</v>
      </c>
      <c r="D338" s="40">
        <v>0</v>
      </c>
      <c r="E338" s="40">
        <v>3150.6211491711724</v>
      </c>
      <c r="F338" s="40">
        <v>6860.3281999999981</v>
      </c>
      <c r="G338" s="40">
        <v>3150.6211491711724</v>
      </c>
    </row>
    <row r="339" spans="1:7" ht="11.25" customHeight="1" x14ac:dyDescent="0.2">
      <c r="A339" s="50">
        <v>44593</v>
      </c>
      <c r="B339" s="40">
        <v>0</v>
      </c>
      <c r="C339" s="40">
        <v>6756.6208599999973</v>
      </c>
      <c r="D339" s="40">
        <v>0</v>
      </c>
      <c r="E339" s="40">
        <v>3102.9933201223689</v>
      </c>
      <c r="F339" s="40">
        <v>6756.6208599999973</v>
      </c>
      <c r="G339" s="40">
        <v>3102.9933201223689</v>
      </c>
    </row>
    <row r="340" spans="1:7" ht="11.25" customHeight="1" x14ac:dyDescent="0.2">
      <c r="A340" s="50">
        <v>44621</v>
      </c>
      <c r="B340" s="40">
        <v>0</v>
      </c>
      <c r="C340" s="40">
        <v>7020.6767399999981</v>
      </c>
      <c r="D340" s="40">
        <v>0</v>
      </c>
      <c r="E340" s="40">
        <v>3224.2615766601548</v>
      </c>
      <c r="F340" s="40">
        <v>7020.6767399999981</v>
      </c>
      <c r="G340" s="40">
        <v>3224.2615766601548</v>
      </c>
    </row>
    <row r="341" spans="1:7" ht="11.25" customHeight="1" x14ac:dyDescent="0.2">
      <c r="A341" s="50">
        <v>44652</v>
      </c>
      <c r="B341" s="40">
        <v>0</v>
      </c>
      <c r="C341" s="40">
        <v>6776.242989999997</v>
      </c>
      <c r="D341" s="40">
        <v>0</v>
      </c>
      <c r="E341" s="40">
        <v>3112.0048274391452</v>
      </c>
      <c r="F341" s="40">
        <v>6776.242989999997</v>
      </c>
      <c r="G341" s="40">
        <v>3112.0048274391452</v>
      </c>
    </row>
    <row r="342" spans="1:7" ht="11.25" customHeight="1" x14ac:dyDescent="0.2">
      <c r="A342" s="50">
        <v>44682</v>
      </c>
      <c r="B342" s="40">
        <v>0</v>
      </c>
      <c r="C342" s="40">
        <v>6521.4250199999979</v>
      </c>
      <c r="D342" s="40">
        <v>0</v>
      </c>
      <c r="E342" s="40">
        <v>2994.9791018374362</v>
      </c>
      <c r="F342" s="40">
        <v>6521.4250199999979</v>
      </c>
      <c r="G342" s="40">
        <v>2994.9791018374362</v>
      </c>
    </row>
    <row r="343" spans="1:7" ht="11.25" customHeight="1" x14ac:dyDescent="0.2">
      <c r="A343" s="50">
        <v>44713</v>
      </c>
      <c r="B343" s="40">
        <v>0</v>
      </c>
      <c r="C343" s="40">
        <v>4311.9462099999992</v>
      </c>
      <c r="D343" s="40">
        <v>0</v>
      </c>
      <c r="E343" s="40">
        <v>1980.2709910167973</v>
      </c>
      <c r="F343" s="40">
        <v>4311.9462099999992</v>
      </c>
      <c r="G343" s="40">
        <v>1980.2709910167973</v>
      </c>
    </row>
    <row r="344" spans="1:7" ht="11.25" customHeight="1" x14ac:dyDescent="0.2">
      <c r="A344" s="50">
        <v>44743</v>
      </c>
      <c r="B344" s="40">
        <v>0</v>
      </c>
      <c r="C344" s="40">
        <v>2344.7433899999996</v>
      </c>
      <c r="D344" s="40">
        <v>0</v>
      </c>
      <c r="E344" s="40">
        <v>1076.8286732861136</v>
      </c>
      <c r="F344" s="40">
        <v>2344.7433899999996</v>
      </c>
      <c r="G344" s="40">
        <v>1076.8286732861136</v>
      </c>
    </row>
    <row r="345" spans="1:7" ht="11.25" customHeight="1" x14ac:dyDescent="0.2">
      <c r="A345" s="50">
        <v>44774</v>
      </c>
      <c r="B345" s="40">
        <v>0</v>
      </c>
      <c r="C345" s="40">
        <v>3007.1757099999986</v>
      </c>
      <c r="D345" s="40">
        <v>0</v>
      </c>
      <c r="E345" s="40">
        <v>1381.0522055198228</v>
      </c>
      <c r="F345" s="40">
        <v>3007.1757099999986</v>
      </c>
      <c r="G345" s="40">
        <v>1381.0522055198228</v>
      </c>
    </row>
    <row r="346" spans="1:7" ht="11.25" customHeight="1" x14ac:dyDescent="0.2">
      <c r="A346" s="47" t="s">
        <v>52</v>
      </c>
      <c r="B346" s="40">
        <v>0</v>
      </c>
      <c r="C346" s="40">
        <v>16784.001299999996</v>
      </c>
      <c r="D346" s="40">
        <v>0</v>
      </c>
      <c r="E346" s="40">
        <v>7708.0903306486789</v>
      </c>
      <c r="F346" s="40">
        <v>16784.001299999996</v>
      </c>
      <c r="G346" s="40">
        <v>7708.0903306486789</v>
      </c>
    </row>
    <row r="347" spans="1:7" ht="11.25" customHeight="1" x14ac:dyDescent="0.2">
      <c r="A347" s="48" t="s">
        <v>25</v>
      </c>
      <c r="B347" s="40">
        <v>0</v>
      </c>
      <c r="C347" s="40">
        <v>16784.001299999996</v>
      </c>
      <c r="D347" s="40">
        <v>0</v>
      </c>
      <c r="E347" s="40">
        <v>7708.0903306486789</v>
      </c>
      <c r="F347" s="40">
        <v>16784.001299999996</v>
      </c>
      <c r="G347" s="40">
        <v>7708.0903306486789</v>
      </c>
    </row>
    <row r="348" spans="1:7" ht="11.25" customHeight="1" x14ac:dyDescent="0.2">
      <c r="A348" s="49" t="s">
        <v>25</v>
      </c>
      <c r="B348" s="40">
        <v>0</v>
      </c>
      <c r="C348" s="40">
        <v>16784.001299999996</v>
      </c>
      <c r="D348" s="40">
        <v>0</v>
      </c>
      <c r="E348" s="40">
        <v>7708.0903306486789</v>
      </c>
      <c r="F348" s="40">
        <v>16784.001299999996</v>
      </c>
      <c r="G348" s="40">
        <v>7708.0903306486789</v>
      </c>
    </row>
    <row r="349" spans="1:7" ht="11.25" customHeight="1" x14ac:dyDescent="0.2">
      <c r="A349" s="50">
        <v>44440</v>
      </c>
      <c r="B349" s="40">
        <v>0</v>
      </c>
      <c r="C349" s="40">
        <v>713.00481999999977</v>
      </c>
      <c r="D349" s="40">
        <v>0</v>
      </c>
      <c r="E349" s="40">
        <v>327.44906655529758</v>
      </c>
      <c r="F349" s="40">
        <v>713.00481999999977</v>
      </c>
      <c r="G349" s="40">
        <v>327.44906655529758</v>
      </c>
    </row>
    <row r="350" spans="1:7" ht="11.25" customHeight="1" x14ac:dyDescent="0.2">
      <c r="A350" s="50">
        <v>44470</v>
      </c>
      <c r="B350" s="40">
        <v>0</v>
      </c>
      <c r="C350" s="40">
        <v>1092.0288499999997</v>
      </c>
      <c r="D350" s="40">
        <v>0</v>
      </c>
      <c r="E350" s="40">
        <v>501.51670445082704</v>
      </c>
      <c r="F350" s="40">
        <v>1092.0288499999997</v>
      </c>
      <c r="G350" s="40">
        <v>501.51670445082704</v>
      </c>
    </row>
    <row r="351" spans="1:7" ht="11.25" customHeight="1" x14ac:dyDescent="0.2">
      <c r="A351" s="50">
        <v>44501</v>
      </c>
      <c r="B351" s="40">
        <v>0</v>
      </c>
      <c r="C351" s="40">
        <v>993.10903999999971</v>
      </c>
      <c r="D351" s="40">
        <v>0</v>
      </c>
      <c r="E351" s="40">
        <v>456.08755931780058</v>
      </c>
      <c r="F351" s="40">
        <v>993.10903999999971</v>
      </c>
      <c r="G351" s="40">
        <v>456.08755931780058</v>
      </c>
    </row>
    <row r="352" spans="1:7" ht="11.25" customHeight="1" x14ac:dyDescent="0.2">
      <c r="A352" s="50">
        <v>44531</v>
      </c>
      <c r="B352" s="40">
        <v>0</v>
      </c>
      <c r="C352" s="40">
        <v>1022.2387999999996</v>
      </c>
      <c r="D352" s="40">
        <v>0</v>
      </c>
      <c r="E352" s="40">
        <v>469.46546708703534</v>
      </c>
      <c r="F352" s="40">
        <v>1022.2387999999996</v>
      </c>
      <c r="G352" s="40">
        <v>469.46546708703534</v>
      </c>
    </row>
    <row r="353" spans="1:7" ht="11.25" customHeight="1" x14ac:dyDescent="0.2">
      <c r="A353" s="50">
        <v>44562</v>
      </c>
      <c r="B353" s="40">
        <v>0</v>
      </c>
      <c r="C353" s="40">
        <v>1484.4714499999995</v>
      </c>
      <c r="D353" s="40">
        <v>0</v>
      </c>
      <c r="E353" s="40">
        <v>681.74685078635116</v>
      </c>
      <c r="F353" s="40">
        <v>1484.4714499999995</v>
      </c>
      <c r="G353" s="40">
        <v>681.74685078635116</v>
      </c>
    </row>
    <row r="354" spans="1:7" ht="11.25" customHeight="1" x14ac:dyDescent="0.2">
      <c r="A354" s="50">
        <v>44593</v>
      </c>
      <c r="B354" s="40">
        <v>0</v>
      </c>
      <c r="C354" s="40">
        <v>1332.8213799999994</v>
      </c>
      <c r="D354" s="40">
        <v>0</v>
      </c>
      <c r="E354" s="40">
        <v>612.10121520068208</v>
      </c>
      <c r="F354" s="40">
        <v>1332.8213799999994</v>
      </c>
      <c r="G354" s="40">
        <v>612.10121520068208</v>
      </c>
    </row>
    <row r="355" spans="1:7" ht="11.25" customHeight="1" x14ac:dyDescent="0.2">
      <c r="A355" s="50">
        <v>44621</v>
      </c>
      <c r="B355" s="40">
        <v>0</v>
      </c>
      <c r="C355" s="40">
        <v>1963.8313199999993</v>
      </c>
      <c r="D355" s="40">
        <v>0</v>
      </c>
      <c r="E355" s="40">
        <v>901.89394877591144</v>
      </c>
      <c r="F355" s="40">
        <v>1963.8313199999993</v>
      </c>
      <c r="G355" s="40">
        <v>901.89394877591144</v>
      </c>
    </row>
    <row r="356" spans="1:7" ht="11.25" customHeight="1" x14ac:dyDescent="0.2">
      <c r="A356" s="50">
        <v>44652</v>
      </c>
      <c r="B356" s="40">
        <v>0</v>
      </c>
      <c r="C356" s="40">
        <v>2066.1900599999994</v>
      </c>
      <c r="D356" s="40">
        <v>0</v>
      </c>
      <c r="E356" s="40">
        <v>948.90243024280585</v>
      </c>
      <c r="F356" s="40">
        <v>2066.1900599999994</v>
      </c>
      <c r="G356" s="40">
        <v>948.90243024280585</v>
      </c>
    </row>
    <row r="357" spans="1:7" ht="11.25" customHeight="1" x14ac:dyDescent="0.2">
      <c r="A357" s="50">
        <v>44682</v>
      </c>
      <c r="B357" s="40">
        <v>0</v>
      </c>
      <c r="C357" s="40">
        <v>2310.8935299999994</v>
      </c>
      <c r="D357" s="40">
        <v>0</v>
      </c>
      <c r="E357" s="40">
        <v>1061.2830489801972</v>
      </c>
      <c r="F357" s="40">
        <v>2310.8935299999994</v>
      </c>
      <c r="G357" s="40">
        <v>1061.2830489801972</v>
      </c>
    </row>
    <row r="358" spans="1:7" ht="11.25" customHeight="1" x14ac:dyDescent="0.2">
      <c r="A358" s="50">
        <v>44713</v>
      </c>
      <c r="B358" s="40">
        <v>0</v>
      </c>
      <c r="C358" s="40">
        <v>2135.912679999999</v>
      </c>
      <c r="D358" s="40">
        <v>0</v>
      </c>
      <c r="E358" s="40">
        <v>980.92270022750199</v>
      </c>
      <c r="F358" s="40">
        <v>2135.912679999999</v>
      </c>
      <c r="G358" s="40">
        <v>980.92270022750199</v>
      </c>
    </row>
    <row r="359" spans="1:7" ht="11.25" customHeight="1" x14ac:dyDescent="0.2">
      <c r="A359" s="50">
        <v>44774</v>
      </c>
      <c r="B359" s="40">
        <v>0</v>
      </c>
      <c r="C359" s="40">
        <v>1669.4993699999995</v>
      </c>
      <c r="D359" s="40">
        <v>0</v>
      </c>
      <c r="E359" s="40">
        <v>766.72133902426833</v>
      </c>
      <c r="F359" s="40">
        <v>1669.4993699999995</v>
      </c>
      <c r="G359" s="40">
        <v>766.72133902426833</v>
      </c>
    </row>
    <row r="360" spans="1:7" ht="11.25" customHeight="1" x14ac:dyDescent="0.2">
      <c r="A360" s="46" t="s">
        <v>25</v>
      </c>
      <c r="B360" s="40">
        <v>0</v>
      </c>
      <c r="C360" s="40">
        <v>1757492.2159299997</v>
      </c>
      <c r="D360" s="40">
        <v>0</v>
      </c>
      <c r="E360" s="40">
        <v>807132.25134225609</v>
      </c>
      <c r="F360" s="40">
        <v>1757492.2159299992</v>
      </c>
      <c r="G360" s="40">
        <v>807132.25134225609</v>
      </c>
    </row>
    <row r="361" spans="1:7" ht="11.25" customHeight="1" x14ac:dyDescent="0.2">
      <c r="A361" s="47" t="s">
        <v>25</v>
      </c>
      <c r="B361" s="40">
        <v>0</v>
      </c>
      <c r="C361" s="40">
        <v>1757492.2159299997</v>
      </c>
      <c r="D361" s="40">
        <v>0</v>
      </c>
      <c r="E361" s="40">
        <v>807132.25134225609</v>
      </c>
      <c r="F361" s="40">
        <v>1757492.2159299992</v>
      </c>
      <c r="G361" s="40">
        <v>807132.25134225609</v>
      </c>
    </row>
    <row r="362" spans="1:7" ht="11.25" customHeight="1" x14ac:dyDescent="0.2">
      <c r="A362" s="48" t="s">
        <v>25</v>
      </c>
      <c r="B362" s="40">
        <v>0</v>
      </c>
      <c r="C362" s="40">
        <v>1757492.2159299997</v>
      </c>
      <c r="D362" s="40">
        <v>0</v>
      </c>
      <c r="E362" s="40">
        <v>807132.25134225609</v>
      </c>
      <c r="F362" s="40">
        <v>1757492.2159299992</v>
      </c>
      <c r="G362" s="40">
        <v>807132.25134225609</v>
      </c>
    </row>
    <row r="363" spans="1:7" ht="11.25" customHeight="1" x14ac:dyDescent="0.2">
      <c r="A363" s="49" t="s">
        <v>25</v>
      </c>
      <c r="B363" s="40">
        <v>0</v>
      </c>
      <c r="C363" s="40">
        <v>1757492.2159299997</v>
      </c>
      <c r="D363" s="40">
        <v>0</v>
      </c>
      <c r="E363" s="40">
        <v>807132.25134225609</v>
      </c>
      <c r="F363" s="40">
        <v>1757492.2159299992</v>
      </c>
      <c r="G363" s="40">
        <v>807132.25134225609</v>
      </c>
    </row>
    <row r="364" spans="1:7" ht="11.25" customHeight="1" x14ac:dyDescent="0.2">
      <c r="A364" s="50">
        <v>44440</v>
      </c>
      <c r="B364" s="40">
        <v>0</v>
      </c>
      <c r="C364" s="40">
        <v>145425.06725999995</v>
      </c>
      <c r="D364" s="40">
        <v>0</v>
      </c>
      <c r="E364" s="40">
        <v>66786.789082335192</v>
      </c>
      <c r="F364" s="40">
        <v>145425.06725999995</v>
      </c>
      <c r="G364" s="40">
        <v>66786.789082335192</v>
      </c>
    </row>
    <row r="365" spans="1:7" ht="11.25" customHeight="1" x14ac:dyDescent="0.2">
      <c r="A365" s="50">
        <v>44470</v>
      </c>
      <c r="B365" s="40">
        <v>0</v>
      </c>
      <c r="C365" s="40">
        <v>166968.88482999994</v>
      </c>
      <c r="D365" s="40">
        <v>0</v>
      </c>
      <c r="E365" s="40">
        <v>76680.835735952656</v>
      </c>
      <c r="F365" s="40">
        <v>166968.88482999994</v>
      </c>
      <c r="G365" s="40">
        <v>76680.835735952656</v>
      </c>
    </row>
    <row r="366" spans="1:7" ht="11.25" customHeight="1" x14ac:dyDescent="0.2">
      <c r="A366" s="50">
        <v>44501</v>
      </c>
      <c r="B366" s="40">
        <v>0</v>
      </c>
      <c r="C366" s="40">
        <v>162654.10655999993</v>
      </c>
      <c r="D366" s="40">
        <v>0</v>
      </c>
      <c r="E366" s="40">
        <v>74699.264115013852</v>
      </c>
      <c r="F366" s="40">
        <v>162654.10655999993</v>
      </c>
      <c r="G366" s="40">
        <v>74699.264115013852</v>
      </c>
    </row>
    <row r="367" spans="1:7" ht="11.25" customHeight="1" x14ac:dyDescent="0.2">
      <c r="A367" s="50">
        <v>44531</v>
      </c>
      <c r="B367" s="40">
        <v>0</v>
      </c>
      <c r="C367" s="40">
        <v>149826.08849999995</v>
      </c>
      <c r="D367" s="40">
        <v>0</v>
      </c>
      <c r="E367" s="40">
        <v>68807.967981137088</v>
      </c>
      <c r="F367" s="40">
        <v>149826.08849999995</v>
      </c>
      <c r="G367" s="40">
        <v>68807.967981137088</v>
      </c>
    </row>
    <row r="368" spans="1:7" ht="11.25" customHeight="1" x14ac:dyDescent="0.2">
      <c r="A368" s="50">
        <v>44562</v>
      </c>
      <c r="B368" s="40">
        <v>0</v>
      </c>
      <c r="C368" s="40">
        <v>155788.31652999998</v>
      </c>
      <c r="D368" s="40">
        <v>0</v>
      </c>
      <c r="E368" s="40">
        <v>71546.134608135952</v>
      </c>
      <c r="F368" s="40">
        <v>155788.31652999998</v>
      </c>
      <c r="G368" s="40">
        <v>71546.134608135952</v>
      </c>
    </row>
    <row r="369" spans="1:7" ht="11.25" customHeight="1" x14ac:dyDescent="0.2">
      <c r="A369" s="50">
        <v>44593</v>
      </c>
      <c r="B369" s="40">
        <v>0</v>
      </c>
      <c r="C369" s="40">
        <v>161015.55755999996</v>
      </c>
      <c r="D369" s="40">
        <v>0</v>
      </c>
      <c r="E369" s="40">
        <v>73946.756802994394</v>
      </c>
      <c r="F369" s="40">
        <v>161015.55755999996</v>
      </c>
      <c r="G369" s="40">
        <v>73946.756802994394</v>
      </c>
    </row>
    <row r="370" spans="1:7" ht="11.25" customHeight="1" x14ac:dyDescent="0.2">
      <c r="A370" s="50">
        <v>44621</v>
      </c>
      <c r="B370" s="40">
        <v>0</v>
      </c>
      <c r="C370" s="40">
        <v>150779.41383999994</v>
      </c>
      <c r="D370" s="40">
        <v>0</v>
      </c>
      <c r="E370" s="40">
        <v>69245.784786788572</v>
      </c>
      <c r="F370" s="40">
        <v>150779.41383999994</v>
      </c>
      <c r="G370" s="40">
        <v>69245.784786788572</v>
      </c>
    </row>
    <row r="371" spans="1:7" ht="11.25" customHeight="1" x14ac:dyDescent="0.2">
      <c r="A371" s="50">
        <v>44652</v>
      </c>
      <c r="B371" s="40">
        <v>0</v>
      </c>
      <c r="C371" s="40">
        <v>137445.87306999997</v>
      </c>
      <c r="D371" s="40">
        <v>0</v>
      </c>
      <c r="E371" s="40">
        <v>63122.326211833213</v>
      </c>
      <c r="F371" s="40">
        <v>137445.87306999997</v>
      </c>
      <c r="G371" s="40">
        <v>63122.326211833213</v>
      </c>
    </row>
    <row r="372" spans="1:7" ht="11.25" customHeight="1" x14ac:dyDescent="0.2">
      <c r="A372" s="50">
        <v>44682</v>
      </c>
      <c r="B372" s="40">
        <v>0</v>
      </c>
      <c r="C372" s="40">
        <v>133735.46988999998</v>
      </c>
      <c r="D372" s="40">
        <v>0</v>
      </c>
      <c r="E372" s="40">
        <v>61418.315209726927</v>
      </c>
      <c r="F372" s="40">
        <v>133735.46988999998</v>
      </c>
      <c r="G372" s="40">
        <v>61418.315209726927</v>
      </c>
    </row>
    <row r="373" spans="1:7" ht="11.25" customHeight="1" x14ac:dyDescent="0.2">
      <c r="A373" s="50">
        <v>44713</v>
      </c>
      <c r="B373" s="40">
        <v>0</v>
      </c>
      <c r="C373" s="40">
        <v>137613.43661999996</v>
      </c>
      <c r="D373" s="40">
        <v>0</v>
      </c>
      <c r="E373" s="40">
        <v>63199.280148885402</v>
      </c>
      <c r="F373" s="40">
        <v>137613.43661999996</v>
      </c>
      <c r="G373" s="40">
        <v>63199.280148885402</v>
      </c>
    </row>
    <row r="374" spans="1:7" ht="11.25" customHeight="1" x14ac:dyDescent="0.2">
      <c r="A374" s="50">
        <v>44743</v>
      </c>
      <c r="B374" s="40">
        <v>0</v>
      </c>
      <c r="C374" s="40">
        <v>118019.89693999996</v>
      </c>
      <c r="D374" s="40">
        <v>0</v>
      </c>
      <c r="E374" s="40">
        <v>54200.903000845668</v>
      </c>
      <c r="F374" s="40">
        <v>118019.89693999996</v>
      </c>
      <c r="G374" s="40">
        <v>54200.903000845668</v>
      </c>
    </row>
    <row r="375" spans="1:7" ht="11.25" customHeight="1" x14ac:dyDescent="0.2">
      <c r="A375" s="50">
        <v>44774</v>
      </c>
      <c r="B375" s="40">
        <v>0</v>
      </c>
      <c r="C375" s="40">
        <v>138220.10432999997</v>
      </c>
      <c r="D375" s="40">
        <v>0</v>
      </c>
      <c r="E375" s="40">
        <v>63477.893658607172</v>
      </c>
      <c r="F375" s="40">
        <v>138220.10432999997</v>
      </c>
      <c r="G375" s="40">
        <v>63477.893658607172</v>
      </c>
    </row>
    <row r="376" spans="1:7" ht="11.25" customHeight="1" x14ac:dyDescent="0.2">
      <c r="A376" s="42" t="s">
        <v>673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</row>
    <row r="377" spans="1:7" ht="11.25" customHeight="1" x14ac:dyDescent="0.2">
      <c r="A377" s="43" t="s">
        <v>22</v>
      </c>
      <c r="B377" s="40">
        <v>0</v>
      </c>
      <c r="C377" s="40">
        <v>0</v>
      </c>
      <c r="D377" s="40">
        <v>0</v>
      </c>
      <c r="E377" s="40">
        <v>0</v>
      </c>
      <c r="F377" s="40">
        <v>0</v>
      </c>
      <c r="G377" s="40">
        <v>0</v>
      </c>
    </row>
    <row r="378" spans="1:7" ht="11.25" customHeight="1" x14ac:dyDescent="0.2">
      <c r="A378" s="44" t="s">
        <v>23</v>
      </c>
      <c r="B378" s="40">
        <v>0</v>
      </c>
      <c r="C378" s="40">
        <v>0</v>
      </c>
      <c r="D378" s="40">
        <v>0</v>
      </c>
      <c r="E378" s="40">
        <v>0</v>
      </c>
      <c r="F378" s="40">
        <v>0</v>
      </c>
      <c r="G378" s="40">
        <v>0</v>
      </c>
    </row>
    <row r="379" spans="1:7" ht="11.25" customHeight="1" x14ac:dyDescent="0.2">
      <c r="A379" s="45" t="s">
        <v>24</v>
      </c>
      <c r="B379" s="40">
        <v>0</v>
      </c>
      <c r="C379" s="40">
        <v>0</v>
      </c>
      <c r="D379" s="40">
        <v>0</v>
      </c>
      <c r="E379" s="40">
        <v>0</v>
      </c>
      <c r="F379" s="40">
        <v>0</v>
      </c>
      <c r="G379" s="40">
        <v>0</v>
      </c>
    </row>
    <row r="380" spans="1:7" ht="11.25" customHeight="1" x14ac:dyDescent="0.2">
      <c r="A380" s="46" t="s">
        <v>24</v>
      </c>
      <c r="B380" s="40">
        <v>0</v>
      </c>
      <c r="C380" s="40">
        <v>0</v>
      </c>
      <c r="D380" s="40">
        <v>0</v>
      </c>
      <c r="E380" s="40">
        <v>0</v>
      </c>
      <c r="F380" s="40">
        <v>0</v>
      </c>
      <c r="G380" s="40">
        <v>0</v>
      </c>
    </row>
    <row r="381" spans="1:7" ht="11.25" customHeight="1" x14ac:dyDescent="0.2">
      <c r="A381" s="47" t="s">
        <v>25</v>
      </c>
      <c r="B381" s="40">
        <v>0</v>
      </c>
      <c r="C381" s="40">
        <v>0</v>
      </c>
      <c r="D381" s="40">
        <v>0</v>
      </c>
      <c r="E381" s="40">
        <v>0</v>
      </c>
      <c r="F381" s="40">
        <v>0</v>
      </c>
      <c r="G381" s="40">
        <v>0</v>
      </c>
    </row>
    <row r="382" spans="1:7" ht="11.25" customHeight="1" x14ac:dyDescent="0.2">
      <c r="A382" s="48" t="s">
        <v>25</v>
      </c>
      <c r="B382" s="40">
        <v>0</v>
      </c>
      <c r="C382" s="40">
        <v>0</v>
      </c>
      <c r="D382" s="40">
        <v>0</v>
      </c>
      <c r="E382" s="40">
        <v>0</v>
      </c>
      <c r="F382" s="40">
        <v>0</v>
      </c>
      <c r="G382" s="40">
        <v>0</v>
      </c>
    </row>
    <row r="383" spans="1:7" ht="11.25" customHeight="1" x14ac:dyDescent="0.2">
      <c r="A383" s="49" t="s">
        <v>25</v>
      </c>
      <c r="B383" s="40">
        <v>0</v>
      </c>
      <c r="C383" s="40">
        <v>0</v>
      </c>
      <c r="D383" s="40">
        <v>0</v>
      </c>
      <c r="E383" s="40">
        <v>0</v>
      </c>
      <c r="F383" s="40">
        <v>0</v>
      </c>
      <c r="G383" s="40">
        <v>0</v>
      </c>
    </row>
    <row r="384" spans="1:7" ht="11.25" customHeight="1" x14ac:dyDescent="0.2">
      <c r="A384" s="50">
        <v>44440</v>
      </c>
      <c r="B384" s="40">
        <v>0</v>
      </c>
      <c r="C384" s="40">
        <v>0</v>
      </c>
      <c r="D384" s="40">
        <v>0</v>
      </c>
      <c r="E384" s="40">
        <v>0</v>
      </c>
      <c r="F384" s="40">
        <v>0</v>
      </c>
      <c r="G384" s="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FA52-FBA2-4313-A2C7-2A8D206F7A09}">
  <sheetPr codeName="Planilha22"/>
  <dimension ref="A1:V35"/>
  <sheetViews>
    <sheetView showGridLines="0" workbookViewId="0">
      <selection activeCell="O43" sqref="O42:O43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91" t="s">
        <v>743</v>
      </c>
      <c r="B1" s="116"/>
      <c r="C1" s="116"/>
      <c r="D1" s="116"/>
      <c r="E1" s="116"/>
      <c r="F1" s="116"/>
      <c r="G1" s="116"/>
      <c r="H1" s="116"/>
      <c r="I1" s="116"/>
      <c r="J1" s="116"/>
      <c r="L1" s="91" t="s">
        <v>753</v>
      </c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1.25" customHeight="1" x14ac:dyDescent="0.25">
      <c r="A2" s="108" t="s">
        <v>72</v>
      </c>
      <c r="B2" s="108" t="s">
        <v>73</v>
      </c>
      <c r="C2" s="108" t="s">
        <v>744</v>
      </c>
      <c r="D2" s="108" t="s">
        <v>78</v>
      </c>
      <c r="E2" s="108" t="s">
        <v>745</v>
      </c>
      <c r="F2" s="114"/>
      <c r="G2" s="114"/>
      <c r="H2" s="108" t="s">
        <v>506</v>
      </c>
      <c r="I2" s="114"/>
      <c r="J2" s="114"/>
      <c r="L2" s="108" t="s">
        <v>72</v>
      </c>
      <c r="M2" s="108" t="s">
        <v>73</v>
      </c>
      <c r="N2" s="108" t="s">
        <v>74</v>
      </c>
      <c r="O2" s="108" t="s">
        <v>75</v>
      </c>
      <c r="P2" s="108" t="s">
        <v>78</v>
      </c>
      <c r="Q2" s="108" t="s">
        <v>745</v>
      </c>
      <c r="R2" s="115"/>
      <c r="S2" s="115"/>
      <c r="T2" s="108" t="s">
        <v>506</v>
      </c>
      <c r="U2" s="115"/>
      <c r="V2" s="115"/>
    </row>
    <row r="3" spans="1:22" ht="11.25" customHeight="1" x14ac:dyDescent="0.25">
      <c r="A3" s="114"/>
      <c r="B3" s="114"/>
      <c r="C3" s="114"/>
      <c r="D3" s="114"/>
      <c r="E3" s="108" t="s">
        <v>464</v>
      </c>
      <c r="F3" s="114"/>
      <c r="G3" s="30" t="s">
        <v>492</v>
      </c>
      <c r="H3" s="108" t="s">
        <v>464</v>
      </c>
      <c r="I3" s="114"/>
      <c r="J3" s="30" t="s">
        <v>492</v>
      </c>
      <c r="L3" s="115"/>
      <c r="M3" s="115"/>
      <c r="N3" s="115"/>
      <c r="O3" s="115"/>
      <c r="P3" s="115"/>
      <c r="Q3" s="108" t="s">
        <v>464</v>
      </c>
      <c r="R3" s="115"/>
      <c r="S3" s="30" t="s">
        <v>492</v>
      </c>
      <c r="T3" s="108" t="s">
        <v>464</v>
      </c>
      <c r="U3" s="115"/>
      <c r="V3" s="30" t="s">
        <v>492</v>
      </c>
    </row>
    <row r="4" spans="1:22" ht="11.25" customHeight="1" x14ac:dyDescent="0.25">
      <c r="A4" s="114"/>
      <c r="B4" s="114"/>
      <c r="C4" s="114"/>
      <c r="D4" s="114"/>
      <c r="E4" s="30" t="s">
        <v>746</v>
      </c>
      <c r="F4" s="30" t="s">
        <v>747</v>
      </c>
      <c r="G4" s="30" t="s">
        <v>747</v>
      </c>
      <c r="H4" s="30" t="s">
        <v>746</v>
      </c>
      <c r="I4" s="30" t="s">
        <v>747</v>
      </c>
      <c r="J4" s="30" t="s">
        <v>747</v>
      </c>
      <c r="L4" s="115"/>
      <c r="M4" s="115"/>
      <c r="N4" s="115"/>
      <c r="O4" s="115"/>
      <c r="P4" s="115"/>
      <c r="Q4" s="30" t="s">
        <v>746</v>
      </c>
      <c r="R4" s="30" t="s">
        <v>747</v>
      </c>
      <c r="S4" s="30" t="s">
        <v>747</v>
      </c>
      <c r="T4" s="30" t="s">
        <v>746</v>
      </c>
      <c r="U4" s="30" t="s">
        <v>747</v>
      </c>
      <c r="V4" s="30" t="s">
        <v>747</v>
      </c>
    </row>
    <row r="5" spans="1:22" ht="11.25" customHeight="1" x14ac:dyDescent="0.25">
      <c r="A5" s="113" t="s">
        <v>35</v>
      </c>
      <c r="B5" s="113" t="s">
        <v>48</v>
      </c>
      <c r="C5" s="113" t="s">
        <v>25</v>
      </c>
      <c r="D5" s="31" t="s">
        <v>748</v>
      </c>
      <c r="E5" s="29">
        <f ca="1">ROUND('TUSD BE'!$AM$5+'TUSD BF'!$AM$5+'TUSD CVA'!$AM$5,2)</f>
        <v>66.22</v>
      </c>
      <c r="F5" s="29">
        <f ca="1">ROUND('TUSD BE'!$AM$7+'TUSD BF'!$AM$7+'TUSD CVA'!$AM$7,2)</f>
        <v>102.89</v>
      </c>
      <c r="G5" s="29">
        <f>ROUND('TE BE'!$AB$5+'TE BF'!$AB$5+'TE CVA'!$AB$5,2)</f>
        <v>203.38</v>
      </c>
      <c r="H5" s="29">
        <f ca="1">ROUND('TUSD BE'!$AM$5,2)</f>
        <v>85.34</v>
      </c>
      <c r="I5" s="29">
        <f ca="1">ROUND('TUSD BE'!$AM$7,2)</f>
        <v>101.17</v>
      </c>
      <c r="J5" s="29">
        <f>ROUND('TE BE'!$AB$5,2)</f>
        <v>207.14</v>
      </c>
      <c r="L5" s="110" t="s">
        <v>22</v>
      </c>
      <c r="M5" s="110" t="s">
        <v>754</v>
      </c>
      <c r="N5" s="110" t="s">
        <v>755</v>
      </c>
      <c r="O5" s="110" t="s">
        <v>755</v>
      </c>
      <c r="P5" s="31" t="s">
        <v>748</v>
      </c>
      <c r="Q5" s="29">
        <v>0</v>
      </c>
      <c r="R5" s="29">
        <f ca="1">ROUND('TUSD BE'!$AM$20+'TUSD BF'!$AM$20+'TUSD CVA'!$AM$20,2)</f>
        <v>822.25</v>
      </c>
      <c r="S5" s="29">
        <f>ROUND('TE BE'!$AB$10+'TE BF'!$AB$10+'TE CVA'!$AB$10,2)</f>
        <v>203.38</v>
      </c>
      <c r="T5" s="29">
        <v>0</v>
      </c>
      <c r="U5" s="29">
        <f ca="1">ROUND('TUSD BE'!$AM$20,2)</f>
        <v>1037.9000000000001</v>
      </c>
      <c r="V5" s="29">
        <f>ROUND('TE BE'!$AB$10,2)</f>
        <v>207.14</v>
      </c>
    </row>
    <row r="6" spans="1:22" ht="11.25" customHeight="1" x14ac:dyDescent="0.25">
      <c r="A6" s="114"/>
      <c r="B6" s="114"/>
      <c r="C6" s="114"/>
      <c r="D6" s="31" t="s">
        <v>749</v>
      </c>
      <c r="E6" s="29">
        <f ca="1">ROUND('TUSD BE'!$AM$6+'TUSD BF'!$AM$6+'TUSD CVA'!$AM$6,2)</f>
        <v>21.28</v>
      </c>
      <c r="F6" s="29">
        <f ca="1">ROUND('TUSD BE'!$AM$7+'TUSD BF'!$AM$7+'TUSD CVA'!$AM$7,2)</f>
        <v>102.89</v>
      </c>
      <c r="G6" s="29">
        <f>ROUND('TE BE'!$AB$6+'TE BF'!$AB$6+'TE CVA'!$AB$6,2)</f>
        <v>203.38</v>
      </c>
      <c r="H6" s="29">
        <f ca="1">ROUND('TUSD BE'!$AM$6,2)</f>
        <v>26.53</v>
      </c>
      <c r="I6" s="29">
        <f ca="1">ROUND('TUSD BE'!$AM$7,2)</f>
        <v>101.17</v>
      </c>
      <c r="J6" s="29">
        <f>ROUND('TE BE'!$AB$6,2)</f>
        <v>207.14</v>
      </c>
      <c r="L6" s="111"/>
      <c r="M6" s="111"/>
      <c r="N6" s="111"/>
      <c r="O6" s="111"/>
      <c r="P6" s="31" t="s">
        <v>756</v>
      </c>
      <c r="Q6" s="29">
        <v>0</v>
      </c>
      <c r="R6" s="29">
        <f ca="1">ROUND('TUSD BE'!$AM$21+'TUSD BF'!$AM$21+'TUSD CVA'!$AM$21,2)</f>
        <v>546.23</v>
      </c>
      <c r="S6" s="29">
        <f>ROUND('TE BE'!$AB$11+'TE BF'!$AB$11+'TE CVA'!$AB$11,2)</f>
        <v>203.38</v>
      </c>
      <c r="T6" s="29">
        <v>0</v>
      </c>
      <c r="U6" s="29">
        <f ca="1">ROUND('TUSD BE'!$AM$21,2)</f>
        <v>675.2</v>
      </c>
      <c r="V6" s="29">
        <f>ROUND('TE BE'!$AB$11,2)</f>
        <v>207.14</v>
      </c>
    </row>
    <row r="7" spans="1:22" ht="11.25" customHeight="1" x14ac:dyDescent="0.25">
      <c r="A7" s="114"/>
      <c r="B7" s="113" t="s">
        <v>750</v>
      </c>
      <c r="C7" s="113" t="s">
        <v>25</v>
      </c>
      <c r="D7" s="31" t="s">
        <v>748</v>
      </c>
      <c r="E7" s="29">
        <f ca="1">ROUND('TUSD BE'!$AM$5+'TUSD BF'!$AM$5+'TUSD CVA'!$AM$5,2)</f>
        <v>66.22</v>
      </c>
      <c r="F7" s="29">
        <f ca="1">ROUND('TUSD BE'!$AM$8+'TUSD BF'!$AM$8+'TUSD CVA'!$AM$8,2)</f>
        <v>9.8699999999999992</v>
      </c>
      <c r="G7" s="29">
        <v>0</v>
      </c>
      <c r="H7" s="29">
        <f ca="1">ROUND('TUSD BE'!$AM$5,2)</f>
        <v>85.34</v>
      </c>
      <c r="I7" s="29">
        <f ca="1">ROUND('TUSD BE'!$AM$8,2)</f>
        <v>10.51</v>
      </c>
      <c r="J7" s="29">
        <v>0</v>
      </c>
      <c r="L7" s="111"/>
      <c r="M7" s="112"/>
      <c r="N7" s="112"/>
      <c r="O7" s="112"/>
      <c r="P7" s="31" t="s">
        <v>749</v>
      </c>
      <c r="Q7" s="29">
        <v>0</v>
      </c>
      <c r="R7" s="29">
        <f ca="1">ROUND('TUSD BE'!$AM$22+'TUSD BF'!$AM$22+'TUSD CVA'!$AM$22,2)</f>
        <v>270.24</v>
      </c>
      <c r="S7" s="29">
        <f>ROUND('TE BE'!$AB$12+'TE BF'!$AB$12+'TE CVA'!$AB$12,2)</f>
        <v>203.38</v>
      </c>
      <c r="T7" s="29">
        <v>0</v>
      </c>
      <c r="U7" s="29">
        <f ca="1">ROUND('TUSD BE'!$AM$22,2)</f>
        <v>312.52999999999997</v>
      </c>
      <c r="V7" s="29">
        <f>ROUND('TE BE'!$AB$12,2)</f>
        <v>207.14</v>
      </c>
    </row>
    <row r="8" spans="1:22" ht="11.25" customHeight="1" x14ac:dyDescent="0.25">
      <c r="A8" s="114"/>
      <c r="B8" s="114"/>
      <c r="C8" s="114"/>
      <c r="D8" s="31" t="s">
        <v>749</v>
      </c>
      <c r="E8" s="29">
        <f ca="1">ROUND('TUSD BE'!$AM$6+'TUSD BF'!$AM$6+'TUSD CVA'!$AM$6,2)</f>
        <v>21.28</v>
      </c>
      <c r="F8" s="29">
        <f ca="1">ROUND('TUSD BE'!$AM$8+'TUSD BF'!$AM$8+'TUSD CVA'!$AM$8,2)</f>
        <v>9.8699999999999992</v>
      </c>
      <c r="G8" s="29">
        <v>0</v>
      </c>
      <c r="H8" s="29">
        <f ca="1">ROUND('TUSD BE'!$AM$6,2)</f>
        <v>26.53</v>
      </c>
      <c r="I8" s="29">
        <f ca="1">ROUND('TUSD BE'!$AM$8,2)</f>
        <v>10.51</v>
      </c>
      <c r="J8" s="29">
        <v>0</v>
      </c>
      <c r="L8" s="111"/>
      <c r="M8" s="31" t="s">
        <v>757</v>
      </c>
      <c r="N8" s="31" t="s">
        <v>755</v>
      </c>
      <c r="O8" s="31" t="s">
        <v>755</v>
      </c>
      <c r="P8" s="31" t="s">
        <v>751</v>
      </c>
      <c r="Q8" s="29">
        <v>0</v>
      </c>
      <c r="R8" s="29">
        <f ca="1">ROUND('TUSD BE'!$AM$28+'TUSD BF'!$AM$28+'TUSD CVA'!$AM$28,2)</f>
        <v>387.74</v>
      </c>
      <c r="S8" s="29">
        <f>ROUND('TE BE'!$AB$18+'TE BF'!$AB$18+'TE CVA'!$AB$18,2)</f>
        <v>203.38</v>
      </c>
      <c r="T8" s="29">
        <v>0</v>
      </c>
      <c r="U8" s="29">
        <f ca="1">ROUND('TUSD BE'!$AM$28,2)</f>
        <v>466.95</v>
      </c>
      <c r="V8" s="29">
        <f>ROUND('TE BE'!$AB$18,2)</f>
        <v>207.14</v>
      </c>
    </row>
    <row r="9" spans="1:22" ht="11.25" customHeight="1" x14ac:dyDescent="0.25">
      <c r="A9" s="114"/>
      <c r="B9" s="113" t="s">
        <v>36</v>
      </c>
      <c r="C9" s="113" t="s">
        <v>25</v>
      </c>
      <c r="D9" s="31" t="s">
        <v>751</v>
      </c>
      <c r="E9" s="29">
        <f ca="1">ROUND('TUSD BE'!$AM$13+'TUSD BF'!$AM$13+'TUSD CVA'!$AM$13,2)</f>
        <v>21.28</v>
      </c>
      <c r="F9" s="29">
        <v>0</v>
      </c>
      <c r="G9" s="29">
        <v>0</v>
      </c>
      <c r="H9" s="29">
        <f ca="1">ROUND('TUSD BE'!$AM$13,2)</f>
        <v>26.53</v>
      </c>
      <c r="I9" s="29">
        <v>0</v>
      </c>
      <c r="J9" s="29">
        <v>0</v>
      </c>
      <c r="L9" s="111"/>
      <c r="M9" s="31" t="s">
        <v>759</v>
      </c>
      <c r="N9" s="31" t="s">
        <v>755</v>
      </c>
      <c r="O9" s="31" t="s">
        <v>755</v>
      </c>
      <c r="P9" s="31" t="s">
        <v>751</v>
      </c>
      <c r="Q9" s="29">
        <v>0</v>
      </c>
      <c r="R9" s="29">
        <f ca="1">ROUND('TUSD BE'!$AM$23+'TUSD BF'!$AM$23+'TUSD CVA'!$AM$23,2)</f>
        <v>387.74</v>
      </c>
      <c r="S9" s="29">
        <f>ROUND('TE BE'!$AB$13+'TE BF'!$AB$13+'TE CVA'!$AB$13,2)</f>
        <v>203.38</v>
      </c>
      <c r="T9" s="29">
        <v>0</v>
      </c>
      <c r="U9" s="29">
        <f ca="1">ROUND('TUSD BE'!$AM$23,2)</f>
        <v>466.95</v>
      </c>
      <c r="V9" s="29">
        <f>ROUND('TE BE'!$AB$13,2)</f>
        <v>207.14</v>
      </c>
    </row>
    <row r="10" spans="1:22" ht="11.25" customHeight="1" x14ac:dyDescent="0.25">
      <c r="A10" s="114"/>
      <c r="B10" s="114"/>
      <c r="C10" s="114"/>
      <c r="D10" s="31" t="s">
        <v>748</v>
      </c>
      <c r="E10" s="29">
        <v>0</v>
      </c>
      <c r="F10" s="29">
        <f ca="1">ROUND('TUSD BE'!$AM$14+'TUSD BF'!$AM$14+'TUSD CVA'!$AM$14,2)</f>
        <v>1695.62</v>
      </c>
      <c r="G10" s="29">
        <f>ROUND('TE BE'!$AB$5+'TE BF'!$AB$5+'TE CVA'!$AB$5,2)</f>
        <v>203.38</v>
      </c>
      <c r="H10" s="29">
        <v>0</v>
      </c>
      <c r="I10" s="29">
        <f ca="1">ROUND('TUSD BE'!$AM$14,2)</f>
        <v>2153.87</v>
      </c>
      <c r="J10" s="29">
        <f>ROUND('TE BE'!$AB$5,2)</f>
        <v>207.14</v>
      </c>
      <c r="L10" s="111"/>
      <c r="M10" s="31" t="s">
        <v>757</v>
      </c>
      <c r="N10" s="31" t="s">
        <v>755</v>
      </c>
      <c r="O10" s="31" t="s">
        <v>758</v>
      </c>
      <c r="P10" s="31" t="s">
        <v>751</v>
      </c>
      <c r="Q10" s="29">
        <v>0</v>
      </c>
      <c r="R10" s="29">
        <f ca="1">ROUND('TUSD BE'!$AM$29+'TUSD BF'!$AM$29+'TUSD CVA'!$AM$29,2)</f>
        <v>279.81</v>
      </c>
      <c r="S10" s="29">
        <f>ROUND('TE BE'!$AB$19+'TE BF'!$AB$19+'TE CVA'!$AB$19,2)</f>
        <v>203.38</v>
      </c>
      <c r="T10" s="29">
        <v>0</v>
      </c>
      <c r="U10" s="29">
        <f ca="1">ROUND('TUSD BE'!$AM$29,2)</f>
        <v>361.76</v>
      </c>
      <c r="V10" s="29">
        <f>ROUND('TE BE'!$AB$19,2)</f>
        <v>207.14</v>
      </c>
    </row>
    <row r="11" spans="1:22" ht="11.25" customHeight="1" x14ac:dyDescent="0.25">
      <c r="A11" s="114"/>
      <c r="B11" s="114"/>
      <c r="C11" s="114"/>
      <c r="D11" s="31" t="s">
        <v>749</v>
      </c>
      <c r="E11" s="29">
        <v>0</v>
      </c>
      <c r="F11" s="29">
        <f ca="1">ROUND('TUSD BE'!$AM$15+'TUSD BF'!$AM$15+'TUSD CVA'!$AM$15,2)</f>
        <v>102.89</v>
      </c>
      <c r="G11" s="29">
        <f>ROUND('TE BE'!$AB$6+'TE BF'!$AB$6+'TE CVA'!$AB$6,2)</f>
        <v>203.38</v>
      </c>
      <c r="H11" s="29">
        <v>0</v>
      </c>
      <c r="I11" s="29">
        <f ca="1">ROUND('TUSD BE'!$AM$15,2)</f>
        <v>101.17</v>
      </c>
      <c r="J11" s="29">
        <f>ROUND('TE BE'!$AB$6,2)</f>
        <v>207.14</v>
      </c>
      <c r="L11" s="112"/>
      <c r="M11" s="31" t="s">
        <v>759</v>
      </c>
      <c r="N11" s="31" t="s">
        <v>755</v>
      </c>
      <c r="O11" s="31" t="s">
        <v>758</v>
      </c>
      <c r="P11" s="31" t="s">
        <v>751</v>
      </c>
      <c r="Q11" s="29">
        <v>0</v>
      </c>
      <c r="R11" s="29">
        <f ca="1">ROUND('TUSD BE'!$AM$24+'TUSD BF'!$AM$24+'TUSD CVA'!$AM$24,2)</f>
        <v>279.81</v>
      </c>
      <c r="S11" s="29">
        <f>ROUND('TE BE'!$AB$14+'TE BF'!$AB$14+'TE CVA'!$AB$14,2)</f>
        <v>203.38</v>
      </c>
      <c r="T11" s="29">
        <v>0</v>
      </c>
      <c r="U11" s="29">
        <f ca="1">ROUND('TUSD BE'!$AM$24,2)</f>
        <v>361.76</v>
      </c>
      <c r="V11" s="29">
        <f>ROUND('TE BE'!$AB$14,2)</f>
        <v>207.14</v>
      </c>
    </row>
    <row r="12" spans="1:22" ht="11.25" customHeight="1" x14ac:dyDescent="0.25">
      <c r="A12" s="114"/>
      <c r="B12" s="113" t="s">
        <v>752</v>
      </c>
      <c r="C12" s="113" t="s">
        <v>25</v>
      </c>
      <c r="D12" s="31" t="s">
        <v>751</v>
      </c>
      <c r="E12" s="29">
        <f ca="1">ROUND('TUSD BE'!$AM$13+'TUSD BF'!$AM$13+'TUSD CVA'!$AM$13,2)</f>
        <v>21.28</v>
      </c>
      <c r="F12" s="29">
        <v>0</v>
      </c>
      <c r="G12" s="29">
        <v>0</v>
      </c>
      <c r="H12" s="29">
        <f ca="1">ROUND('TUSD BE'!$AM$13,2)</f>
        <v>26.53</v>
      </c>
      <c r="I12" s="29">
        <v>0</v>
      </c>
      <c r="J12" s="29">
        <v>0</v>
      </c>
      <c r="L12" s="110" t="s">
        <v>40</v>
      </c>
      <c r="M12" s="110" t="s">
        <v>754</v>
      </c>
      <c r="N12" s="110" t="s">
        <v>760</v>
      </c>
      <c r="O12" s="110" t="s">
        <v>761</v>
      </c>
      <c r="P12" s="31" t="s">
        <v>748</v>
      </c>
      <c r="Q12" s="29">
        <v>0</v>
      </c>
      <c r="R12" s="29">
        <f ca="1">ROUND(('TUSD BE'!$AM$33+'TUSD BF'!$AM$33+'TUSD CVA'!$AM$33)*(1-CUSTOS!$M$38),2)</f>
        <v>867.03</v>
      </c>
      <c r="S12" s="29">
        <f>ROUND(('TE BE'!$AB$23+'TE BF'!$AB$23+'TE CVA'!$AB$23)*(1-CUSTOS!$M$38),2)</f>
        <v>191.18</v>
      </c>
      <c r="T12" s="29">
        <v>0</v>
      </c>
      <c r="U12" s="29">
        <f ca="1">ROUND('TUSD BE'!$AM$33*(1-CUSTOS!$M$38),2)</f>
        <v>1087.48</v>
      </c>
      <c r="V12" s="29">
        <f>ROUND('TE BE'!$AB$23*(1-CUSTOS!$M$38),2)</f>
        <v>194.71</v>
      </c>
    </row>
    <row r="13" spans="1:22" ht="11.25" customHeight="1" x14ac:dyDescent="0.25">
      <c r="A13" s="114"/>
      <c r="B13" s="114"/>
      <c r="C13" s="114"/>
      <c r="D13" s="31" t="s">
        <v>748</v>
      </c>
      <c r="E13" s="29">
        <v>0</v>
      </c>
      <c r="F13" s="29">
        <f ca="1">ROUND('TUSD BE'!$AM$16+'TUSD BF'!$AM$16+'TUSD CVA'!$AM$16,2)</f>
        <v>1602.61</v>
      </c>
      <c r="G13" s="29">
        <v>0</v>
      </c>
      <c r="H13" s="29">
        <v>0</v>
      </c>
      <c r="I13" s="29">
        <f ca="1">ROUND('TUSD BE'!$AM$16,2)</f>
        <v>2063.21</v>
      </c>
      <c r="J13" s="29">
        <v>0</v>
      </c>
      <c r="L13" s="111"/>
      <c r="M13" s="111"/>
      <c r="N13" s="111"/>
      <c r="O13" s="111"/>
      <c r="P13" s="31" t="s">
        <v>756</v>
      </c>
      <c r="Q13" s="29">
        <v>0</v>
      </c>
      <c r="R13" s="29">
        <f ca="1">ROUND(('TUSD BE'!$AM$34+'TUSD BF'!$AM$34+'TUSD CVA'!$AM$34)*(1-CUSTOS!$M$38),2)</f>
        <v>569.9</v>
      </c>
      <c r="S13" s="29">
        <f>ROUND(('TE BE'!$AB$24+'TE BF'!$AB$24+'TE CVA'!$AB$24)*(1-CUSTOS!$M$38),2)</f>
        <v>191.18</v>
      </c>
      <c r="T13" s="29">
        <v>0</v>
      </c>
      <c r="U13" s="29">
        <f ca="1">ROUND('TUSD BE'!$AM$34*(1-CUSTOS!$M$38),2)</f>
        <v>701.77</v>
      </c>
      <c r="V13" s="29">
        <f>ROUND('TE BE'!$AB$24*(1-CUSTOS!$M$38),2)</f>
        <v>194.71</v>
      </c>
    </row>
    <row r="14" spans="1:22" ht="11.25" customHeight="1" x14ac:dyDescent="0.25">
      <c r="A14" s="114"/>
      <c r="B14" s="114"/>
      <c r="C14" s="114"/>
      <c r="D14" s="31" t="s">
        <v>749</v>
      </c>
      <c r="E14" s="29">
        <v>0</v>
      </c>
      <c r="F14" s="29">
        <f ca="1">ROUND('TUSD BE'!$AM$17+'TUSD BF'!$AM$17+'TUSD CVA'!$AM$17,2)</f>
        <v>9.8699999999999992</v>
      </c>
      <c r="G14" s="29">
        <v>0</v>
      </c>
      <c r="H14" s="29">
        <v>0</v>
      </c>
      <c r="I14" s="29">
        <f ca="1">ROUND('TUSD BE'!$AM$17,2)</f>
        <v>10.51</v>
      </c>
      <c r="J14" s="29">
        <v>0</v>
      </c>
      <c r="L14" s="111"/>
      <c r="M14" s="112"/>
      <c r="N14" s="112"/>
      <c r="O14" s="112"/>
      <c r="P14" s="31" t="s">
        <v>749</v>
      </c>
      <c r="Q14" s="29">
        <v>0</v>
      </c>
      <c r="R14" s="29">
        <f ca="1">ROUND(('TUSD BE'!$AM$35+'TUSD BF'!$AM$35+'TUSD CVA'!$AM$35)*(1-CUSTOS!$M$38),2)</f>
        <v>272.8</v>
      </c>
      <c r="S14" s="29">
        <f>ROUND(('TE BE'!$AB$25+'TE BF'!$AB$25+'TE CVA'!$AB$25)*(1-CUSTOS!$M$38),2)</f>
        <v>191.18</v>
      </c>
      <c r="T14" s="29">
        <v>0</v>
      </c>
      <c r="U14" s="29">
        <f ca="1">ROUND('TUSD BE'!$AM$35*(1-CUSTOS!$M$38),2)</f>
        <v>316.10000000000002</v>
      </c>
      <c r="V14" s="29">
        <f>ROUND('TE BE'!$AB$25*(1-CUSTOS!$M$38),2)</f>
        <v>194.71</v>
      </c>
    </row>
    <row r="15" spans="1:22" ht="11.25" customHeight="1" x14ac:dyDescent="0.25">
      <c r="A15" s="114"/>
      <c r="B15" s="31" t="s">
        <v>60</v>
      </c>
      <c r="C15" s="31" t="s">
        <v>25</v>
      </c>
      <c r="D15" s="31" t="s">
        <v>751</v>
      </c>
      <c r="E15" s="29">
        <f ca="1">ROUND('TUSD BE'!$AM$12+'TUSD BF'!$AM$12+'TUSD CVA'!$AM$12,2)</f>
        <v>3.55</v>
      </c>
      <c r="F15" s="29">
        <v>0</v>
      </c>
      <c r="G15" s="29">
        <v>0</v>
      </c>
      <c r="H15" s="29">
        <f ca="1">ROUND('TUSD BE'!$AM$12,2)</f>
        <v>5.16</v>
      </c>
      <c r="I15" s="29">
        <v>0</v>
      </c>
      <c r="J15" s="29">
        <v>0</v>
      </c>
      <c r="L15" s="111"/>
      <c r="M15" s="31" t="s">
        <v>757</v>
      </c>
      <c r="N15" s="31" t="s">
        <v>760</v>
      </c>
      <c r="O15" s="31" t="s">
        <v>761</v>
      </c>
      <c r="P15" s="31" t="s">
        <v>751</v>
      </c>
      <c r="Q15" s="29">
        <v>0</v>
      </c>
      <c r="R15" s="29">
        <f ca="1">ROUND(('TUSD BE'!$AM$45+'TUSD BF'!$AM$45+'TUSD CVA'!$AM$45)*(1-CUSTOS!$M$38),2)</f>
        <v>364.47</v>
      </c>
      <c r="S15" s="29">
        <f>ROUND(('TE BE'!$AB$35+'TE BF'!$AB$35+'TE CVA'!$AB$35)*(1-CUSTOS!$M$38),2)</f>
        <v>191.18</v>
      </c>
      <c r="T15" s="29">
        <v>0</v>
      </c>
      <c r="U15" s="29">
        <f ca="1">ROUND(('TUSD BE'!$AM$45)*(1-CUSTOS!$M$38),2)</f>
        <v>438.93</v>
      </c>
      <c r="V15" s="29">
        <f>ROUND(('TE BE'!$AB$35)*(1-CUSTOS!$M$38),2)</f>
        <v>194.71</v>
      </c>
    </row>
    <row r="16" spans="1:22" ht="11.25" customHeight="1" x14ac:dyDescent="0.25">
      <c r="L16" s="111"/>
      <c r="M16" s="31" t="s">
        <v>759</v>
      </c>
      <c r="N16" s="31" t="s">
        <v>760</v>
      </c>
      <c r="O16" s="31" t="s">
        <v>761</v>
      </c>
      <c r="P16" s="31" t="s">
        <v>751</v>
      </c>
      <c r="Q16" s="29">
        <v>0</v>
      </c>
      <c r="R16" s="29">
        <f ca="1">ROUND(('TUSD BE'!$AM$36+'TUSD BF'!$AM$36+'TUSD CVA'!$AM$36)*(1-CUSTOS!$M$38),2)</f>
        <v>364.47</v>
      </c>
      <c r="S16" s="29">
        <f>ROUND(('TE BE'!$AB$26+'TE BF'!$AB$26+'TE CVA'!$AB$26)*(1-CUSTOS!$M$38),2)</f>
        <v>191.18</v>
      </c>
      <c r="T16" s="29">
        <v>0</v>
      </c>
      <c r="U16" s="29">
        <f ca="1">ROUND(('TUSD BE'!$AM$36)*(1-CUSTOS!$M$38),2)</f>
        <v>438.93</v>
      </c>
      <c r="V16" s="29">
        <f>ROUND(('TE BE'!$AB$26)*(1-CUSTOS!$M$38),2)</f>
        <v>194.71</v>
      </c>
    </row>
    <row r="17" spans="12:22" ht="11.25" customHeight="1" x14ac:dyDescent="0.25">
      <c r="L17" s="111"/>
      <c r="M17" s="110" t="s">
        <v>754</v>
      </c>
      <c r="N17" s="110" t="s">
        <v>760</v>
      </c>
      <c r="O17" s="110" t="s">
        <v>762</v>
      </c>
      <c r="P17" s="31" t="s">
        <v>748</v>
      </c>
      <c r="Q17" s="29">
        <v>0</v>
      </c>
      <c r="R17" s="29">
        <f ca="1">ROUND(('TUSD BE'!$AM$37+'TUSD BF'!$AM$37+'TUSD CVA'!$AM$37)*(1-CUSTOS!$M$39),2)</f>
        <v>867.03</v>
      </c>
      <c r="S17" s="29">
        <f>ROUND(('TE BE'!$AB$27+'TE BF'!$AB$27+'TE CVA'!$AB$27)*(1-CUSTOS!$M$39),2)</f>
        <v>191.18</v>
      </c>
      <c r="T17" s="29">
        <v>0</v>
      </c>
      <c r="U17" s="29">
        <f ca="1">ROUND('TUSD BE'!$AM$37*(1-CUSTOS!$M$39),2)</f>
        <v>1087.48</v>
      </c>
      <c r="V17" s="29">
        <f>ROUND('TE BE'!$AB$27*(1-CUSTOS!$M$39),2)</f>
        <v>194.71</v>
      </c>
    </row>
    <row r="18" spans="12:22" ht="11.25" customHeight="1" x14ac:dyDescent="0.25">
      <c r="L18" s="111"/>
      <c r="M18" s="111"/>
      <c r="N18" s="111"/>
      <c r="O18" s="111"/>
      <c r="P18" s="31" t="s">
        <v>756</v>
      </c>
      <c r="Q18" s="29">
        <v>0</v>
      </c>
      <c r="R18" s="29">
        <f ca="1">ROUND(('TUSD BE'!$AM$38+'TUSD BF'!$AM$38+'TUSD CVA'!$AM$38)*(1-CUSTOS!$M$39),2)</f>
        <v>569.9</v>
      </c>
      <c r="S18" s="29">
        <f>ROUND(('TE BE'!$AB$28+'TE BF'!$AB$28+'TE CVA'!$AB$28)*(1-CUSTOS!$M$39),2)</f>
        <v>191.18</v>
      </c>
      <c r="T18" s="29">
        <v>0</v>
      </c>
      <c r="U18" s="29">
        <f ca="1">ROUND('TUSD BE'!$AM$38*(1-CUSTOS!$M$39),2)</f>
        <v>701.77</v>
      </c>
      <c r="V18" s="29">
        <f>ROUND('TE BE'!$AB$28*(1-CUSTOS!$M$39),2)</f>
        <v>194.71</v>
      </c>
    </row>
    <row r="19" spans="12:22" ht="11.25" customHeight="1" x14ac:dyDescent="0.25">
      <c r="L19" s="111"/>
      <c r="M19" s="112"/>
      <c r="N19" s="112"/>
      <c r="O19" s="112"/>
      <c r="P19" s="31" t="s">
        <v>749</v>
      </c>
      <c r="Q19" s="29">
        <v>0</v>
      </c>
      <c r="R19" s="29">
        <f ca="1">ROUND(('TUSD BE'!$AM$39+'TUSD BF'!$AM$39+'TUSD CVA'!$AM$39)*(1-CUSTOS!$M$39),2)</f>
        <v>272.8</v>
      </c>
      <c r="S19" s="29">
        <f>ROUND(('TE BE'!$AB$29+'TE BF'!$AB$29+'TE CVA'!$AB$29)*(1-CUSTOS!$M$39),2)</f>
        <v>191.18</v>
      </c>
      <c r="T19" s="29">
        <v>0</v>
      </c>
      <c r="U19" s="29">
        <f ca="1">ROUND('TUSD BE'!$AM$39*(1-CUSTOS!$M$39),2)</f>
        <v>316.10000000000002</v>
      </c>
      <c r="V19" s="29">
        <f>ROUND('TE BE'!$AB$29*(1-CUSTOS!$M$39),2)</f>
        <v>194.71</v>
      </c>
    </row>
    <row r="20" spans="12:22" ht="11.25" customHeight="1" x14ac:dyDescent="0.25">
      <c r="L20" s="111"/>
      <c r="M20" s="31" t="s">
        <v>757</v>
      </c>
      <c r="N20" s="31" t="s">
        <v>760</v>
      </c>
      <c r="O20" s="31" t="s">
        <v>762</v>
      </c>
      <c r="P20" s="31" t="s">
        <v>751</v>
      </c>
      <c r="Q20" s="29">
        <v>0</v>
      </c>
      <c r="R20" s="29">
        <f ca="1">ROUND(('TUSD BE'!$AM$45+'TUSD BF'!$AM$45+'TUSD CVA'!$AM$45)*(1-CUSTOS!$M$39),2)</f>
        <v>364.47</v>
      </c>
      <c r="S20" s="29">
        <f>ROUND(('TE BE'!$AB$35+'TE BF'!$AB$35+'TE CVA'!$AB$35)*(1-CUSTOS!$M$39),2)</f>
        <v>191.18</v>
      </c>
      <c r="T20" s="29">
        <v>0</v>
      </c>
      <c r="U20" s="29">
        <f ca="1">ROUND(('TUSD BE'!$AM$45)*(1-CUSTOS!$M$39),2)</f>
        <v>438.93</v>
      </c>
      <c r="V20" s="29">
        <f>ROUND(('TE BE'!$AB$35)*(1-CUSTOS!$M$39),2)</f>
        <v>194.71</v>
      </c>
    </row>
    <row r="21" spans="12:22" ht="11.25" customHeight="1" x14ac:dyDescent="0.25">
      <c r="L21" s="111"/>
      <c r="M21" s="31" t="s">
        <v>759</v>
      </c>
      <c r="N21" s="31" t="s">
        <v>760</v>
      </c>
      <c r="O21" s="31" t="s">
        <v>762</v>
      </c>
      <c r="P21" s="31" t="s">
        <v>751</v>
      </c>
      <c r="Q21" s="29">
        <v>0</v>
      </c>
      <c r="R21" s="29">
        <f ca="1">ROUND(('TUSD BE'!$AM$36+'TUSD BF'!$AM$36+'TUSD CVA'!$AM$36)*(1-CUSTOS!$M$39),2)</f>
        <v>364.47</v>
      </c>
      <c r="S21" s="29">
        <f>ROUND(('TE BE'!$AB$26+'TE BF'!$AB$26+'TE CVA'!$AB$26)*(1-CUSTOS!$M$39),2)</f>
        <v>191.18</v>
      </c>
      <c r="T21" s="29">
        <v>0</v>
      </c>
      <c r="U21" s="29">
        <f ca="1">ROUND(('TUSD BE'!$AM$36)*(1-CUSTOS!$M$39),2)</f>
        <v>438.93</v>
      </c>
      <c r="V21" s="29">
        <f>ROUND(('TE BE'!$AB$26)*(1-CUSTOS!$M$39),2)</f>
        <v>194.71</v>
      </c>
    </row>
    <row r="22" spans="12:22" ht="11.25" customHeight="1" x14ac:dyDescent="0.25">
      <c r="L22" s="111"/>
      <c r="M22" s="110" t="s">
        <v>754</v>
      </c>
      <c r="N22" s="110" t="s">
        <v>760</v>
      </c>
      <c r="O22" s="110" t="s">
        <v>763</v>
      </c>
      <c r="P22" s="31" t="s">
        <v>748</v>
      </c>
      <c r="Q22" s="29">
        <v>0</v>
      </c>
      <c r="R22" s="29">
        <f ca="1">ROUND(('TUSD BE'!$AM$41+'TUSD BF'!$AM$41+'TUSD CVA'!$AM$41)*(1-CUSTOS!$M$40),2)</f>
        <v>848.59</v>
      </c>
      <c r="S22" s="29">
        <f>ROUND(('TE BE'!$AB$31+'TE BF'!$AB$31+'TE CVA'!$AB$31)*(1-CUSTOS!$M$40),2)</f>
        <v>187.11</v>
      </c>
      <c r="T22" s="29">
        <v>0</v>
      </c>
      <c r="U22" s="29">
        <f ca="1">ROUND('TUSD BE'!$AM$41*(1-CUSTOS!$M$40),2)</f>
        <v>1064.3399999999999</v>
      </c>
      <c r="V22" s="29">
        <f>ROUND('TE BE'!$AB$31*(1-CUSTOS!$M$40),2)</f>
        <v>190.57</v>
      </c>
    </row>
    <row r="23" spans="12:22" ht="11.25" customHeight="1" x14ac:dyDescent="0.25">
      <c r="L23" s="111"/>
      <c r="M23" s="111"/>
      <c r="N23" s="111"/>
      <c r="O23" s="111"/>
      <c r="P23" s="31" t="s">
        <v>756</v>
      </c>
      <c r="Q23" s="29">
        <v>0</v>
      </c>
      <c r="R23" s="29">
        <f ca="1">ROUND(('TUSD BE'!$AM$42+'TUSD BF'!$AM$42+'TUSD CVA'!$AM$42)*(1-CUSTOS!$M$40),2)</f>
        <v>557.77</v>
      </c>
      <c r="S23" s="29">
        <f>ROUND(('TE BE'!$AB$32+'TE BF'!$AB$32+'TE CVA'!$AB$32)*(1-CUSTOS!$M$40),2)</f>
        <v>187.11</v>
      </c>
      <c r="T23" s="29">
        <v>0</v>
      </c>
      <c r="U23" s="29">
        <f ca="1">ROUND('TUSD BE'!$AM$42*(1-CUSTOS!$M$40),2)</f>
        <v>686.84</v>
      </c>
      <c r="V23" s="29">
        <f>ROUND('TE BE'!$AB$32*(1-CUSTOS!$M$40),2)</f>
        <v>190.57</v>
      </c>
    </row>
    <row r="24" spans="12:22" ht="11.25" customHeight="1" x14ac:dyDescent="0.25">
      <c r="L24" s="111"/>
      <c r="M24" s="112"/>
      <c r="N24" s="112"/>
      <c r="O24" s="112"/>
      <c r="P24" s="31" t="s">
        <v>749</v>
      </c>
      <c r="Q24" s="29">
        <v>0</v>
      </c>
      <c r="R24" s="29">
        <f ca="1">ROUND(('TUSD BE'!$AM$43+'TUSD BF'!$AM$43+'TUSD CVA'!$AM$43)*(1-CUSTOS!$M$40),2)</f>
        <v>266.99</v>
      </c>
      <c r="S24" s="29">
        <f>ROUND(('TE BE'!$AB$33+'TE BF'!$AB$33+'TE CVA'!$AB$33)*(1-CUSTOS!$M$40),2)</f>
        <v>187.11</v>
      </c>
      <c r="T24" s="29">
        <v>0</v>
      </c>
      <c r="U24" s="29">
        <f ca="1">ROUND('TUSD BE'!$AM$43*(1-CUSTOS!$M$40),2)</f>
        <v>309.37</v>
      </c>
      <c r="V24" s="29">
        <f>ROUND('TE BE'!$AB$33*(1-CUSTOS!$M$40),2)</f>
        <v>190.57</v>
      </c>
    </row>
    <row r="25" spans="12:22" ht="11.25" customHeight="1" x14ac:dyDescent="0.25">
      <c r="L25" s="111"/>
      <c r="M25" s="31" t="s">
        <v>757</v>
      </c>
      <c r="N25" s="31" t="s">
        <v>760</v>
      </c>
      <c r="O25" s="31" t="s">
        <v>763</v>
      </c>
      <c r="P25" s="31" t="s">
        <v>751</v>
      </c>
      <c r="Q25" s="29">
        <v>0</v>
      </c>
      <c r="R25" s="29">
        <f ca="1">ROUND(('TUSD BE'!$AM$45+'TUSD BF'!$AM$45+'TUSD CVA'!$AM$45)*(1-CUSTOS!$M$40),2)</f>
        <v>356.72</v>
      </c>
      <c r="S25" s="29">
        <f>ROUND(('TE BE'!$AB$35+'TE BF'!$AB$35+'TE CVA'!$AB$35)*(1-CUSTOS!$M$40),2)</f>
        <v>187.11</v>
      </c>
      <c r="T25" s="29">
        <v>0</v>
      </c>
      <c r="U25" s="29">
        <f ca="1">ROUND(('TUSD BE'!$AM$45)*(1-CUSTOS!$M$40),2)</f>
        <v>429.59</v>
      </c>
      <c r="V25" s="29">
        <f>ROUND(('TE BE'!$AB$35)*(1-CUSTOS!$M$40),2)</f>
        <v>190.57</v>
      </c>
    </row>
    <row r="26" spans="12:22" ht="11.25" customHeight="1" x14ac:dyDescent="0.25">
      <c r="L26" s="112"/>
      <c r="M26" s="31" t="s">
        <v>759</v>
      </c>
      <c r="N26" s="31" t="s">
        <v>760</v>
      </c>
      <c r="O26" s="31" t="s">
        <v>763</v>
      </c>
      <c r="P26" s="31" t="s">
        <v>751</v>
      </c>
      <c r="Q26" s="29">
        <v>0</v>
      </c>
      <c r="R26" s="29">
        <f ca="1">ROUND(('TUSD BE'!$AM$36+'TUSD BF'!$AM$36+'TUSD CVA'!$AM$36)*(1-CUSTOS!$M$40),2)</f>
        <v>356.72</v>
      </c>
      <c r="S26" s="29">
        <f>ROUND(('TE BE'!$AB$26+'TE BF'!$AB$26+'TE CVA'!$AB$26)*(1-CUSTOS!$M$40),2)</f>
        <v>187.11</v>
      </c>
      <c r="T26" s="29">
        <v>0</v>
      </c>
      <c r="U26" s="29">
        <f ca="1">ROUND(('TUSD BE'!$AM$36)*(1-CUSTOS!$M$40),2)</f>
        <v>429.59</v>
      </c>
      <c r="V26" s="29">
        <f>ROUND(('TE BE'!$AB$26)*(1-CUSTOS!$M$40),2)</f>
        <v>190.57</v>
      </c>
    </row>
    <row r="27" spans="12:22" ht="11.25" customHeight="1" x14ac:dyDescent="0.25">
      <c r="L27" s="110" t="s">
        <v>33</v>
      </c>
      <c r="M27" s="110" t="s">
        <v>754</v>
      </c>
      <c r="N27" s="110" t="s">
        <v>751</v>
      </c>
      <c r="O27" s="110" t="s">
        <v>751</v>
      </c>
      <c r="P27" s="31" t="s">
        <v>748</v>
      </c>
      <c r="Q27" s="29">
        <v>0</v>
      </c>
      <c r="R27" s="29">
        <f ca="1">ROUND(('TUSD BE'!$AM$48+'TUSD BF'!$AM$48+'TUSD CVA'!$AM$48)*(1-CUSTOS!$M$31),2)</f>
        <v>1013.88</v>
      </c>
      <c r="S27" s="29">
        <f>ROUND(('TE BE'!$AB$38+'TE BF'!$AB$38+'TE CVA'!$AB$38)*(1-CUSTOS!$M$31),2)</f>
        <v>203.38</v>
      </c>
      <c r="T27" s="29">
        <v>0</v>
      </c>
      <c r="U27" s="29">
        <f ca="1">ROUND('TUSD BE'!$AM$48*(1-CUSTOS!$M$31),2)</f>
        <v>1289.73</v>
      </c>
      <c r="V27" s="29">
        <f>ROUND('TE BE'!$AB$38*(1-CUSTOS!$M$31),2)</f>
        <v>207.14</v>
      </c>
    </row>
    <row r="28" spans="12:22" ht="11.25" customHeight="1" x14ac:dyDescent="0.25">
      <c r="L28" s="111"/>
      <c r="M28" s="111"/>
      <c r="N28" s="111"/>
      <c r="O28" s="111"/>
      <c r="P28" s="31" t="s">
        <v>756</v>
      </c>
      <c r="Q28" s="29">
        <v>0</v>
      </c>
      <c r="R28" s="29">
        <f ca="1">ROUND(('TUSD BE'!$AM$49+'TUSD BF'!$AM$49+'TUSD CVA'!$AM$49)*(1-CUSTOS!$M$31),2)</f>
        <v>661.18</v>
      </c>
      <c r="S28" s="29">
        <f>ROUND(('TE BE'!$AB$39+'TE BF'!$AB$39+'TE CVA'!$AB$39)*(1-CUSTOS!$M$31),2)</f>
        <v>203.38</v>
      </c>
      <c r="T28" s="29">
        <v>0</v>
      </c>
      <c r="U28" s="29">
        <f ca="1">ROUND('TUSD BE'!$AM$49*(1-CUSTOS!$M$31),2)</f>
        <v>826.27</v>
      </c>
      <c r="V28" s="29">
        <f>ROUND('TE BE'!$AB$39*(1-CUSTOS!$M$31),2)</f>
        <v>207.14</v>
      </c>
    </row>
    <row r="29" spans="12:22" ht="11.25" customHeight="1" x14ac:dyDescent="0.25">
      <c r="L29" s="111"/>
      <c r="M29" s="112"/>
      <c r="N29" s="112"/>
      <c r="O29" s="112"/>
      <c r="P29" s="31" t="s">
        <v>749</v>
      </c>
      <c r="Q29" s="29">
        <v>0</v>
      </c>
      <c r="R29" s="29">
        <f ca="1">ROUND(('TUSD BE'!$AM$50+'TUSD BF'!$AM$50+'TUSD CVA'!$AM$50)*(1-CUSTOS!$M$31),2)</f>
        <v>308.51</v>
      </c>
      <c r="S29" s="29">
        <f>ROUND(('TE BE'!$AB$40+'TE BF'!$AB$40+'TE CVA'!$AB$40)*(1-CUSTOS!$M$31),2)</f>
        <v>203.38</v>
      </c>
      <c r="T29" s="29">
        <v>0</v>
      </c>
      <c r="U29" s="29">
        <f ca="1">ROUND('TUSD BE'!$AM$50*(1-CUSTOS!$M$31),2)</f>
        <v>362.84</v>
      </c>
      <c r="V29" s="29">
        <f>ROUND('TE BE'!$AB$40*(1-CUSTOS!$M$31),2)</f>
        <v>207.14</v>
      </c>
    </row>
    <row r="30" spans="12:22" ht="11.25" customHeight="1" x14ac:dyDescent="0.25">
      <c r="L30" s="111"/>
      <c r="M30" s="31" t="s">
        <v>757</v>
      </c>
      <c r="N30" s="31" t="s">
        <v>751</v>
      </c>
      <c r="O30" s="31" t="s">
        <v>751</v>
      </c>
      <c r="P30" s="31" t="s">
        <v>751</v>
      </c>
      <c r="Q30" s="29">
        <v>0</v>
      </c>
      <c r="R30" s="29">
        <f ca="1">ROUND(('TUSD BE'!$AM$52+'TUSD BF'!$AM$52+'TUSD CVA'!$AM$52)*(1-CUSTOS!$M$31),2)</f>
        <v>387.74</v>
      </c>
      <c r="S30" s="29">
        <f>ROUND(('TE BE'!$AB$42+'TE BF'!$AB$42+'TE CVA'!$AB$42)*(1-CUSTOS!$M$31),2)</f>
        <v>203.38</v>
      </c>
      <c r="T30" s="29">
        <v>0</v>
      </c>
      <c r="U30" s="29">
        <f ca="1">ROUND(('TUSD BE'!$AM$52)*(1-CUSTOS!$M$31),2)</f>
        <v>466.95</v>
      </c>
      <c r="V30" s="29">
        <f>ROUND(('TE BE'!$AB$42)*(1-CUSTOS!$M$31),2)</f>
        <v>207.14</v>
      </c>
    </row>
    <row r="31" spans="12:22" ht="11.25" customHeight="1" x14ac:dyDescent="0.25">
      <c r="L31" s="112"/>
      <c r="M31" s="31" t="s">
        <v>759</v>
      </c>
      <c r="N31" s="31" t="s">
        <v>751</v>
      </c>
      <c r="O31" s="31" t="s">
        <v>751</v>
      </c>
      <c r="P31" s="31" t="s">
        <v>751</v>
      </c>
      <c r="Q31" s="29">
        <v>0</v>
      </c>
      <c r="R31" s="29">
        <f ca="1">ROUND(('TUSD BE'!$AM$51+'TUSD BF'!$AM$51+'TUSD CVA'!$AM$51)*(1-CUSTOS!$M$31),2)</f>
        <v>387.74</v>
      </c>
      <c r="S31" s="29">
        <f>ROUND(('TE BE'!$AB$41+'TE BF'!$AB$41+'TE CVA'!$AB$41)*(1-CUSTOS!$M$31),2)</f>
        <v>203.38</v>
      </c>
      <c r="T31" s="29">
        <v>0</v>
      </c>
      <c r="U31" s="29">
        <f ca="1">ROUND(('TUSD BE'!$AM$51)*(1-CUSTOS!$M$31),2)</f>
        <v>466.95</v>
      </c>
      <c r="V31" s="29">
        <f>ROUND(('TE BE'!$AB$41)*(1-CUSTOS!$M$31),2)</f>
        <v>207.14</v>
      </c>
    </row>
    <row r="32" spans="12:22" ht="11.25" customHeight="1" x14ac:dyDescent="0.25">
      <c r="L32" s="110" t="s">
        <v>43</v>
      </c>
      <c r="M32" s="110" t="s">
        <v>759</v>
      </c>
      <c r="N32" s="110" t="s">
        <v>764</v>
      </c>
      <c r="O32" s="31" t="s">
        <v>765</v>
      </c>
      <c r="P32" s="31" t="s">
        <v>751</v>
      </c>
      <c r="Q32" s="29">
        <v>0</v>
      </c>
      <c r="R32" s="29">
        <f ca="1">ROUND(('TUSD BE'!$AM$53+'TUSD BF'!$AM$53+'TUSD CVA'!$AM$53),2)</f>
        <v>213.26</v>
      </c>
      <c r="S32" s="29">
        <f>ROUND(('TE BE'!$AB$43+'TE BF'!$AB$43+'TE CVA'!$AB$43),2)</f>
        <v>111.86</v>
      </c>
      <c r="T32" s="29">
        <v>0</v>
      </c>
      <c r="U32" s="29">
        <f ca="1">ROUND(('TUSD BE'!$AM$53),2)</f>
        <v>256.82</v>
      </c>
      <c r="V32" s="29">
        <f>ROUND(('TE BE'!$AB$43),2)</f>
        <v>113.93</v>
      </c>
    </row>
    <row r="33" spans="12:22" ht="11.25" customHeight="1" x14ac:dyDescent="0.25">
      <c r="L33" s="112"/>
      <c r="M33" s="112"/>
      <c r="N33" s="112"/>
      <c r="O33" s="31" t="s">
        <v>766</v>
      </c>
      <c r="P33" s="31" t="s">
        <v>751</v>
      </c>
      <c r="Q33" s="29">
        <v>0</v>
      </c>
      <c r="R33" s="29">
        <f ca="1">ROUND(('TUSD BE'!$AM$54+'TUSD BF'!$AM$54+'TUSD CVA'!$AM$54),2)</f>
        <v>232.64</v>
      </c>
      <c r="S33" s="29">
        <f>ROUND(('TE BE'!$AB$44+'TE BF'!$AB$44+'TE CVA'!$AB$44),2)</f>
        <v>122.03</v>
      </c>
      <c r="T33" s="29">
        <v>0</v>
      </c>
      <c r="U33" s="29">
        <f ca="1">ROUND(('TUSD BE'!$AM$54),2)</f>
        <v>280.17</v>
      </c>
      <c r="V33" s="29">
        <f>ROUND(('TE BE'!$AB$44),2)</f>
        <v>124.28</v>
      </c>
    </row>
    <row r="34" spans="12:22" ht="11.25" customHeight="1" x14ac:dyDescent="0.25">
      <c r="L34" s="110" t="s">
        <v>92</v>
      </c>
      <c r="M34" s="110" t="s">
        <v>62</v>
      </c>
      <c r="N34" s="31" t="s">
        <v>93</v>
      </c>
      <c r="O34" s="31" t="s">
        <v>751</v>
      </c>
      <c r="P34" s="31" t="s">
        <v>751</v>
      </c>
      <c r="Q34" s="29">
        <f ca="1">ROUND(('TUSD BE'!$AM$18+'TUSD BF'!$AM$18+'TUSD CVA'!$AM$18),2)</f>
        <v>5.75</v>
      </c>
      <c r="R34" s="29">
        <v>0</v>
      </c>
      <c r="S34" s="29">
        <v>0</v>
      </c>
      <c r="T34" s="29">
        <f ca="1">ROUND(('TUSD BE'!$AM$18),2)</f>
        <v>8.34</v>
      </c>
      <c r="U34" s="29">
        <v>0</v>
      </c>
      <c r="V34" s="29">
        <v>0</v>
      </c>
    </row>
    <row r="35" spans="12:22" ht="11.25" customHeight="1" x14ac:dyDescent="0.25">
      <c r="L35" s="112"/>
      <c r="M35" s="112"/>
      <c r="N35" s="31" t="s">
        <v>94</v>
      </c>
      <c r="O35" s="31" t="s">
        <v>751</v>
      </c>
      <c r="P35" s="31" t="s">
        <v>751</v>
      </c>
      <c r="Q35" s="29">
        <f ca="1">ROUND(('TUSD BE'!$AM$19+'TUSD BF'!$AM$19+'TUSD CVA'!$AM$19),2)</f>
        <v>11.68</v>
      </c>
      <c r="R35" s="29">
        <v>0</v>
      </c>
      <c r="S35" s="29">
        <v>0</v>
      </c>
      <c r="T35" s="29">
        <f ca="1">ROUND(('TUSD BE'!$AM$19),2)</f>
        <v>16.95</v>
      </c>
      <c r="U35" s="29">
        <v>0</v>
      </c>
      <c r="V35" s="29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3F4-FD71-4683-8918-911B20C52AB9}">
  <sheetPr codeName="Planilha21"/>
  <dimension ref="A1:AN644"/>
  <sheetViews>
    <sheetView showGridLines="0" workbookViewId="0">
      <selection activeCell="A7" sqref="A7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3" style="3" bestFit="1" customWidth="1"/>
    <col min="8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.85546875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55" t="s">
        <v>8</v>
      </c>
      <c r="J1" s="30" t="s">
        <v>714</v>
      </c>
      <c r="K1" s="30" t="s">
        <v>715</v>
      </c>
      <c r="L1" s="30" t="s">
        <v>716</v>
      </c>
      <c r="M1" s="30" t="s">
        <v>717</v>
      </c>
      <c r="N1" s="30" t="s">
        <v>718</v>
      </c>
      <c r="O1" s="30" t="s">
        <v>719</v>
      </c>
      <c r="P1" s="7"/>
      <c r="Q1" s="108" t="s">
        <v>720</v>
      </c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L1" s="35" t="s">
        <v>741</v>
      </c>
      <c r="AM1" s="35" t="s">
        <v>69</v>
      </c>
      <c r="AN1" s="35" t="s">
        <v>742</v>
      </c>
    </row>
    <row r="2" spans="1:40" ht="11.25" customHeight="1" x14ac:dyDescent="0.2">
      <c r="A2" s="36" t="s">
        <v>21</v>
      </c>
      <c r="B2" s="36" t="s">
        <v>35</v>
      </c>
      <c r="C2" s="36" t="s">
        <v>48</v>
      </c>
      <c r="D2" s="36" t="s">
        <v>46</v>
      </c>
      <c r="E2" s="36" t="s">
        <v>47</v>
      </c>
      <c r="F2" s="36" t="s">
        <v>25</v>
      </c>
      <c r="G2" s="36" t="s">
        <v>25</v>
      </c>
      <c r="H2" s="36" t="s">
        <v>38</v>
      </c>
      <c r="I2" s="56">
        <v>44440</v>
      </c>
      <c r="J2" s="57">
        <f ca="1">EFEITO!$J2*('TUSD BE'!$AM$6+'TUSD BF'!$AM$6+'TUSD CVA'!$AM$6)</f>
        <v>2532.1217271449709</v>
      </c>
      <c r="K2" s="57">
        <f ca="1">EFEITO!$L2*('TUSD BE'!$AM$7+'TUSD BF'!$AM$7+'TUSD CVA'!$AM$7)</f>
        <v>6894.3107377211054</v>
      </c>
      <c r="L2" s="57">
        <f>EFEITO!$N2*('TE BE'!$AB$5+'TE BF'!$AB$5+'TE CVA'!$AB$5)</f>
        <v>13628.474183427939</v>
      </c>
      <c r="M2" s="57">
        <f ca="1">$J$2-EFEITO!$K$2*EFEITO!$Y$2</f>
        <v>75.963651814349305</v>
      </c>
      <c r="N2" s="57">
        <f ca="1">$K$2-EFEITO!$M$2*EFEITO!$Z$2</f>
        <v>206.82932213163349</v>
      </c>
      <c r="O2" s="57">
        <f>$L$2-EFEITO!$O$2*EFEITO!$AA$2</f>
        <v>408.85422550283874</v>
      </c>
      <c r="P2" s="40"/>
      <c r="Q2" s="28" t="s">
        <v>72</v>
      </c>
      <c r="R2" s="28" t="s">
        <v>722</v>
      </c>
      <c r="S2" s="28" t="s">
        <v>723</v>
      </c>
      <c r="T2" s="28" t="s">
        <v>724</v>
      </c>
      <c r="U2" s="28" t="s">
        <v>725</v>
      </c>
      <c r="V2" s="28" t="s">
        <v>726</v>
      </c>
      <c r="W2" s="28" t="s">
        <v>727</v>
      </c>
      <c r="X2" s="58" t="s">
        <v>728</v>
      </c>
      <c r="Y2" s="58" t="s">
        <v>729</v>
      </c>
      <c r="Z2" s="58" t="s">
        <v>730</v>
      </c>
      <c r="AA2" s="58" t="s">
        <v>731</v>
      </c>
      <c r="AB2" s="58" t="s">
        <v>732</v>
      </c>
      <c r="AC2" s="58" t="s">
        <v>733</v>
      </c>
      <c r="AD2" s="58" t="s">
        <v>734</v>
      </c>
      <c r="AE2" s="58" t="s">
        <v>735</v>
      </c>
      <c r="AF2" s="58" t="s">
        <v>736</v>
      </c>
      <c r="AG2" s="58" t="s">
        <v>737</v>
      </c>
      <c r="AH2" s="58" t="s">
        <v>738</v>
      </c>
      <c r="AI2" s="58" t="s">
        <v>739</v>
      </c>
      <c r="AJ2" s="58" t="s">
        <v>740</v>
      </c>
      <c r="AL2" s="36"/>
      <c r="AM2" s="36"/>
      <c r="AN2" s="36"/>
    </row>
    <row r="3" spans="1:40" ht="11.25" customHeight="1" x14ac:dyDescent="0.2">
      <c r="A3" s="36" t="s">
        <v>21</v>
      </c>
      <c r="B3" s="36" t="s">
        <v>35</v>
      </c>
      <c r="C3" s="36" t="s">
        <v>48</v>
      </c>
      <c r="D3" s="36" t="s">
        <v>46</v>
      </c>
      <c r="E3" s="36" t="s">
        <v>47</v>
      </c>
      <c r="F3" s="36" t="s">
        <v>25</v>
      </c>
      <c r="G3" s="36" t="s">
        <v>25</v>
      </c>
      <c r="H3" s="36" t="s">
        <v>38</v>
      </c>
      <c r="I3" s="56">
        <v>44470</v>
      </c>
      <c r="J3" s="57">
        <f ca="1">EFEITO!$J3*('TUSD BE'!$AM$6+'TUSD BF'!$AM$6+'TUSD CVA'!$AM$6)</f>
        <v>2532.1217271449709</v>
      </c>
      <c r="K3" s="57">
        <f ca="1">EFEITO!$L3*('TUSD BE'!$AM$7+'TUSD BF'!$AM$7+'TUSD CVA'!$AM$7)</f>
        <v>6938.243204777873</v>
      </c>
      <c r="L3" s="57">
        <f>EFEITO!$N3*('TE BE'!$AB$5+'TE BF'!$AB$5+'TE CVA'!$AB$5)</f>
        <v>13715.318614419653</v>
      </c>
      <c r="M3" s="57">
        <f ca="1">$J$3-EFEITO!$K$3*EFEITO!$Y$3</f>
        <v>75.963651814349305</v>
      </c>
      <c r="N3" s="57">
        <f ca="1">$K$3-EFEITO!$M$3*EFEITO!$Z$3</f>
        <v>208.14729614333555</v>
      </c>
      <c r="O3" s="57">
        <f>$L$3-EFEITO!$O$3*EFEITO!$AA$3</f>
        <v>411.45955843259071</v>
      </c>
      <c r="P3" s="40"/>
      <c r="Q3" s="57" t="s">
        <v>721</v>
      </c>
      <c r="R3" s="57">
        <f>SUMIF($B$2:$B$644,$Q$3,$J$2:$J$644)</f>
        <v>0</v>
      </c>
      <c r="S3" s="57">
        <f>SUMIF($B$2:$B$644,$Q$3,$K$2:$K$644)</f>
        <v>0</v>
      </c>
      <c r="T3" s="57">
        <f>SUMIF($B$2:$B$644,$Q$3,$L$2:$L$644)</f>
        <v>0</v>
      </c>
      <c r="U3" s="57">
        <f>SUMIF($B$2:$B$644,$Q$3,$M$2:$M$644)</f>
        <v>0</v>
      </c>
      <c r="V3" s="57">
        <f>SUMIF($B$2:$B$644,$Q$3,$N$2:$N$644)</f>
        <v>0</v>
      </c>
      <c r="W3" s="57">
        <f>SUMIF($B$2:$B$644,$Q$3,$O$2:$O$644)</f>
        <v>0</v>
      </c>
      <c r="X3" s="37">
        <f>$R$3-$U$3</f>
        <v>0</v>
      </c>
      <c r="Y3" s="37">
        <f>$S$3-$V$3</f>
        <v>0</v>
      </c>
      <c r="Z3" s="37">
        <f>$T$3-$W$3</f>
        <v>0</v>
      </c>
      <c r="AA3" s="37">
        <f>SUMIF(EFEITO!$B$2:$B$644,$Q$3,EFEITO!$AE$2:$AE$644)</f>
        <v>0</v>
      </c>
      <c r="AB3" s="37">
        <f>SUMIF(EFEITO!$B$2:$B$644,$Q$3,EFEITO!$AF$2:$AF$644)</f>
        <v>0</v>
      </c>
      <c r="AC3" s="37">
        <f>SUMIF(EFEITO!$B$2:$B$644,$Q$3,EFEITO!$AG$2:$AH$644)</f>
        <v>0</v>
      </c>
      <c r="AD3" s="37">
        <f>SUMIF(SUBSIDIO!$B$2:$B$644,$Q$3,SUBSIDIO!$AD$2:$AD$644)</f>
        <v>0</v>
      </c>
      <c r="AE3" s="37">
        <f>SUMIF(SUBSIDIO!$B$2:$B$644,$Q$3,SUBSIDIO!$AE$2:$AE$644)</f>
        <v>0</v>
      </c>
      <c r="AF3" s="37" t="str">
        <f>IF(ABS($X$3-$AA$3)&lt;0.01,"OK","ERRO")</f>
        <v>OK</v>
      </c>
      <c r="AG3" s="37" t="str">
        <f>IF(ABS($Y$3-$AB$3)&lt;0.01,"OK","ERRO")</f>
        <v>OK</v>
      </c>
      <c r="AH3" s="37" t="str">
        <f>IF(ABS($Z$3-$AC$3)&lt;0.01,"OK","ERRO")</f>
        <v>OK</v>
      </c>
      <c r="AI3" s="37" t="str">
        <f>IF(ABS($U$3-$AD$3)&lt;0.01,"OK","ERRO")</f>
        <v>OK</v>
      </c>
      <c r="AJ3" s="37" t="str">
        <f>IF(ABS(($V$3+$W$3)-$AE$3)&lt;0.01,"OK","ERRO")</f>
        <v>OK</v>
      </c>
    </row>
    <row r="4" spans="1:40" ht="11.25" customHeight="1" x14ac:dyDescent="0.2">
      <c r="A4" s="36" t="s">
        <v>21</v>
      </c>
      <c r="B4" s="36" t="s">
        <v>35</v>
      </c>
      <c r="C4" s="36" t="s">
        <v>48</v>
      </c>
      <c r="D4" s="36" t="s">
        <v>46</v>
      </c>
      <c r="E4" s="36" t="s">
        <v>47</v>
      </c>
      <c r="F4" s="36" t="s">
        <v>25</v>
      </c>
      <c r="G4" s="36" t="s">
        <v>25</v>
      </c>
      <c r="H4" s="36" t="s">
        <v>38</v>
      </c>
      <c r="I4" s="56">
        <v>44501</v>
      </c>
      <c r="J4" s="57">
        <f ca="1">EFEITO!$J4*('TUSD BE'!$AM$6+'TUSD BF'!$AM$6+'TUSD CVA'!$AM$6)</f>
        <v>2574.6783948280799</v>
      </c>
      <c r="K4" s="57">
        <f ca="1">EFEITO!$L4*('TUSD BE'!$AM$7+'TUSD BF'!$AM$7+'TUSD CVA'!$AM$7)</f>
        <v>6815.4998015021738</v>
      </c>
      <c r="L4" s="57">
        <f>EFEITO!$N4*('TE BE'!$AB$5+'TE BF'!$AB$5+'TE CVA'!$AB$5)</f>
        <v>13472.683002773014</v>
      </c>
      <c r="M4" s="57">
        <f ca="1">$J$4-EFEITO!$K$4*EFEITO!$Y$4</f>
        <v>77.240351844842735</v>
      </c>
      <c r="N4" s="57">
        <f ca="1">$K$4-EFEITO!$M$4*EFEITO!$Z$4</f>
        <v>204.4649940450654</v>
      </c>
      <c r="O4" s="57">
        <f>$L$4-EFEITO!$O$4*EFEITO!$AA$4</f>
        <v>404.18049008319213</v>
      </c>
      <c r="P4" s="40"/>
      <c r="Q4" s="57" t="s">
        <v>597</v>
      </c>
      <c r="R4" s="57">
        <f>SUMIF($B$2:$B$644,$Q$4,$J$2:$J$644)</f>
        <v>0</v>
      </c>
      <c r="S4" s="57">
        <f>SUMIF($B$2:$B$644,$Q$4,$K$2:$K$644)</f>
        <v>0</v>
      </c>
      <c r="T4" s="57">
        <f>SUMIF($B$2:$B$644,$Q$4,$L$2:$L$644)</f>
        <v>0</v>
      </c>
      <c r="U4" s="57">
        <f>SUMIF($B$2:$B$644,$Q$4,$M$2:$M$644)</f>
        <v>0</v>
      </c>
      <c r="V4" s="57">
        <f>SUMIF($B$2:$B$644,$Q$4,$N$2:$N$644)</f>
        <v>0</v>
      </c>
      <c r="W4" s="57">
        <f>SUMIF($B$2:$B$644,$Q$4,$O$2:$O$644)</f>
        <v>0</v>
      </c>
      <c r="X4" s="37">
        <f>$R$4-$U$4</f>
        <v>0</v>
      </c>
      <c r="Y4" s="37">
        <f>$S$4-$V$4</f>
        <v>0</v>
      </c>
      <c r="Z4" s="37">
        <f>$T$4-$W$4</f>
        <v>0</v>
      </c>
      <c r="AA4" s="37">
        <f>SUMIF(EFEITO!$B$2:$B$644,$Q$4,EFEITO!$AE$2:$AE$644)</f>
        <v>0</v>
      </c>
      <c r="AB4" s="37">
        <f>SUMIF(EFEITO!$B$2:$B$644,$Q$4,EFEITO!$AF$2:$AF$644)</f>
        <v>0</v>
      </c>
      <c r="AC4" s="37">
        <f>SUMIF(EFEITO!$B$2:$B$644,$Q$4,EFEITO!$AG$2:$AH$644)</f>
        <v>0</v>
      </c>
      <c r="AD4" s="37">
        <f>SUMIF(SUBSIDIO!$B$2:$B$644,$Q$4,SUBSIDIO!$AD$2:$AD$644)</f>
        <v>0</v>
      </c>
      <c r="AE4" s="37">
        <f>SUMIF(SUBSIDIO!$B$2:$B$644,$Q$4,SUBSIDIO!$AE$2:$AE$644)</f>
        <v>0</v>
      </c>
      <c r="AF4" s="37" t="str">
        <f>IF(ABS($X$4-$AA$4)&lt;0.01,"OK","ERRO")</f>
        <v>OK</v>
      </c>
      <c r="AG4" s="37" t="str">
        <f>IF(ABS($Y$4-$AB$4)&lt;0.01,"OK","ERRO")</f>
        <v>OK</v>
      </c>
      <c r="AH4" s="37" t="str">
        <f>IF(ABS($Z$4-$AC$4)&lt;0.01,"OK","ERRO")</f>
        <v>OK</v>
      </c>
      <c r="AI4" s="37" t="str">
        <f>IF(ABS($U$4-$AD$4)&lt;0.01,"OK","ERRO")</f>
        <v>OK</v>
      </c>
      <c r="AJ4" s="37" t="str">
        <f>IF(ABS(($V$4+$W$4)-$AE$4)&lt;0.01,"OK","ERRO")</f>
        <v>OK</v>
      </c>
    </row>
    <row r="5" spans="1:40" ht="11.25" customHeight="1" x14ac:dyDescent="0.2">
      <c r="A5" s="36" t="s">
        <v>21</v>
      </c>
      <c r="B5" s="36" t="s">
        <v>35</v>
      </c>
      <c r="C5" s="36" t="s">
        <v>48</v>
      </c>
      <c r="D5" s="36" t="s">
        <v>46</v>
      </c>
      <c r="E5" s="36" t="s">
        <v>47</v>
      </c>
      <c r="F5" s="36" t="s">
        <v>25</v>
      </c>
      <c r="G5" s="36" t="s">
        <v>25</v>
      </c>
      <c r="H5" s="36" t="s">
        <v>38</v>
      </c>
      <c r="I5" s="56">
        <v>44531</v>
      </c>
      <c r="J5" s="57">
        <f ca="1">EFEITO!$J5*('TUSD BE'!$AM$6+'TUSD BF'!$AM$6+'TUSD CVA'!$AM$6)</f>
        <v>2532.1217271449709</v>
      </c>
      <c r="K5" s="57">
        <f ca="1">EFEITO!$L5*('TUSD BE'!$AM$7+'TUSD BF'!$AM$7+'TUSD CVA'!$AM$7)</f>
        <v>6940.9182496103695</v>
      </c>
      <c r="L5" s="57">
        <f>EFEITO!$N5*('TE BE'!$AB$5+'TE BF'!$AB$5+'TE CVA'!$AB$5)</f>
        <v>13720.606565721257</v>
      </c>
      <c r="M5" s="57">
        <f ca="1">$J$5-EFEITO!$K$5*EFEITO!$Y$5</f>
        <v>75.963651814349305</v>
      </c>
      <c r="N5" s="57">
        <f ca="1">$K$5-EFEITO!$M$5*EFEITO!$Z$5</f>
        <v>208.22754748831085</v>
      </c>
      <c r="O5" s="57">
        <f>$L$5-EFEITO!$O$5*EFEITO!$AA$5</f>
        <v>411.6181969716381</v>
      </c>
      <c r="P5" s="40"/>
      <c r="Q5" s="57" t="s">
        <v>598</v>
      </c>
      <c r="R5" s="57">
        <f>SUMIF($B$2:$B$644,$Q$5,$J$2:$J$644)</f>
        <v>0</v>
      </c>
      <c r="S5" s="57">
        <f>SUMIF($B$2:$B$644,$Q$5,$K$2:$K$644)</f>
        <v>0</v>
      </c>
      <c r="T5" s="57">
        <f>SUMIF($B$2:$B$644,$Q$5,$L$2:$L$644)</f>
        <v>0</v>
      </c>
      <c r="U5" s="57">
        <f>SUMIF($B$2:$B$644,$Q$5,$M$2:$M$644)</f>
        <v>0</v>
      </c>
      <c r="V5" s="57">
        <f>SUMIF($B$2:$B$644,$Q$5,$N$2:$N$644)</f>
        <v>0</v>
      </c>
      <c r="W5" s="57">
        <f>SUMIF($B$2:$B$644,$Q$5,$O$2:$O$644)</f>
        <v>0</v>
      </c>
      <c r="X5" s="37">
        <f>$R$5-$U$5</f>
        <v>0</v>
      </c>
      <c r="Y5" s="37">
        <f>$S$5-$V$5</f>
        <v>0</v>
      </c>
      <c r="Z5" s="37">
        <f>$T$5-$W$5</f>
        <v>0</v>
      </c>
      <c r="AA5" s="37">
        <f>SUMIF(EFEITO!$B$2:$B$644,$Q$5,EFEITO!$AE$2:$AE$644)</f>
        <v>0</v>
      </c>
      <c r="AB5" s="37">
        <f>SUMIF(EFEITO!$B$2:$B$644,$Q$5,EFEITO!$AF$2:$AF$644)</f>
        <v>0</v>
      </c>
      <c r="AC5" s="37">
        <f>SUMIF(EFEITO!$B$2:$B$644,$Q$5,EFEITO!$AG$2:$AH$644)</f>
        <v>0</v>
      </c>
      <c r="AD5" s="37">
        <f>SUMIF(SUBSIDIO!$B$2:$B$644,$Q$5,SUBSIDIO!$AD$2:$AD$644)</f>
        <v>0</v>
      </c>
      <c r="AE5" s="37">
        <f>SUMIF(SUBSIDIO!$B$2:$B$644,$Q$5,SUBSIDIO!$AE$2:$AE$644)</f>
        <v>0</v>
      </c>
      <c r="AF5" s="37" t="str">
        <f>IF(ABS($X$5-$AA$5)&lt;0.01,"OK","ERRO")</f>
        <v>OK</v>
      </c>
      <c r="AG5" s="37" t="str">
        <f>IF(ABS($Y$5-$AB$5)&lt;0.01,"OK","ERRO")</f>
        <v>OK</v>
      </c>
      <c r="AH5" s="37" t="str">
        <f>IF(ABS($Z$5-$AC$5)&lt;0.01,"OK","ERRO")</f>
        <v>OK</v>
      </c>
      <c r="AI5" s="37" t="str">
        <f>IF(ABS($U$5-$AD$5)&lt;0.01,"OK","ERRO")</f>
        <v>OK</v>
      </c>
      <c r="AJ5" s="37" t="str">
        <f>IF(ABS(($V$5+$W$5)-$AE$5)&lt;0.01,"OK","ERRO")</f>
        <v>OK</v>
      </c>
    </row>
    <row r="6" spans="1:40" ht="11.25" customHeight="1" x14ac:dyDescent="0.2">
      <c r="A6" s="36" t="s">
        <v>21</v>
      </c>
      <c r="B6" s="36" t="s">
        <v>35</v>
      </c>
      <c r="C6" s="36" t="s">
        <v>48</v>
      </c>
      <c r="D6" s="36" t="s">
        <v>46</v>
      </c>
      <c r="E6" s="36" t="s">
        <v>47</v>
      </c>
      <c r="F6" s="36" t="s">
        <v>25</v>
      </c>
      <c r="G6" s="36" t="s">
        <v>25</v>
      </c>
      <c r="H6" s="36" t="s">
        <v>38</v>
      </c>
      <c r="I6" s="56">
        <v>44562</v>
      </c>
      <c r="J6" s="57">
        <f ca="1">EFEITO!$J6*('TUSD BE'!$AM$6+'TUSD BF'!$AM$6+'TUSD CVA'!$AM$6)</f>
        <v>2617.2350625111885</v>
      </c>
      <c r="K6" s="57">
        <f ca="1">EFEITO!$L6*('TUSD BE'!$AM$7+'TUSD BF'!$AM$7+'TUSD CVA'!$AM$7)</f>
        <v>7376.0245802498739</v>
      </c>
      <c r="L6" s="57">
        <f>EFEITO!$N6*('TE BE'!$AB$5+'TE BF'!$AB$5+'TE CVA'!$AB$5)</f>
        <v>14580.712183201247</v>
      </c>
      <c r="M6" s="57">
        <f ca="1">$J$6-EFEITO!$K$6*EFEITO!$Y$6</f>
        <v>78.51705187533571</v>
      </c>
      <c r="N6" s="57">
        <f ca="1">$K$6-EFEITO!$M$6*EFEITO!$Z$6</f>
        <v>221.28073740749642</v>
      </c>
      <c r="O6" s="57">
        <f>$L$6-EFEITO!$O$6*EFEITO!$AA$6</f>
        <v>437.42136549603856</v>
      </c>
      <c r="P6" s="40"/>
      <c r="Q6" s="57" t="s">
        <v>599</v>
      </c>
      <c r="R6" s="57">
        <f>SUMIF($B$2:$B$644,$Q$6,$J$2:$J$644)</f>
        <v>0</v>
      </c>
      <c r="S6" s="57">
        <f>SUMIF($B$2:$B$644,$Q$6,$K$2:$K$644)</f>
        <v>0</v>
      </c>
      <c r="T6" s="57">
        <f>SUMIF($B$2:$B$644,$Q$6,$L$2:$L$644)</f>
        <v>0</v>
      </c>
      <c r="U6" s="57">
        <f>SUMIF($B$2:$B$644,$Q$6,$M$2:$M$644)</f>
        <v>0</v>
      </c>
      <c r="V6" s="57">
        <f>SUMIF($B$2:$B$644,$Q$6,$N$2:$N$644)</f>
        <v>0</v>
      </c>
      <c r="W6" s="57">
        <f>SUMIF($B$2:$B$644,$Q$6,$O$2:$O$644)</f>
        <v>0</v>
      </c>
      <c r="X6" s="37">
        <f>$R$6-$U$6</f>
        <v>0</v>
      </c>
      <c r="Y6" s="37">
        <f>$S$6-$V$6</f>
        <v>0</v>
      </c>
      <c r="Z6" s="37">
        <f>$T$6-$W$6</f>
        <v>0</v>
      </c>
      <c r="AA6" s="37">
        <f>SUMIF(EFEITO!$B$2:$B$644,$Q$6,EFEITO!$AE$2:$AE$644)</f>
        <v>0</v>
      </c>
      <c r="AB6" s="37">
        <f>SUMIF(EFEITO!$B$2:$B$644,$Q$6,EFEITO!$AF$2:$AF$644)</f>
        <v>0</v>
      </c>
      <c r="AC6" s="37">
        <f>SUMIF(EFEITO!$B$2:$B$644,$Q$6,EFEITO!$AG$2:$AH$644)</f>
        <v>0</v>
      </c>
      <c r="AD6" s="37">
        <f>SUMIF(SUBSIDIO!$B$2:$B$644,$Q$6,SUBSIDIO!$AD$2:$AD$644)</f>
        <v>0</v>
      </c>
      <c r="AE6" s="37">
        <f>SUMIF(SUBSIDIO!$B$2:$B$644,$Q$6,SUBSIDIO!$AE$2:$AE$644)</f>
        <v>0</v>
      </c>
      <c r="AF6" s="37" t="str">
        <f>IF(ABS($X$6-$AA$6)&lt;0.01,"OK","ERRO")</f>
        <v>OK</v>
      </c>
      <c r="AG6" s="37" t="str">
        <f>IF(ABS($Y$6-$AB$6)&lt;0.01,"OK","ERRO")</f>
        <v>OK</v>
      </c>
      <c r="AH6" s="37" t="str">
        <f>IF(ABS($Z$6-$AC$6)&lt;0.01,"OK","ERRO")</f>
        <v>OK</v>
      </c>
      <c r="AI6" s="37" t="str">
        <f>IF(ABS($U$6-$AD$6)&lt;0.01,"OK","ERRO")</f>
        <v>OK</v>
      </c>
      <c r="AJ6" s="37" t="str">
        <f>IF(ABS(($V$6+$W$6)-$AE$6)&lt;0.01,"OK","ERRO")</f>
        <v>OK</v>
      </c>
    </row>
    <row r="7" spans="1:40" ht="11.25" customHeight="1" x14ac:dyDescent="0.2">
      <c r="A7" s="36" t="s">
        <v>21</v>
      </c>
      <c r="B7" s="36" t="s">
        <v>35</v>
      </c>
      <c r="C7" s="36" t="s">
        <v>48</v>
      </c>
      <c r="D7" s="36" t="s">
        <v>46</v>
      </c>
      <c r="E7" s="36" t="s">
        <v>47</v>
      </c>
      <c r="F7" s="36" t="s">
        <v>25</v>
      </c>
      <c r="G7" s="36" t="s">
        <v>25</v>
      </c>
      <c r="H7" s="36" t="s">
        <v>38</v>
      </c>
      <c r="I7" s="56">
        <v>44593</v>
      </c>
      <c r="J7" s="57">
        <f ca="1">EFEITO!$J7*('TUSD BE'!$AM$6+'TUSD BF'!$AM$6+'TUSD CVA'!$AM$6)</f>
        <v>2617.2350625111885</v>
      </c>
      <c r="K7" s="57">
        <f ca="1">EFEITO!$L7*('TUSD BE'!$AM$7+'TUSD BF'!$AM$7+'TUSD CVA'!$AM$7)</f>
        <v>6636.5804567440528</v>
      </c>
      <c r="L7" s="57">
        <f>EFEITO!$N7*('TE BE'!$AB$5+'TE BF'!$AB$5+'TE CVA'!$AB$5)</f>
        <v>13119.000413792712</v>
      </c>
      <c r="M7" s="57">
        <f ca="1">$J$7-EFEITO!$K$7*EFEITO!$Y$7</f>
        <v>78.51705187533571</v>
      </c>
      <c r="N7" s="57">
        <f ca="1">$K$7-EFEITO!$M$7*EFEITO!$Z$7</f>
        <v>199.09741370232132</v>
      </c>
      <c r="O7" s="57">
        <f>$L$7-EFEITO!$O$7*EFEITO!$AA$7</f>
        <v>393.57001241378202</v>
      </c>
      <c r="P7" s="40"/>
      <c r="Q7" s="57" t="s">
        <v>35</v>
      </c>
      <c r="R7" s="57">
        <f ca="1">SUMIF($B$2:$B$644,$Q$7,$J$2:$J$644)</f>
        <v>6613810.9599040784</v>
      </c>
      <c r="S7" s="57">
        <f ca="1">SUMIF($B$2:$B$644,$Q$7,$K$2:$K$644)</f>
        <v>9937722.720401952</v>
      </c>
      <c r="T7" s="57">
        <f>SUMIF($B$2:$B$644,$Q$7,$L$2:$L$644)</f>
        <v>12265046.401259661</v>
      </c>
      <c r="U7" s="57">
        <f ca="1">SUMIF($B$2:$B$644,$Q$7,$M$2:$M$644)</f>
        <v>92392.712635487944</v>
      </c>
      <c r="V7" s="57">
        <f ca="1">SUMIF($B$2:$B$644,$Q$7,$N$2:$N$644)</f>
        <v>5361.1814273457176</v>
      </c>
      <c r="W7" s="57">
        <f>SUMIF($B$2:$B$644,$Q$7,$O$2:$O$644)</f>
        <v>7497.367182093858</v>
      </c>
      <c r="X7" s="37">
        <f ca="1">$R$7-$U$7</f>
        <v>6521418.2472685901</v>
      </c>
      <c r="Y7" s="37">
        <f ca="1">$S$7-$V$7</f>
        <v>9932361.5389746055</v>
      </c>
      <c r="Z7" s="37">
        <f>$T$7-$W$7</f>
        <v>12257549.034077566</v>
      </c>
      <c r="AA7" s="37">
        <f ca="1">SUMIF(EFEITO!$B$2:$B$644,$Q$7,EFEITO!$AE$2:$AE$644)</f>
        <v>6521418.2472685836</v>
      </c>
      <c r="AB7" s="37">
        <f ca="1">SUMIF(EFEITO!$B$2:$B$644,$Q$7,EFEITO!$AF$2:$AF$644)</f>
        <v>9932361.5389746092</v>
      </c>
      <c r="AC7" s="37">
        <f>SUMIF(EFEITO!$B$2:$B$644,$Q$7,EFEITO!$AG$2:$AH$644)</f>
        <v>12257549.034077564</v>
      </c>
      <c r="AD7" s="37">
        <f ca="1">SUMIF(SUBSIDIO!$B$2:$B$644,$Q$7,SUBSIDIO!$AD$2:$AD$644)</f>
        <v>92392.712635487929</v>
      </c>
      <c r="AE7" s="37">
        <f ca="1">SUMIF(SUBSIDIO!$B$2:$B$644,$Q$7,SUBSIDIO!$AE$2:$AE$644)</f>
        <v>12858.548609439558</v>
      </c>
      <c r="AF7" s="37" t="str">
        <f ca="1">IF(ABS($X$7-$AA$7)&lt;0.01,"OK","ERRO")</f>
        <v>OK</v>
      </c>
      <c r="AG7" s="37" t="str">
        <f ca="1">IF(ABS($Y$7-$AB$7)&lt;0.01,"OK","ERRO")</f>
        <v>OK</v>
      </c>
      <c r="AH7" s="37" t="str">
        <f>IF(ABS($Z$7-$AC$7)&lt;0.01,"OK","ERRO")</f>
        <v>OK</v>
      </c>
      <c r="AI7" s="37" t="str">
        <f ca="1">IF(ABS($U$7-$AD$7)&lt;0.01,"OK","ERRO")</f>
        <v>OK</v>
      </c>
      <c r="AJ7" s="37" t="str">
        <f ca="1">IF(ABS(($V$7+$W$7)-$AE$7)&lt;0.01,"OK","ERRO")</f>
        <v>OK</v>
      </c>
    </row>
    <row r="8" spans="1:40" ht="11.25" customHeight="1" x14ac:dyDescent="0.2">
      <c r="A8" s="36" t="s">
        <v>21</v>
      </c>
      <c r="B8" s="36" t="s">
        <v>35</v>
      </c>
      <c r="C8" s="36" t="s">
        <v>48</v>
      </c>
      <c r="D8" s="36" t="s">
        <v>46</v>
      </c>
      <c r="E8" s="36" t="s">
        <v>47</v>
      </c>
      <c r="F8" s="36" t="s">
        <v>25</v>
      </c>
      <c r="G8" s="36" t="s">
        <v>25</v>
      </c>
      <c r="H8" s="36" t="s">
        <v>38</v>
      </c>
      <c r="I8" s="56">
        <v>44621</v>
      </c>
      <c r="J8" s="57">
        <f ca="1">EFEITO!$J8*('TUSD BE'!$AM$6+'TUSD BF'!$AM$6+'TUSD CVA'!$AM$6)</f>
        <v>2574.6783948280799</v>
      </c>
      <c r="K8" s="57">
        <f ca="1">EFEITO!$L8*('TUSD BE'!$AM$7+'TUSD BF'!$AM$7+'TUSD CVA'!$AM$7)</f>
        <v>7071.9954464026914</v>
      </c>
      <c r="L8" s="57">
        <f>EFEITO!$N8*('TE BE'!$AB$5+'TE BF'!$AB$5+'TE CVA'!$AB$5)</f>
        <v>13979.716179499812</v>
      </c>
      <c r="M8" s="57">
        <f ca="1">$J$8-EFEITO!$K$8*EFEITO!$Y$8</f>
        <v>77.240351844842735</v>
      </c>
      <c r="N8" s="57">
        <f ca="1">$K$8-EFEITO!$M$8*EFEITO!$Z$8</f>
        <v>212.15986339208121</v>
      </c>
      <c r="O8" s="57">
        <f>$L$8-EFEITO!$O$8*EFEITO!$AA$8</f>
        <v>419.39148538499649</v>
      </c>
      <c r="P8" s="40"/>
      <c r="Q8" s="57" t="s">
        <v>600</v>
      </c>
      <c r="R8" s="57">
        <f>SUMIF($B$2:$B$644,$Q$8,$J$2:$J$644)</f>
        <v>0</v>
      </c>
      <c r="S8" s="57">
        <f>SUMIF($B$2:$B$644,$Q$8,$K$2:$K$644)</f>
        <v>0</v>
      </c>
      <c r="T8" s="57">
        <f>SUMIF($B$2:$B$644,$Q$8,$L$2:$L$644)</f>
        <v>0</v>
      </c>
      <c r="U8" s="57">
        <f>SUMIF($B$2:$B$644,$Q$8,$M$2:$M$644)</f>
        <v>0</v>
      </c>
      <c r="V8" s="57">
        <f>SUMIF($B$2:$B$644,$Q$8,$N$2:$N$644)</f>
        <v>0</v>
      </c>
      <c r="W8" s="57">
        <f>SUMIF($B$2:$B$644,$Q$8,$O$2:$O$644)</f>
        <v>0</v>
      </c>
      <c r="X8" s="37">
        <f>$R$8-$U$8</f>
        <v>0</v>
      </c>
      <c r="Y8" s="37">
        <f>$S$8-$V$8</f>
        <v>0</v>
      </c>
      <c r="Z8" s="37">
        <f>$T$8-$W$8</f>
        <v>0</v>
      </c>
      <c r="AA8" s="37">
        <f>SUMIF(EFEITO!$B$2:$B$644,$Q$8,EFEITO!$AE$2:$AE$644)</f>
        <v>0</v>
      </c>
      <c r="AB8" s="37">
        <f>SUMIF(EFEITO!$B$2:$B$644,$Q$8,EFEITO!$AF$2:$AF$644)</f>
        <v>0</v>
      </c>
      <c r="AC8" s="37">
        <f>SUMIF(EFEITO!$B$2:$B$644,$Q$8,EFEITO!$AG$2:$AH$644)</f>
        <v>0</v>
      </c>
      <c r="AD8" s="37">
        <f>SUMIF(SUBSIDIO!$B$2:$B$644,$Q$8,SUBSIDIO!$AD$2:$AD$644)</f>
        <v>0</v>
      </c>
      <c r="AE8" s="37">
        <f>SUMIF(SUBSIDIO!$B$2:$B$644,$Q$8,SUBSIDIO!$AE$2:$AE$644)</f>
        <v>0</v>
      </c>
      <c r="AF8" s="37" t="str">
        <f>IF(ABS($X$8-$AA$8)&lt;0.01,"OK","ERRO")</f>
        <v>OK</v>
      </c>
      <c r="AG8" s="37" t="str">
        <f>IF(ABS($Y$8-$AB$8)&lt;0.01,"OK","ERRO")</f>
        <v>OK</v>
      </c>
      <c r="AH8" s="37" t="str">
        <f>IF(ABS($Z$8-$AC$8)&lt;0.01,"OK","ERRO")</f>
        <v>OK</v>
      </c>
      <c r="AI8" s="37" t="str">
        <f>IF(ABS($U$8-$AD$8)&lt;0.01,"OK","ERRO")</f>
        <v>OK</v>
      </c>
      <c r="AJ8" s="37" t="str">
        <f>IF(ABS(($V$8+$W$8)-$AE$8)&lt;0.01,"OK","ERRO")</f>
        <v>OK</v>
      </c>
    </row>
    <row r="9" spans="1:40" ht="11.25" customHeight="1" x14ac:dyDescent="0.2">
      <c r="A9" s="36" t="s">
        <v>21</v>
      </c>
      <c r="B9" s="36" t="s">
        <v>35</v>
      </c>
      <c r="C9" s="36" t="s">
        <v>48</v>
      </c>
      <c r="D9" s="36" t="s">
        <v>46</v>
      </c>
      <c r="E9" s="36" t="s">
        <v>47</v>
      </c>
      <c r="F9" s="36" t="s">
        <v>25</v>
      </c>
      <c r="G9" s="36" t="s">
        <v>25</v>
      </c>
      <c r="H9" s="36" t="s">
        <v>38</v>
      </c>
      <c r="I9" s="56">
        <v>44652</v>
      </c>
      <c r="J9" s="57">
        <f ca="1">EFEITO!$J9*('TUSD BE'!$AM$6+'TUSD BF'!$AM$6+'TUSD CVA'!$AM$6)</f>
        <v>2532.1217271449709</v>
      </c>
      <c r="K9" s="57">
        <f ca="1">EFEITO!$L9*('TUSD BE'!$AM$7+'TUSD BF'!$AM$7+'TUSD CVA'!$AM$7)</f>
        <v>7152.2467913775818</v>
      </c>
      <c r="L9" s="57">
        <f>EFEITO!$N9*('TE BE'!$AB$5+'TE BF'!$AB$5+'TE CVA'!$AB$5)</f>
        <v>14138.354718547906</v>
      </c>
      <c r="M9" s="57">
        <f ca="1">$J$9-EFEITO!$K$9*EFEITO!$Y$9</f>
        <v>75.963651814349305</v>
      </c>
      <c r="N9" s="57">
        <f ca="1">$K$9-EFEITO!$M$9*EFEITO!$Z$9</f>
        <v>214.56740374132733</v>
      </c>
      <c r="O9" s="57">
        <f>$L$9-EFEITO!$O$9*EFEITO!$AA$9</f>
        <v>424.15064155643631</v>
      </c>
      <c r="P9" s="40"/>
      <c r="Q9" s="57" t="s">
        <v>22</v>
      </c>
      <c r="R9" s="57">
        <f>SUMIF($B$2:$B$644,$Q$9,$J$2:$J$644)</f>
        <v>0</v>
      </c>
      <c r="S9" s="57">
        <f ca="1">SUMIF($B$2:$B$644,$Q$9,$K$2:$K$644)</f>
        <v>13407133.334743101</v>
      </c>
      <c r="T9" s="57">
        <f>SUMIF($B$2:$B$644,$Q$9,$L$2:$L$644)</f>
        <v>7108368.8069630396</v>
      </c>
      <c r="U9" s="57">
        <f>SUMIF($B$2:$B$644,$Q$9,$M$2:$M$644)</f>
        <v>0</v>
      </c>
      <c r="V9" s="57">
        <f ca="1">SUMIF($B$2:$B$644,$Q$9,$N$2:$N$644)</f>
        <v>87546.90790639224</v>
      </c>
      <c r="W9" s="57">
        <f>SUMIF($B$2:$B$644,$Q$9,$O$2:$O$644)</f>
        <v>63634.554121803187</v>
      </c>
      <c r="X9" s="37">
        <f>$R$9-$U$9</f>
        <v>0</v>
      </c>
      <c r="Y9" s="37">
        <f ca="1">$S$9-$V$9</f>
        <v>13319586.426836709</v>
      </c>
      <c r="Z9" s="37">
        <f>$T$9-$W$9</f>
        <v>7044734.2528412361</v>
      </c>
      <c r="AA9" s="37">
        <f>SUMIF(EFEITO!$B$2:$B$644,$Q$9,EFEITO!$AE$2:$AE$644)</f>
        <v>0</v>
      </c>
      <c r="AB9" s="37">
        <f ca="1">SUMIF(EFEITO!$B$2:$B$644,$Q$9,EFEITO!$AF$2:$AF$644)</f>
        <v>13319586.426836709</v>
      </c>
      <c r="AC9" s="37">
        <f>SUMIF(EFEITO!$B$2:$B$644,$Q$9,EFEITO!$AG$2:$AH$644)</f>
        <v>7044734.2528412323</v>
      </c>
      <c r="AD9" s="37">
        <f>SUMIF(SUBSIDIO!$B$2:$B$644,$Q$9,SUBSIDIO!$AD$2:$AD$644)</f>
        <v>0</v>
      </c>
      <c r="AE9" s="37">
        <f ca="1">SUMIF(SUBSIDIO!$B$2:$B$644,$Q$9,SUBSIDIO!$AE$2:$AE$644)</f>
        <v>151181.46202819544</v>
      </c>
      <c r="AF9" s="37" t="str">
        <f>IF(ABS($X$9-$AA$9)&lt;0.01,"OK","ERRO")</f>
        <v>OK</v>
      </c>
      <c r="AG9" s="37" t="str">
        <f ca="1">IF(ABS($Y$9-$AB$9)&lt;0.01,"OK","ERRO")</f>
        <v>OK</v>
      </c>
      <c r="AH9" s="37" t="str">
        <f>IF(ABS($Z$9-$AC$9)&lt;0.01,"OK","ERRO")</f>
        <v>OK</v>
      </c>
      <c r="AI9" s="37" t="str">
        <f>IF(ABS($U$9-$AD$9)&lt;0.01,"OK","ERRO")</f>
        <v>OK</v>
      </c>
      <c r="AJ9" s="37" t="str">
        <f ca="1">IF(ABS(($V$9+$W$9)-$AE$9)&lt;0.01,"OK","ERRO")</f>
        <v>OK</v>
      </c>
    </row>
    <row r="10" spans="1:40" ht="11.25" customHeight="1" x14ac:dyDescent="0.2">
      <c r="A10" s="36" t="s">
        <v>21</v>
      </c>
      <c r="B10" s="36" t="s">
        <v>35</v>
      </c>
      <c r="C10" s="36" t="s">
        <v>48</v>
      </c>
      <c r="D10" s="36" t="s">
        <v>46</v>
      </c>
      <c r="E10" s="36" t="s">
        <v>47</v>
      </c>
      <c r="F10" s="36" t="s">
        <v>25</v>
      </c>
      <c r="G10" s="36" t="s">
        <v>25</v>
      </c>
      <c r="H10" s="36" t="s">
        <v>38</v>
      </c>
      <c r="I10" s="56">
        <v>44682</v>
      </c>
      <c r="J10" s="57">
        <f ca="1">EFEITO!$J10*('TUSD BE'!$AM$6+'TUSD BF'!$AM$6+'TUSD CVA'!$AM$6)</f>
        <v>2978.9667378176127</v>
      </c>
      <c r="K10" s="57">
        <f ca="1">EFEITO!$L10*('TUSD BE'!$AM$7+'TUSD BF'!$AM$7+'TUSD CVA'!$AM$7)</f>
        <v>7036.6025455419694</v>
      </c>
      <c r="L10" s="57">
        <f>EFEITO!$N10*('TE BE'!$AB$5+'TE BF'!$AB$5+'TE CVA'!$AB$5)</f>
        <v>13909.752516124752</v>
      </c>
      <c r="M10" s="57">
        <f ca="1">$J$10-EFEITO!$K$10*EFEITO!$Y$10</f>
        <v>89.369002134528273</v>
      </c>
      <c r="N10" s="57">
        <f ca="1">$K$10-EFEITO!$M$10*EFEITO!$Z$10</f>
        <v>211.09807636625919</v>
      </c>
      <c r="O10" s="57">
        <f>$L$10-EFEITO!$O$10*EFEITO!$AA$10</f>
        <v>417.29257548374335</v>
      </c>
      <c r="P10" s="40"/>
      <c r="Q10" s="57" t="s">
        <v>40</v>
      </c>
      <c r="R10" s="57">
        <f>SUMIF($B$2:$B$644,$Q$10,$J$2:$J$644)</f>
        <v>0</v>
      </c>
      <c r="S10" s="57">
        <f ca="1">SUMIF($B$2:$B$644,$Q$10,$K$2:$K$644)</f>
        <v>10916872.715545328</v>
      </c>
      <c r="T10" s="57">
        <f>SUMIF($B$2:$B$644,$Q$10,$L$2:$L$644)</f>
        <v>5726310.261541523</v>
      </c>
      <c r="U10" s="57">
        <f>SUMIF($B$2:$B$644,$Q$10,$M$2:$M$644)</f>
        <v>0</v>
      </c>
      <c r="V10" s="57">
        <f ca="1">SUMIF($B$2:$B$644,$Q$10,$N$2:$N$644)</f>
        <v>850921.75908798934</v>
      </c>
      <c r="W10" s="57">
        <f>SUMIF($B$2:$B$644,$Q$10,$O$2:$O$644)</f>
        <v>446340.46102745249</v>
      </c>
      <c r="X10" s="37">
        <f>$R$10-$U$10</f>
        <v>0</v>
      </c>
      <c r="Y10" s="37">
        <f ca="1">$S$10-$V$10</f>
        <v>10065950.956457339</v>
      </c>
      <c r="Z10" s="37">
        <f>$T$10-$W$10</f>
        <v>5279969.8005140703</v>
      </c>
      <c r="AA10" s="37">
        <f>SUMIF(EFEITO!$B$2:$B$644,$Q$10,EFEITO!$AE$2:$AE$644)</f>
        <v>0</v>
      </c>
      <c r="AB10" s="37">
        <f ca="1">SUMIF(EFEITO!$B$2:$B$644,$Q$10,EFEITO!$AF$2:$AF$644)</f>
        <v>10065950.956457343</v>
      </c>
      <c r="AC10" s="37">
        <f>SUMIF(EFEITO!$B$2:$B$644,$Q$10,EFEITO!$AG$2:$AH$644)</f>
        <v>5279969.8005140712</v>
      </c>
      <c r="AD10" s="37">
        <f>SUMIF(SUBSIDIO!$B$2:$B$644,$Q$10,SUBSIDIO!$AD$2:$AD$644)</f>
        <v>0</v>
      </c>
      <c r="AE10" s="37">
        <f ca="1">SUMIF(SUBSIDIO!$B$2:$B$644,$Q$10,SUBSIDIO!$AE$2:$AE$644)</f>
        <v>1297262.2201154432</v>
      </c>
      <c r="AF10" s="37" t="str">
        <f>IF(ABS($X$10-$AA$10)&lt;0.01,"OK","ERRO")</f>
        <v>OK</v>
      </c>
      <c r="AG10" s="37" t="str">
        <f ca="1">IF(ABS($Y$10-$AB$10)&lt;0.01,"OK","ERRO")</f>
        <v>OK</v>
      </c>
      <c r="AH10" s="37" t="str">
        <f>IF(ABS($Z$10-$AC$10)&lt;0.01,"OK","ERRO")</f>
        <v>OK</v>
      </c>
      <c r="AI10" s="37" t="str">
        <f>IF(ABS($U$10-$AD$10)&lt;0.01,"OK","ERRO")</f>
        <v>OK</v>
      </c>
      <c r="AJ10" s="37" t="str">
        <f ca="1">IF(ABS(($V$10+$W$10)-$AE$10)&lt;0.01,"OK","ERRO")</f>
        <v>OK</v>
      </c>
    </row>
    <row r="11" spans="1:40" ht="11.25" customHeight="1" x14ac:dyDescent="0.2">
      <c r="A11" s="36" t="s">
        <v>21</v>
      </c>
      <c r="B11" s="36" t="s">
        <v>35</v>
      </c>
      <c r="C11" s="36" t="s">
        <v>48</v>
      </c>
      <c r="D11" s="36" t="s">
        <v>46</v>
      </c>
      <c r="E11" s="36" t="s">
        <v>47</v>
      </c>
      <c r="F11" s="36" t="s">
        <v>25</v>
      </c>
      <c r="G11" s="36" t="s">
        <v>25</v>
      </c>
      <c r="H11" s="36" t="s">
        <v>38</v>
      </c>
      <c r="I11" s="56">
        <v>44713</v>
      </c>
      <c r="J11" s="57">
        <f ca="1">EFEITO!$J11*('TUSD BE'!$AM$6+'TUSD BF'!$AM$6+'TUSD CVA'!$AM$6)</f>
        <v>2532.1217271449709</v>
      </c>
      <c r="K11" s="57">
        <f ca="1">EFEITO!$L11*('TUSD BE'!$AM$7+'TUSD BF'!$AM$7+'TUSD CVA'!$AM$7)</f>
        <v>6518.1582797362325</v>
      </c>
      <c r="L11" s="57">
        <f>EFEITO!$N11*('TE BE'!$AB$5+'TE BF'!$AB$5+'TE CVA'!$AB$5)</f>
        <v>12884.906877325586</v>
      </c>
      <c r="M11" s="57">
        <f ca="1">$J$11-EFEITO!$K$11*EFEITO!$Y$11</f>
        <v>75.963651814349305</v>
      </c>
      <c r="N11" s="57">
        <f ca="1">$K$11-EFEITO!$M$11*EFEITO!$Z$11</f>
        <v>195.54474839208706</v>
      </c>
      <c r="O11" s="57">
        <f>$L$11-EFEITO!$O$11*EFEITO!$AA$11</f>
        <v>386.5472063197667</v>
      </c>
      <c r="P11" s="40"/>
      <c r="Q11" s="57" t="s">
        <v>33</v>
      </c>
      <c r="R11" s="57">
        <f>SUMIF($B$2:$B$644,$Q$11,$J$2:$J$644)</f>
        <v>0</v>
      </c>
      <c r="S11" s="57">
        <f ca="1">SUMIF($B$2:$B$644,$Q$11,$K$2:$K$644)</f>
        <v>7587741.3359853383</v>
      </c>
      <c r="T11" s="57">
        <f>SUMIF($B$2:$B$644,$Q$11,$L$2:$L$644)</f>
        <v>3980055.6630384037</v>
      </c>
      <c r="U11" s="57">
        <f>SUMIF($B$2:$B$644,$Q$11,$M$2:$M$644)</f>
        <v>0</v>
      </c>
      <c r="V11" s="57">
        <f ca="1">SUMIF($B$2:$B$644,$Q$11,$N$2:$N$644)</f>
        <v>2562.7529052081845</v>
      </c>
      <c r="W11" s="57">
        <f>SUMIF($B$2:$B$644,$Q$11,$O$2:$O$644)</f>
        <v>1344.2602695176602</v>
      </c>
      <c r="X11" s="37">
        <f>$R$11-$U$11</f>
        <v>0</v>
      </c>
      <c r="Y11" s="37">
        <f ca="1">$S$11-$V$11</f>
        <v>7585178.5830801297</v>
      </c>
      <c r="Z11" s="37">
        <f>$T$11-$W$11</f>
        <v>3978711.4027688862</v>
      </c>
      <c r="AA11" s="37">
        <f>SUMIF(EFEITO!$B$2:$B$644,$Q$11,EFEITO!$AE$2:$AE$644)</f>
        <v>0</v>
      </c>
      <c r="AB11" s="37">
        <f ca="1">SUMIF(EFEITO!$B$2:$B$644,$Q$11,EFEITO!$AF$2:$AF$644)</f>
        <v>7585178.5830801316</v>
      </c>
      <c r="AC11" s="37">
        <f>SUMIF(EFEITO!$B$2:$B$644,$Q$11,EFEITO!$AG$2:$AH$644)</f>
        <v>3978711.4027688857</v>
      </c>
      <c r="AD11" s="37">
        <f>SUMIF(SUBSIDIO!$B$2:$B$644,$Q$11,SUBSIDIO!$AD$2:$AD$644)</f>
        <v>0</v>
      </c>
      <c r="AE11" s="37">
        <f ca="1">SUMIF(SUBSIDIO!$B$2:$B$644,$Q$11,SUBSIDIO!$AE$2:$AE$644)</f>
        <v>3907.0131747258361</v>
      </c>
      <c r="AF11" s="37" t="str">
        <f>IF(ABS($X$11-$AA$11)&lt;0.01,"OK","ERRO")</f>
        <v>OK</v>
      </c>
      <c r="AG11" s="37" t="str">
        <f ca="1">IF(ABS($Y$11-$AB$11)&lt;0.01,"OK","ERRO")</f>
        <v>OK</v>
      </c>
      <c r="AH11" s="37" t="str">
        <f>IF(ABS($Z$11-$AC$11)&lt;0.01,"OK","ERRO")</f>
        <v>OK</v>
      </c>
      <c r="AI11" s="37" t="str">
        <f>IF(ABS($U$11-$AD$11)&lt;0.01,"OK","ERRO")</f>
        <v>OK</v>
      </c>
      <c r="AJ11" s="37" t="str">
        <f ca="1">IF(ABS(($V$11+$W$11)-$AE$11)&lt;0.01,"OK","ERRO")</f>
        <v>OK</v>
      </c>
    </row>
    <row r="12" spans="1:40" ht="11.25" customHeight="1" x14ac:dyDescent="0.2">
      <c r="A12" s="36" t="s">
        <v>21</v>
      </c>
      <c r="B12" s="36" t="s">
        <v>35</v>
      </c>
      <c r="C12" s="36" t="s">
        <v>48</v>
      </c>
      <c r="D12" s="36" t="s">
        <v>46</v>
      </c>
      <c r="E12" s="36" t="s">
        <v>47</v>
      </c>
      <c r="F12" s="36" t="s">
        <v>25</v>
      </c>
      <c r="G12" s="36" t="s">
        <v>25</v>
      </c>
      <c r="H12" s="36" t="s">
        <v>38</v>
      </c>
      <c r="I12" s="56">
        <v>44743</v>
      </c>
      <c r="J12" s="57">
        <f ca="1">EFEITO!$J12*('TUSD BE'!$AM$6+'TUSD BF'!$AM$6+'TUSD CVA'!$AM$6)</f>
        <v>2532.1217271449709</v>
      </c>
      <c r="K12" s="57">
        <f ca="1">EFEITO!$L12*('TUSD BE'!$AM$7+'TUSD BF'!$AM$7+'TUSD CVA'!$AM$7)</f>
        <v>6696.4603064560861</v>
      </c>
      <c r="L12" s="57">
        <f>EFEITO!$N12*('TE BE'!$AB$5+'TE BF'!$AB$5+'TE CVA'!$AB$5)</f>
        <v>13237.369169851674</v>
      </c>
      <c r="M12" s="57">
        <f ca="1">$J$12-EFEITO!$K$12*EFEITO!$Y$12</f>
        <v>75.963651814349305</v>
      </c>
      <c r="N12" s="57">
        <f ca="1">$K$12-EFEITO!$M$12*EFEITO!$Z$12</f>
        <v>200.8938091936825</v>
      </c>
      <c r="O12" s="57">
        <f>$L$12-EFEITO!$O$12*EFEITO!$AA$12</f>
        <v>397.12107509555062</v>
      </c>
      <c r="P12" s="40"/>
      <c r="Q12" s="57" t="s">
        <v>43</v>
      </c>
      <c r="R12" s="57">
        <f>SUMIF($B$2:$B$644,$Q$12,$J$2:$J$644)</f>
        <v>0</v>
      </c>
      <c r="S12" s="57">
        <f ca="1">SUMIF($B$2:$B$644,$Q$12,$K$2:$K$644)</f>
        <v>969774.08789765893</v>
      </c>
      <c r="T12" s="57">
        <f>SUMIF($B$2:$B$644,$Q$12,$L$2:$L$644)</f>
        <v>508682.97685634752</v>
      </c>
      <c r="U12" s="57">
        <f>SUMIF($B$2:$B$644,$Q$12,$M$2:$M$644)</f>
        <v>0</v>
      </c>
      <c r="V12" s="57">
        <f ca="1">SUMIF($B$2:$B$644,$Q$12,$N$2:$N$644)</f>
        <v>0</v>
      </c>
      <c r="W12" s="57">
        <f>SUMIF($B$2:$B$644,$Q$12,$O$2:$O$644)</f>
        <v>0</v>
      </c>
      <c r="X12" s="37">
        <f>$R$12-$U$12</f>
        <v>0</v>
      </c>
      <c r="Y12" s="37">
        <f ca="1">$S$12-$V$12</f>
        <v>969774.08789765893</v>
      </c>
      <c r="Z12" s="37">
        <f>$T$12-$W$12</f>
        <v>508682.97685634752</v>
      </c>
      <c r="AA12" s="37">
        <f>SUMIF(EFEITO!$B$2:$B$644,$Q$12,EFEITO!$AE$2:$AE$644)</f>
        <v>0</v>
      </c>
      <c r="AB12" s="37">
        <f ca="1">SUMIF(EFEITO!$B$2:$B$644,$Q$12,EFEITO!$AF$2:$AF$644)</f>
        <v>969774.08789765893</v>
      </c>
      <c r="AC12" s="37">
        <f>SUMIF(EFEITO!$B$2:$B$644,$Q$12,EFEITO!$AG$2:$AH$644)</f>
        <v>508682.97685634752</v>
      </c>
      <c r="AD12" s="37">
        <f>SUMIF(SUBSIDIO!$B$2:$B$644,$Q$12,SUBSIDIO!$AD$2:$AD$644)</f>
        <v>0</v>
      </c>
      <c r="AE12" s="37">
        <f>SUMIF(SUBSIDIO!$B$2:$B$644,$Q$12,SUBSIDIO!$AE$2:$AE$644)</f>
        <v>0</v>
      </c>
      <c r="AF12" s="37" t="str">
        <f>IF(ABS($X$12-$AA$12)&lt;0.01,"OK","ERRO")</f>
        <v>OK</v>
      </c>
      <c r="AG12" s="37" t="str">
        <f ca="1">IF(ABS($Y$12-$AB$12)&lt;0.01,"OK","ERRO")</f>
        <v>OK</v>
      </c>
      <c r="AH12" s="37" t="str">
        <f>IF(ABS($Z$12-$AC$12)&lt;0.01,"OK","ERRO")</f>
        <v>OK</v>
      </c>
      <c r="AI12" s="37" t="str">
        <f>IF(ABS($U$12-$AD$12)&lt;0.01,"OK","ERRO")</f>
        <v>OK</v>
      </c>
      <c r="AJ12" s="37" t="str">
        <f ca="1">IF(ABS(($V$12+$W$12)-$AE$12)&lt;0.01,"OK","ERRO")</f>
        <v>OK</v>
      </c>
    </row>
    <row r="13" spans="1:40" ht="11.25" customHeight="1" x14ac:dyDescent="0.2">
      <c r="A13" s="36" t="s">
        <v>21</v>
      </c>
      <c r="B13" s="36" t="s">
        <v>35</v>
      </c>
      <c r="C13" s="36" t="s">
        <v>48</v>
      </c>
      <c r="D13" s="36" t="s">
        <v>46</v>
      </c>
      <c r="E13" s="36" t="s">
        <v>47</v>
      </c>
      <c r="F13" s="36" t="s">
        <v>25</v>
      </c>
      <c r="G13" s="36" t="s">
        <v>25</v>
      </c>
      <c r="H13" s="36" t="s">
        <v>38</v>
      </c>
      <c r="I13" s="56">
        <v>44774</v>
      </c>
      <c r="J13" s="57">
        <f ca="1">EFEITO!$J13*('TUSD BE'!$AM$6+'TUSD BF'!$AM$6+'TUSD CVA'!$AM$6)</f>
        <v>2532.1217271449709</v>
      </c>
      <c r="K13" s="57">
        <f ca="1">EFEITO!$L13*('TUSD BE'!$AM$7+'TUSD BF'!$AM$7+'TUSD CVA'!$AM$7)</f>
        <v>6499.1243068896238</v>
      </c>
      <c r="L13" s="57">
        <f>EFEITO!$N13*('TE BE'!$AB$5+'TE BF'!$AB$5+'TE CVA'!$AB$5)</f>
        <v>12847.281069987255</v>
      </c>
      <c r="M13" s="57">
        <f ca="1">$J$13-EFEITO!$K$13*EFEITO!$Y$13</f>
        <v>75.963651814349305</v>
      </c>
      <c r="N13" s="57">
        <f ca="1">$K$13-EFEITO!$M$13*EFEITO!$Z$13</f>
        <v>194.97372920668931</v>
      </c>
      <c r="O13" s="57">
        <f>$L$13-EFEITO!$O$13*EFEITO!$AA$13</f>
        <v>385.41843209961735</v>
      </c>
      <c r="P13" s="40"/>
      <c r="Q13" s="57" t="s">
        <v>92</v>
      </c>
      <c r="R13" s="57">
        <f>SUMIF($B$2:$B$644,$Q$13,$J$2:$J$644)</f>
        <v>0</v>
      </c>
      <c r="S13" s="57">
        <f>SUMIF($B$2:$B$644,$Q$13,$K$2:$K$644)</f>
        <v>0</v>
      </c>
      <c r="T13" s="57">
        <f>SUMIF($B$2:$B$644,$Q$13,$L$2:$L$644)</f>
        <v>0</v>
      </c>
      <c r="U13" s="57">
        <f>SUMIF($B$2:$B$644,$Q$13,$M$2:$M$644)</f>
        <v>0</v>
      </c>
      <c r="V13" s="57">
        <f>SUMIF($B$2:$B$644,$Q$13,$N$2:$N$644)</f>
        <v>0</v>
      </c>
      <c r="W13" s="57">
        <f>SUMIF($B$2:$B$644,$Q$13,$O$2:$O$644)</f>
        <v>0</v>
      </c>
      <c r="X13" s="37">
        <f>$R$13-$U$13</f>
        <v>0</v>
      </c>
      <c r="Y13" s="37">
        <f>$S$13-$V$13</f>
        <v>0</v>
      </c>
      <c r="Z13" s="37">
        <f>$T$13-$W$13</f>
        <v>0</v>
      </c>
      <c r="AA13" s="37">
        <f>SUMIF(EFEITO!$B$2:$B$644,$Q$13,EFEITO!$AE$2:$AE$644)</f>
        <v>0</v>
      </c>
      <c r="AB13" s="37">
        <f>SUMIF(EFEITO!$B$2:$B$644,$Q$13,EFEITO!$AF$2:$AF$644)</f>
        <v>0</v>
      </c>
      <c r="AC13" s="37">
        <f>SUMIF(EFEITO!$B$2:$B$644,$Q$13,EFEITO!$AG$2:$AH$644)</f>
        <v>0</v>
      </c>
      <c r="AD13" s="37">
        <f>SUMIF(SUBSIDIO!$B$2:$B$644,$Q$13,SUBSIDIO!$AD$2:$AD$644)</f>
        <v>0</v>
      </c>
      <c r="AE13" s="37">
        <f>SUMIF(SUBSIDIO!$B$2:$B$644,$Q$13,SUBSIDIO!$AE$2:$AE$644)</f>
        <v>0</v>
      </c>
      <c r="AF13" s="37" t="str">
        <f>IF(ABS($X$13-$AA$13)&lt;0.01,"OK","ERRO")</f>
        <v>OK</v>
      </c>
      <c r="AG13" s="37" t="str">
        <f>IF(ABS($Y$13-$AB$13)&lt;0.01,"OK","ERRO")</f>
        <v>OK</v>
      </c>
      <c r="AH13" s="37" t="str">
        <f>IF(ABS($Z$13-$AC$13)&lt;0.01,"OK","ERRO")</f>
        <v>OK</v>
      </c>
      <c r="AI13" s="37" t="str">
        <f>IF(ABS($U$13-$AD$13)&lt;0.01,"OK","ERRO")</f>
        <v>OK</v>
      </c>
      <c r="AJ13" s="37" t="str">
        <f>IF(ABS(($V$13+$W$13)-$AE$13)&lt;0.01,"OK","ERRO")</f>
        <v>OK</v>
      </c>
    </row>
    <row r="14" spans="1:40" ht="11.25" customHeight="1" x14ac:dyDescent="0.2">
      <c r="A14" s="36" t="s">
        <v>21</v>
      </c>
      <c r="B14" s="36" t="s">
        <v>35</v>
      </c>
      <c r="C14" s="36" t="s">
        <v>48</v>
      </c>
      <c r="D14" s="36" t="s">
        <v>46</v>
      </c>
      <c r="E14" s="36" t="s">
        <v>47</v>
      </c>
      <c r="F14" s="36" t="s">
        <v>25</v>
      </c>
      <c r="G14" s="36" t="s">
        <v>25</v>
      </c>
      <c r="H14" s="36" t="s">
        <v>37</v>
      </c>
      <c r="I14" s="56">
        <v>44440</v>
      </c>
      <c r="J14" s="57">
        <f ca="1">EFEITO!$J14*('TUSD BE'!$AM$5+'TUSD BF'!$AM$5+'TUSD CVA'!$AM$5)</f>
        <v>7879.8446246466683</v>
      </c>
      <c r="K14" s="57">
        <f ca="1">EFEITO!$L14*('TUSD BE'!$AM$7+'TUSD BF'!$AM$7+'TUSD CVA'!$AM$7)</f>
        <v>825.76576252368477</v>
      </c>
      <c r="L14" s="57">
        <f>EFEITO!$N14*('TE BE'!$AB$5+'TE BF'!$AB$5+'TE CVA'!$AB$5)</f>
        <v>1632.3498902564227</v>
      </c>
      <c r="M14" s="57">
        <f ca="1">$J$14-EFEITO!$K$14*EFEITO!$Y$14</f>
        <v>236.39533873940036</v>
      </c>
      <c r="N14" s="57">
        <f ca="1">$K$14-EFEITO!$M$14*EFEITO!$Z$14</f>
        <v>24.772972875710593</v>
      </c>
      <c r="O14" s="57">
        <f>$L$14-EFEITO!$O$14*EFEITO!$AA$14</f>
        <v>48.970496707692746</v>
      </c>
      <c r="P14" s="40"/>
      <c r="Q14" s="40"/>
      <c r="R14" s="40"/>
      <c r="S14" s="40"/>
      <c r="T14" s="40"/>
      <c r="U14" s="40"/>
      <c r="V14" s="40"/>
      <c r="W14" s="40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6" t="s">
        <v>21</v>
      </c>
      <c r="B15" s="36" t="s">
        <v>35</v>
      </c>
      <c r="C15" s="36" t="s">
        <v>48</v>
      </c>
      <c r="D15" s="36" t="s">
        <v>46</v>
      </c>
      <c r="E15" s="36" t="s">
        <v>47</v>
      </c>
      <c r="F15" s="36" t="s">
        <v>25</v>
      </c>
      <c r="G15" s="36" t="s">
        <v>25</v>
      </c>
      <c r="H15" s="36" t="s">
        <v>37</v>
      </c>
      <c r="I15" s="56">
        <v>44470</v>
      </c>
      <c r="J15" s="57">
        <f ca="1">EFEITO!$J15*('TUSD BE'!$AM$5+'TUSD BF'!$AM$5+'TUSD CVA'!$AM$5)</f>
        <v>7879.8446246466683</v>
      </c>
      <c r="K15" s="57">
        <f ca="1">EFEITO!$L15*('TUSD BE'!$AM$7+'TUSD BF'!$AM$7+'TUSD CVA'!$AM$7)</f>
        <v>765.37148111309386</v>
      </c>
      <c r="L15" s="57">
        <f>EFEITO!$N15*('TE BE'!$AB$5+'TE BF'!$AB$5+'TE CVA'!$AB$5)</f>
        <v>1512.9642204856129</v>
      </c>
      <c r="M15" s="57">
        <f ca="1">$J$15-EFEITO!$K$15*EFEITO!$Y$15</f>
        <v>236.39533873940036</v>
      </c>
      <c r="N15" s="57">
        <f ca="1">$K$15-EFEITO!$M$15*EFEITO!$Z$15</f>
        <v>22.96114443339286</v>
      </c>
      <c r="O15" s="57">
        <f>$L$15-EFEITO!$O$15*EFEITO!$AA$15</f>
        <v>45.388926614568391</v>
      </c>
      <c r="P15" s="40"/>
      <c r="Q15" s="40"/>
      <c r="R15" s="40"/>
      <c r="S15" s="40"/>
      <c r="T15" s="40"/>
      <c r="U15" s="40"/>
      <c r="V15" s="40"/>
      <c r="W15" s="40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6" t="s">
        <v>21</v>
      </c>
      <c r="B16" s="36" t="s">
        <v>35</v>
      </c>
      <c r="C16" s="36" t="s">
        <v>48</v>
      </c>
      <c r="D16" s="36" t="s">
        <v>46</v>
      </c>
      <c r="E16" s="36" t="s">
        <v>47</v>
      </c>
      <c r="F16" s="36" t="s">
        <v>25</v>
      </c>
      <c r="G16" s="36" t="s">
        <v>25</v>
      </c>
      <c r="H16" s="36" t="s">
        <v>37</v>
      </c>
      <c r="I16" s="56">
        <v>44501</v>
      </c>
      <c r="J16" s="57">
        <f ca="1">EFEITO!$J16*('TUSD BE'!$AM$5+'TUSD BF'!$AM$5+'TUSD CVA'!$AM$5)</f>
        <v>7946.0618063663887</v>
      </c>
      <c r="K16" s="57">
        <f ca="1">EFEITO!$L16*('TUSD BE'!$AM$7+'TUSD BF'!$AM$7+'TUSD CVA'!$AM$7)</f>
        <v>791.50461139978904</v>
      </c>
      <c r="L16" s="57">
        <f>EFEITO!$N16*('TE BE'!$AB$5+'TE BF'!$AB$5+'TE CVA'!$AB$5)</f>
        <v>1564.6234370474283</v>
      </c>
      <c r="M16" s="57">
        <f ca="1">$J$16-EFEITO!$K$16*EFEITO!$Y$16</f>
        <v>238.38185419099227</v>
      </c>
      <c r="N16" s="57">
        <f ca="1">$K$16-EFEITO!$M$16*EFEITO!$Z$16</f>
        <v>23.745138341993652</v>
      </c>
      <c r="O16" s="57">
        <f>$L$16-EFEITO!$O$16*EFEITO!$AA$16</f>
        <v>46.93870311142291</v>
      </c>
      <c r="P16" s="40"/>
      <c r="Q16" s="40"/>
      <c r="R16" s="40"/>
      <c r="S16" s="40"/>
      <c r="T16" s="40"/>
      <c r="U16" s="40"/>
      <c r="V16" s="40"/>
      <c r="W16" s="40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6" t="s">
        <v>21</v>
      </c>
      <c r="B17" s="36" t="s">
        <v>35</v>
      </c>
      <c r="C17" s="36" t="s">
        <v>48</v>
      </c>
      <c r="D17" s="36" t="s">
        <v>46</v>
      </c>
      <c r="E17" s="36" t="s">
        <v>47</v>
      </c>
      <c r="F17" s="36" t="s">
        <v>25</v>
      </c>
      <c r="G17" s="36" t="s">
        <v>25</v>
      </c>
      <c r="H17" s="36" t="s">
        <v>37</v>
      </c>
      <c r="I17" s="56">
        <v>44531</v>
      </c>
      <c r="J17" s="57">
        <f ca="1">EFEITO!$J17*('TUSD BE'!$AM$5+'TUSD BF'!$AM$5+'TUSD CVA'!$AM$5)</f>
        <v>7879.8446246466683</v>
      </c>
      <c r="K17" s="57">
        <f ca="1">EFEITO!$L17*('TUSD BE'!$AM$7+'TUSD BF'!$AM$7+'TUSD CVA'!$AM$7)</f>
        <v>803.13076778717709</v>
      </c>
      <c r="L17" s="57">
        <f>EFEITO!$N17*('TE BE'!$AB$5+'TE BF'!$AB$5+'TE CVA'!$AB$5)</f>
        <v>1587.6056869351653</v>
      </c>
      <c r="M17" s="57">
        <f ca="1">$J$17-EFEITO!$K$17*EFEITO!$Y$17</f>
        <v>236.39533873940036</v>
      </c>
      <c r="N17" s="57">
        <f ca="1">$K$17-EFEITO!$M$17*EFEITO!$Z$17</f>
        <v>24.093923033615283</v>
      </c>
      <c r="O17" s="57">
        <f>$L$17-EFEITO!$O$17*EFEITO!$AA$17</f>
        <v>47.628170608055143</v>
      </c>
      <c r="P17" s="40"/>
      <c r="Q17" s="40"/>
      <c r="R17" s="40"/>
      <c r="S17" s="40"/>
      <c r="T17" s="40"/>
      <c r="U17" s="40"/>
      <c r="V17" s="40"/>
      <c r="W17" s="40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6" t="s">
        <v>21</v>
      </c>
      <c r="B18" s="36" t="s">
        <v>35</v>
      </c>
      <c r="C18" s="36" t="s">
        <v>48</v>
      </c>
      <c r="D18" s="36" t="s">
        <v>46</v>
      </c>
      <c r="E18" s="36" t="s">
        <v>47</v>
      </c>
      <c r="F18" s="36" t="s">
        <v>25</v>
      </c>
      <c r="G18" s="36" t="s">
        <v>25</v>
      </c>
      <c r="H18" s="36" t="s">
        <v>37</v>
      </c>
      <c r="I18" s="56">
        <v>44562</v>
      </c>
      <c r="J18" s="57">
        <f ca="1">EFEITO!$J18*('TUSD BE'!$AM$5+'TUSD BF'!$AM$5+'TUSD CVA'!$AM$5)</f>
        <v>8078.4961698058278</v>
      </c>
      <c r="K18" s="57">
        <f ca="1">EFEITO!$L18*('TUSD BE'!$AM$7+'TUSD BF'!$AM$7+'TUSD CVA'!$AM$7)</f>
        <v>757.44923295531612</v>
      </c>
      <c r="L18" s="57">
        <f>EFEITO!$N18*('TE BE'!$AB$5+'TE BF'!$AB$5+'TE CVA'!$AB$5)</f>
        <v>1497.3037493231727</v>
      </c>
      <c r="M18" s="57">
        <f ca="1">$J$18-EFEITO!$K$18*EFEITO!$Y$18</f>
        <v>242.35488509417519</v>
      </c>
      <c r="N18" s="57">
        <f ca="1">$K$18-EFEITO!$M$18*EFEITO!$Z$18</f>
        <v>22.723476988659513</v>
      </c>
      <c r="O18" s="57">
        <f>$L$18-EFEITO!$O$18*EFEITO!$AA$18</f>
        <v>44.919112479695286</v>
      </c>
      <c r="P18" s="40"/>
      <c r="Q18" s="40"/>
      <c r="R18" s="40"/>
      <c r="S18" s="40"/>
      <c r="T18" s="40"/>
      <c r="U18" s="40"/>
      <c r="V18" s="40"/>
      <c r="W18" s="40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6" t="s">
        <v>21</v>
      </c>
      <c r="B19" s="36" t="s">
        <v>35</v>
      </c>
      <c r="C19" s="36" t="s">
        <v>48</v>
      </c>
      <c r="D19" s="36" t="s">
        <v>46</v>
      </c>
      <c r="E19" s="36" t="s">
        <v>47</v>
      </c>
      <c r="F19" s="36" t="s">
        <v>25</v>
      </c>
      <c r="G19" s="36" t="s">
        <v>25</v>
      </c>
      <c r="H19" s="36" t="s">
        <v>37</v>
      </c>
      <c r="I19" s="56">
        <v>44593</v>
      </c>
      <c r="J19" s="57">
        <f ca="1">EFEITO!$J19*('TUSD BE'!$AM$5+'TUSD BF'!$AM$5+'TUSD CVA'!$AM$5)</f>
        <v>8078.4961698058278</v>
      </c>
      <c r="K19" s="57">
        <f ca="1">EFEITO!$L19*('TUSD BE'!$AM$7+'TUSD BF'!$AM$7+'TUSD CVA'!$AM$7)</f>
        <v>746.33750826648497</v>
      </c>
      <c r="L19" s="57">
        <f>EFEITO!$N19*('TE BE'!$AB$5+'TE BF'!$AB$5+'TE CVA'!$AB$5)</f>
        <v>1475.3384131472826</v>
      </c>
      <c r="M19" s="57">
        <f ca="1">$J$19-EFEITO!$K$19*EFEITO!$Y$19</f>
        <v>242.35488509417519</v>
      </c>
      <c r="N19" s="57">
        <f ca="1">$K$19-EFEITO!$M$19*EFEITO!$Z$19</f>
        <v>22.390125247994433</v>
      </c>
      <c r="O19" s="57">
        <f>$L$19-EFEITO!$O$19*EFEITO!$AA$19</f>
        <v>44.260152394418583</v>
      </c>
      <c r="P19" s="40"/>
      <c r="Q19" s="40"/>
      <c r="R19" s="40"/>
      <c r="S19" s="40"/>
      <c r="T19" s="40"/>
      <c r="U19" s="40"/>
      <c r="V19" s="40"/>
      <c r="W19" s="40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6" t="s">
        <v>21</v>
      </c>
      <c r="B20" s="36" t="s">
        <v>35</v>
      </c>
      <c r="C20" s="36" t="s">
        <v>48</v>
      </c>
      <c r="D20" s="36" t="s">
        <v>46</v>
      </c>
      <c r="E20" s="36" t="s">
        <v>47</v>
      </c>
      <c r="F20" s="36" t="s">
        <v>25</v>
      </c>
      <c r="G20" s="36" t="s">
        <v>25</v>
      </c>
      <c r="H20" s="36" t="s">
        <v>37</v>
      </c>
      <c r="I20" s="56">
        <v>44621</v>
      </c>
      <c r="J20" s="57">
        <f ca="1">EFEITO!$J20*('TUSD BE'!$AM$5+'TUSD BF'!$AM$5+'TUSD CVA'!$AM$5)</f>
        <v>8012.2789880861083</v>
      </c>
      <c r="K20" s="57">
        <f ca="1">EFEITO!$L20*('TUSD BE'!$AM$7+'TUSD BF'!$AM$7+'TUSD CVA'!$AM$7)</f>
        <v>822.98783135147698</v>
      </c>
      <c r="L20" s="57">
        <f>EFEITO!$N20*('TE BE'!$AB$5+'TE BF'!$AB$5+'TE CVA'!$AB$5)</f>
        <v>1626.8585562124501</v>
      </c>
      <c r="M20" s="57">
        <f ca="1">$J$20-EFEITO!$K$20*EFEITO!$Y$20</f>
        <v>240.36836964258327</v>
      </c>
      <c r="N20" s="57">
        <f ca="1">$K$20-EFEITO!$M$20*EFEITO!$Z$20</f>
        <v>24.689634940544352</v>
      </c>
      <c r="O20" s="57">
        <f>$L$20-EFEITO!$O$20*EFEITO!$AA$20</f>
        <v>48.80575668637357</v>
      </c>
      <c r="P20" s="40"/>
      <c r="Q20" s="40"/>
      <c r="R20" s="40"/>
      <c r="S20" s="40"/>
      <c r="T20" s="40"/>
      <c r="U20" s="40"/>
      <c r="V20" s="40"/>
      <c r="W20" s="40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6" t="s">
        <v>21</v>
      </c>
      <c r="B21" s="36" t="s">
        <v>35</v>
      </c>
      <c r="C21" s="36" t="s">
        <v>48</v>
      </c>
      <c r="D21" s="36" t="s">
        <v>46</v>
      </c>
      <c r="E21" s="36" t="s">
        <v>47</v>
      </c>
      <c r="F21" s="36" t="s">
        <v>25</v>
      </c>
      <c r="G21" s="36" t="s">
        <v>25</v>
      </c>
      <c r="H21" s="36" t="s">
        <v>37</v>
      </c>
      <c r="I21" s="56">
        <v>44652</v>
      </c>
      <c r="J21" s="57">
        <f ca="1">EFEITO!$J21*('TUSD BE'!$AM$5+'TUSD BF'!$AM$5+'TUSD CVA'!$AM$5)</f>
        <v>7879.8446246466683</v>
      </c>
      <c r="K21" s="57">
        <f ca="1">EFEITO!$L21*('TUSD BE'!$AM$7+'TUSD BF'!$AM$7+'TUSD CVA'!$AM$7)</f>
        <v>759.60984608925548</v>
      </c>
      <c r="L21" s="57">
        <f>EFEITO!$N21*('TE BE'!$AB$5+'TE BF'!$AB$5+'TE CVA'!$AB$5)</f>
        <v>1501.5747869129291</v>
      </c>
      <c r="M21" s="57">
        <f ca="1">$J$21-EFEITO!$K$21*EFEITO!$Y$21</f>
        <v>236.39533873940036</v>
      </c>
      <c r="N21" s="57">
        <f ca="1">$K$21-EFEITO!$M$21*EFEITO!$Z$21</f>
        <v>22.788295382677688</v>
      </c>
      <c r="O21" s="57">
        <f>$L$21-EFEITO!$O$21*EFEITO!$AA$21</f>
        <v>45.047243607387827</v>
      </c>
      <c r="P21" s="40"/>
      <c r="Q21" s="40"/>
      <c r="R21" s="40"/>
      <c r="S21" s="40"/>
      <c r="T21" s="40"/>
      <c r="U21" s="40"/>
      <c r="V21" s="40"/>
      <c r="W21" s="40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6" t="s">
        <v>21</v>
      </c>
      <c r="B22" s="36" t="s">
        <v>35</v>
      </c>
      <c r="C22" s="36" t="s">
        <v>48</v>
      </c>
      <c r="D22" s="36" t="s">
        <v>46</v>
      </c>
      <c r="E22" s="36" t="s">
        <v>47</v>
      </c>
      <c r="F22" s="36" t="s">
        <v>25</v>
      </c>
      <c r="G22" s="36" t="s">
        <v>25</v>
      </c>
      <c r="H22" s="36" t="s">
        <v>37</v>
      </c>
      <c r="I22" s="56">
        <v>44682</v>
      </c>
      <c r="J22" s="57">
        <f ca="1">EFEITO!$J22*('TUSD BE'!$AM$5+'TUSD BF'!$AM$5+'TUSD CVA'!$AM$5)</f>
        <v>8873.1023504424666</v>
      </c>
      <c r="K22" s="57">
        <f ca="1">EFEITO!$L22*('TUSD BE'!$AM$7+'TUSD BF'!$AM$7+'TUSD CVA'!$AM$7)</f>
        <v>783.37659056258849</v>
      </c>
      <c r="L22" s="57">
        <f>EFEITO!$N22*('TE BE'!$AB$5+'TE BF'!$AB$5+'TE CVA'!$AB$5)</f>
        <v>1548.5562004002495</v>
      </c>
      <c r="M22" s="57">
        <f ca="1">$J$22-EFEITO!$K$22*EFEITO!$Y$22</f>
        <v>266.19307051327451</v>
      </c>
      <c r="N22" s="57">
        <f ca="1">$K$22-EFEITO!$M$22*EFEITO!$Z$22</f>
        <v>23.501297716877616</v>
      </c>
      <c r="O22" s="57">
        <f>$L$22-EFEITO!$O$22*EFEITO!$AA$22</f>
        <v>46.456686012007594</v>
      </c>
      <c r="P22" s="40"/>
      <c r="Q22" s="40"/>
      <c r="R22" s="40"/>
      <c r="S22" s="40"/>
      <c r="T22" s="40"/>
      <c r="U22" s="40"/>
      <c r="V22" s="40"/>
      <c r="W22" s="40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6" t="s">
        <v>21</v>
      </c>
      <c r="B23" s="36" t="s">
        <v>35</v>
      </c>
      <c r="C23" s="36" t="s">
        <v>48</v>
      </c>
      <c r="D23" s="36" t="s">
        <v>46</v>
      </c>
      <c r="E23" s="36" t="s">
        <v>47</v>
      </c>
      <c r="F23" s="36" t="s">
        <v>25</v>
      </c>
      <c r="G23" s="36" t="s">
        <v>25</v>
      </c>
      <c r="H23" s="36" t="s">
        <v>37</v>
      </c>
      <c r="I23" s="56">
        <v>44713</v>
      </c>
      <c r="J23" s="57">
        <f ca="1">EFEITO!$J23*('TUSD BE'!$AM$5+'TUSD BF'!$AM$5+'TUSD CVA'!$AM$5)</f>
        <v>7879.8446246466683</v>
      </c>
      <c r="K23" s="57">
        <f ca="1">EFEITO!$L23*('TUSD BE'!$AM$7+'TUSD BF'!$AM$7+'TUSD CVA'!$AM$7)</f>
        <v>783.5823632420113</v>
      </c>
      <c r="L23" s="57">
        <f>EFEITO!$N23*('TE BE'!$AB$5+'TE BF'!$AB$5+'TE CVA'!$AB$5)</f>
        <v>1548.9629658849883</v>
      </c>
      <c r="M23" s="57">
        <f ca="1">$J$23-EFEITO!$K$23*EFEITO!$Y$23</f>
        <v>236.39533873940036</v>
      </c>
      <c r="N23" s="57">
        <f ca="1">$K$23-EFEITO!$M$23*EFEITO!$Z$23</f>
        <v>23.507470897260305</v>
      </c>
      <c r="O23" s="57">
        <f>$L$23-EFEITO!$O$23*EFEITO!$AA$23</f>
        <v>46.468888976549806</v>
      </c>
      <c r="P23" s="40"/>
      <c r="Q23" s="40"/>
      <c r="R23" s="40"/>
      <c r="S23" s="40"/>
      <c r="T23" s="40"/>
      <c r="U23" s="40"/>
      <c r="V23" s="40"/>
      <c r="W23" s="40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6" t="s">
        <v>21</v>
      </c>
      <c r="B24" s="36" t="s">
        <v>35</v>
      </c>
      <c r="C24" s="36" t="s">
        <v>48</v>
      </c>
      <c r="D24" s="36" t="s">
        <v>46</v>
      </c>
      <c r="E24" s="36" t="s">
        <v>47</v>
      </c>
      <c r="F24" s="36" t="s">
        <v>25</v>
      </c>
      <c r="G24" s="36" t="s">
        <v>25</v>
      </c>
      <c r="H24" s="36" t="s">
        <v>37</v>
      </c>
      <c r="I24" s="56">
        <v>44743</v>
      </c>
      <c r="J24" s="57">
        <f ca="1">EFEITO!$J24*('TUSD BE'!$AM$5+'TUSD BF'!$AM$5+'TUSD CVA'!$AM$5)</f>
        <v>7879.8446246466683</v>
      </c>
      <c r="K24" s="57">
        <f ca="1">EFEITO!$L24*('TUSD BE'!$AM$7+'TUSD BF'!$AM$7+'TUSD CVA'!$AM$7)</f>
        <v>721.43901405632653</v>
      </c>
      <c r="L24" s="57">
        <f>EFEITO!$N24*('TE BE'!$AB$5+'TE BF'!$AB$5+'TE CVA'!$AB$5)</f>
        <v>1426.1197894938994</v>
      </c>
      <c r="M24" s="57">
        <f ca="1">$J$24-EFEITO!$K$24*EFEITO!$Y$24</f>
        <v>236.39533873940036</v>
      </c>
      <c r="N24" s="57">
        <f ca="1">$K$24-EFEITO!$M$24*EFEITO!$Z$24</f>
        <v>21.643170421689774</v>
      </c>
      <c r="O24" s="57">
        <f>$L$24-EFEITO!$O$24*EFEITO!$AA$24</f>
        <v>42.783593684817106</v>
      </c>
      <c r="P24" s="40"/>
      <c r="Q24" s="40"/>
      <c r="R24" s="40"/>
      <c r="S24" s="40"/>
      <c r="T24" s="40"/>
      <c r="U24" s="40"/>
      <c r="V24" s="40"/>
      <c r="W24" s="40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6" t="s">
        <v>21</v>
      </c>
      <c r="B25" s="36" t="s">
        <v>35</v>
      </c>
      <c r="C25" s="36" t="s">
        <v>48</v>
      </c>
      <c r="D25" s="36" t="s">
        <v>46</v>
      </c>
      <c r="E25" s="36" t="s">
        <v>47</v>
      </c>
      <c r="F25" s="36" t="s">
        <v>25</v>
      </c>
      <c r="G25" s="36" t="s">
        <v>25</v>
      </c>
      <c r="H25" s="36" t="s">
        <v>37</v>
      </c>
      <c r="I25" s="56">
        <v>44774</v>
      </c>
      <c r="J25" s="57">
        <f ca="1">EFEITO!$J25*('TUSD BE'!$AM$5+'TUSD BF'!$AM$5+'TUSD CVA'!$AM$5)</f>
        <v>8078.4961698058278</v>
      </c>
      <c r="K25" s="57">
        <f ca="1">EFEITO!$L25*('TUSD BE'!$AM$7+'TUSD BF'!$AM$7+'TUSD CVA'!$AM$7)</f>
        <v>817.02042364821591</v>
      </c>
      <c r="L25" s="57">
        <f>EFEITO!$N25*('TE BE'!$AB$5+'TE BF'!$AB$5+'TE CVA'!$AB$5)</f>
        <v>1615.0623571550277</v>
      </c>
      <c r="M25" s="57">
        <f ca="1">$J$25-EFEITO!$K$25*EFEITO!$Y$25</f>
        <v>242.35488509417519</v>
      </c>
      <c r="N25" s="57">
        <f ca="1">$K$25-EFEITO!$M$25*EFEITO!$Z$25</f>
        <v>24.510612709446491</v>
      </c>
      <c r="O25" s="57">
        <f>$L$25-EFEITO!$O$25*EFEITO!$AA$25</f>
        <v>48.451870714650795</v>
      </c>
      <c r="P25" s="40"/>
      <c r="Q25" s="40"/>
      <c r="R25" s="40"/>
      <c r="S25" s="40"/>
      <c r="T25" s="40"/>
      <c r="U25" s="40"/>
      <c r="V25" s="40"/>
      <c r="W25" s="40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6" t="s">
        <v>21</v>
      </c>
      <c r="B26" s="36" t="s">
        <v>35</v>
      </c>
      <c r="C26" s="36" t="s">
        <v>56</v>
      </c>
      <c r="D26" s="36" t="s">
        <v>25</v>
      </c>
      <c r="E26" s="36" t="s">
        <v>25</v>
      </c>
      <c r="F26" s="36" t="s">
        <v>57</v>
      </c>
      <c r="G26" s="36" t="s">
        <v>58</v>
      </c>
      <c r="H26" s="36" t="s">
        <v>38</v>
      </c>
      <c r="I26" s="56">
        <v>44440</v>
      </c>
      <c r="J26" s="57">
        <f ca="1">EFEITO!$J$26*EFEITO!$Y$26</f>
        <v>42147.722294562634</v>
      </c>
      <c r="K26" s="57">
        <f ca="1">EFEITO!$L$26*EFEITO!$Z$26</f>
        <v>4301.7461981338865</v>
      </c>
      <c r="L26" s="57">
        <f>EFEITO!$N$26*EFEITO!$AA$26</f>
        <v>0</v>
      </c>
      <c r="M26" s="57">
        <f ca="1">$J$26-EFEITO!$K$26*EFEITO!$Y$26</f>
        <v>0</v>
      </c>
      <c r="N26" s="57">
        <f ca="1">$K$26-EFEITO!$M$26*EFEITO!$Z$26</f>
        <v>0</v>
      </c>
      <c r="O26" s="57">
        <f>$L$26-EFEITO!$O$26*EFEITO!$AA$26</f>
        <v>0</v>
      </c>
      <c r="P26" s="40"/>
      <c r="Q26" s="40"/>
      <c r="R26" s="40"/>
      <c r="S26" s="40"/>
      <c r="T26" s="40"/>
      <c r="U26" s="40"/>
      <c r="V26" s="40"/>
      <c r="W26" s="40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6" t="s">
        <v>21</v>
      </c>
      <c r="B27" s="36" t="s">
        <v>35</v>
      </c>
      <c r="C27" s="36" t="s">
        <v>56</v>
      </c>
      <c r="D27" s="36" t="s">
        <v>25</v>
      </c>
      <c r="E27" s="36" t="s">
        <v>25</v>
      </c>
      <c r="F27" s="36" t="s">
        <v>57</v>
      </c>
      <c r="G27" s="36" t="s">
        <v>58</v>
      </c>
      <c r="H27" s="36" t="s">
        <v>38</v>
      </c>
      <c r="I27" s="56">
        <v>44470</v>
      </c>
      <c r="J27" s="57">
        <f ca="1">EFEITO!$J$27*EFEITO!$Y$27</f>
        <v>42147.722294562634</v>
      </c>
      <c r="K27" s="57">
        <f ca="1">EFEITO!$L$27*EFEITO!$Z$27</f>
        <v>2609.8689489427288</v>
      </c>
      <c r="L27" s="57">
        <f>EFEITO!$N$27*EFEITO!$AA$27</f>
        <v>0</v>
      </c>
      <c r="M27" s="57">
        <f ca="1">$J$27-EFEITO!$K$27*EFEITO!$Y$27</f>
        <v>0</v>
      </c>
      <c r="N27" s="57">
        <f ca="1">$K$27-EFEITO!$M$27*EFEITO!$Z$27</f>
        <v>0</v>
      </c>
      <c r="O27" s="57">
        <f>$L$27-EFEITO!$O$27*EFEITO!$AA$27</f>
        <v>0</v>
      </c>
      <c r="P27" s="40"/>
      <c r="Q27" s="40"/>
      <c r="R27" s="40"/>
      <c r="S27" s="40"/>
      <c r="T27" s="40"/>
      <c r="U27" s="40"/>
      <c r="V27" s="40"/>
      <c r="W27" s="40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6" t="s">
        <v>21</v>
      </c>
      <c r="B28" s="36" t="s">
        <v>35</v>
      </c>
      <c r="C28" s="36" t="s">
        <v>56</v>
      </c>
      <c r="D28" s="36" t="s">
        <v>25</v>
      </c>
      <c r="E28" s="36" t="s">
        <v>25</v>
      </c>
      <c r="F28" s="36" t="s">
        <v>57</v>
      </c>
      <c r="G28" s="36" t="s">
        <v>58</v>
      </c>
      <c r="H28" s="36" t="s">
        <v>38</v>
      </c>
      <c r="I28" s="56">
        <v>44501</v>
      </c>
      <c r="J28" s="57">
        <f ca="1">EFEITO!$J$28*EFEITO!$Y$28</f>
        <v>42147.722294562634</v>
      </c>
      <c r="K28" s="57">
        <f ca="1">EFEITO!$L$28*EFEITO!$Z$28</f>
        <v>3055.1467786878616</v>
      </c>
      <c r="L28" s="57">
        <f>EFEITO!$N$28*EFEITO!$AA$28</f>
        <v>0</v>
      </c>
      <c r="M28" s="57">
        <f ca="1">$J$28-EFEITO!$K$28*EFEITO!$Y$28</f>
        <v>0</v>
      </c>
      <c r="N28" s="57">
        <f ca="1">$K$28-EFEITO!$M$28*EFEITO!$Z$28</f>
        <v>0</v>
      </c>
      <c r="O28" s="57">
        <f>$L$28-EFEITO!$O$28*EFEITO!$AA$28</f>
        <v>0</v>
      </c>
      <c r="P28" s="40"/>
      <c r="Q28" s="40"/>
      <c r="R28" s="40"/>
      <c r="S28" s="40"/>
      <c r="T28" s="40"/>
      <c r="U28" s="40"/>
      <c r="V28" s="40"/>
      <c r="W28" s="40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6" t="s">
        <v>21</v>
      </c>
      <c r="B29" s="36" t="s">
        <v>35</v>
      </c>
      <c r="C29" s="36" t="s">
        <v>56</v>
      </c>
      <c r="D29" s="36" t="s">
        <v>25</v>
      </c>
      <c r="E29" s="36" t="s">
        <v>25</v>
      </c>
      <c r="F29" s="36" t="s">
        <v>57</v>
      </c>
      <c r="G29" s="36" t="s">
        <v>58</v>
      </c>
      <c r="H29" s="36" t="s">
        <v>38</v>
      </c>
      <c r="I29" s="56">
        <v>44531</v>
      </c>
      <c r="J29" s="57">
        <f ca="1">EFEITO!$J$29*EFEITO!$Y$29</f>
        <v>42990.676740453891</v>
      </c>
      <c r="K29" s="57">
        <f ca="1">EFEITO!$L$29*EFEITO!$Z$29</f>
        <v>3383.2993135894308</v>
      </c>
      <c r="L29" s="57">
        <f>EFEITO!$N$29*EFEITO!$AA$29</f>
        <v>0</v>
      </c>
      <c r="M29" s="57">
        <f ca="1">$J$29-EFEITO!$K$29*EFEITO!$Y$29</f>
        <v>0</v>
      </c>
      <c r="N29" s="57">
        <f ca="1">$K$29-EFEITO!$M$29*EFEITO!$Z$29</f>
        <v>0</v>
      </c>
      <c r="O29" s="57">
        <f>$L$29-EFEITO!$O$29*EFEITO!$AA$29</f>
        <v>0</v>
      </c>
      <c r="P29" s="40"/>
      <c r="Q29" s="40"/>
      <c r="R29" s="40"/>
      <c r="S29" s="40"/>
      <c r="T29" s="40"/>
      <c r="U29" s="40"/>
      <c r="V29" s="40"/>
      <c r="W29" s="40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6" t="s">
        <v>21</v>
      </c>
      <c r="B30" s="36" t="s">
        <v>35</v>
      </c>
      <c r="C30" s="36" t="s">
        <v>56</v>
      </c>
      <c r="D30" s="36" t="s">
        <v>25</v>
      </c>
      <c r="E30" s="36" t="s">
        <v>25</v>
      </c>
      <c r="F30" s="36" t="s">
        <v>57</v>
      </c>
      <c r="G30" s="36" t="s">
        <v>58</v>
      </c>
      <c r="H30" s="36" t="s">
        <v>38</v>
      </c>
      <c r="I30" s="56">
        <v>44562</v>
      </c>
      <c r="J30" s="57">
        <f ca="1">EFEITO!$J$30*EFEITO!$Y$30</f>
        <v>42990.676740453891</v>
      </c>
      <c r="K30" s="57">
        <f ca="1">EFEITO!$L$30*EFEITO!$Z$30</f>
        <v>4804.8414217673535</v>
      </c>
      <c r="L30" s="57">
        <f>EFEITO!$N$30*EFEITO!$AA$30</f>
        <v>0</v>
      </c>
      <c r="M30" s="57">
        <f ca="1">$J$30-EFEITO!$K$30*EFEITO!$Y$30</f>
        <v>0</v>
      </c>
      <c r="N30" s="57">
        <f ca="1">$K$30-EFEITO!$M$30*EFEITO!$Z$30</f>
        <v>0</v>
      </c>
      <c r="O30" s="57">
        <f>$L$30-EFEITO!$O$30*EFEITO!$AA$30</f>
        <v>0</v>
      </c>
      <c r="P30" s="40"/>
      <c r="Q30" s="40"/>
      <c r="R30" s="40"/>
      <c r="S30" s="40"/>
      <c r="T30" s="40"/>
      <c r="U30" s="40"/>
      <c r="V30" s="40"/>
      <c r="W30" s="40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6" t="s">
        <v>21</v>
      </c>
      <c r="B31" s="36" t="s">
        <v>35</v>
      </c>
      <c r="C31" s="36" t="s">
        <v>56</v>
      </c>
      <c r="D31" s="36" t="s">
        <v>25</v>
      </c>
      <c r="E31" s="36" t="s">
        <v>25</v>
      </c>
      <c r="F31" s="36" t="s">
        <v>57</v>
      </c>
      <c r="G31" s="36" t="s">
        <v>58</v>
      </c>
      <c r="H31" s="36" t="s">
        <v>38</v>
      </c>
      <c r="I31" s="56">
        <v>44593</v>
      </c>
      <c r="J31" s="57">
        <f ca="1">EFEITO!$J$31*EFEITO!$Y$31</f>
        <v>42990.676740453891</v>
      </c>
      <c r="K31" s="57">
        <f ca="1">EFEITO!$L$31*EFEITO!$Z$31</f>
        <v>4138.6293888249656</v>
      </c>
      <c r="L31" s="57">
        <f>EFEITO!$N$31*EFEITO!$AA$31</f>
        <v>0</v>
      </c>
      <c r="M31" s="57">
        <f ca="1">$J$31-EFEITO!$K$31*EFEITO!$Y$31</f>
        <v>0</v>
      </c>
      <c r="N31" s="57">
        <f ca="1">$K$31-EFEITO!$M$31*EFEITO!$Z$31</f>
        <v>0</v>
      </c>
      <c r="O31" s="57">
        <f>$L$31-EFEITO!$O$31*EFEITO!$AA$31</f>
        <v>0</v>
      </c>
      <c r="P31" s="40"/>
      <c r="Q31" s="40"/>
      <c r="R31" s="40"/>
      <c r="S31" s="40"/>
      <c r="T31" s="40"/>
      <c r="U31" s="40"/>
      <c r="V31" s="40"/>
      <c r="W31" s="40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6" t="s">
        <v>21</v>
      </c>
      <c r="B32" s="36" t="s">
        <v>35</v>
      </c>
      <c r="C32" s="36" t="s">
        <v>56</v>
      </c>
      <c r="D32" s="36" t="s">
        <v>25</v>
      </c>
      <c r="E32" s="36" t="s">
        <v>25</v>
      </c>
      <c r="F32" s="36" t="s">
        <v>57</v>
      </c>
      <c r="G32" s="36" t="s">
        <v>58</v>
      </c>
      <c r="H32" s="36" t="s">
        <v>38</v>
      </c>
      <c r="I32" s="56">
        <v>44621</v>
      </c>
      <c r="J32" s="57">
        <f ca="1">EFEITO!$J$32*EFEITO!$Y$32</f>
        <v>47357.180770170577</v>
      </c>
      <c r="K32" s="57">
        <f ca="1">EFEITO!$L$32*EFEITO!$Z$32</f>
        <v>4007.6164952024205</v>
      </c>
      <c r="L32" s="57">
        <f>EFEITO!$N$32*EFEITO!$AA$32</f>
        <v>0</v>
      </c>
      <c r="M32" s="57">
        <f ca="1">$J$32-EFEITO!$K$32*EFEITO!$Y$32</f>
        <v>0</v>
      </c>
      <c r="N32" s="57">
        <f ca="1">$K$32-EFEITO!$M$32*EFEITO!$Z$32</f>
        <v>0</v>
      </c>
      <c r="O32" s="57">
        <f>$L$32-EFEITO!$O$32*EFEITO!$AA$32</f>
        <v>0</v>
      </c>
      <c r="P32" s="40"/>
      <c r="Q32" s="40"/>
      <c r="R32" s="40"/>
      <c r="S32" s="40"/>
      <c r="T32" s="40"/>
      <c r="U32" s="40"/>
      <c r="V32" s="40"/>
      <c r="W32" s="40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6" t="s">
        <v>21</v>
      </c>
      <c r="B33" s="36" t="s">
        <v>35</v>
      </c>
      <c r="C33" s="36" t="s">
        <v>56</v>
      </c>
      <c r="D33" s="36" t="s">
        <v>25</v>
      </c>
      <c r="E33" s="36" t="s">
        <v>25</v>
      </c>
      <c r="F33" s="36" t="s">
        <v>57</v>
      </c>
      <c r="G33" s="36" t="s">
        <v>58</v>
      </c>
      <c r="H33" s="36" t="s">
        <v>38</v>
      </c>
      <c r="I33" s="56">
        <v>44652</v>
      </c>
      <c r="J33" s="57">
        <f ca="1">EFEITO!$J$33*EFEITO!$Y$33</f>
        <v>47744.939815280559</v>
      </c>
      <c r="K33" s="57">
        <f ca="1">EFEITO!$L$33*EFEITO!$Z$33</f>
        <v>3539.0617646760625</v>
      </c>
      <c r="L33" s="57">
        <f>EFEITO!$N$33*EFEITO!$AA$33</f>
        <v>0</v>
      </c>
      <c r="M33" s="57">
        <f ca="1">$J$33-EFEITO!$K$33*EFEITO!$Y$33</f>
        <v>0</v>
      </c>
      <c r="N33" s="57">
        <f ca="1">$K$33-EFEITO!$M$33*EFEITO!$Z$33</f>
        <v>0</v>
      </c>
      <c r="O33" s="57">
        <f>$L$33-EFEITO!$O$33*EFEITO!$AA$33</f>
        <v>0</v>
      </c>
      <c r="P33" s="40"/>
      <c r="Q33" s="40"/>
      <c r="R33" s="40"/>
      <c r="S33" s="40"/>
      <c r="T33" s="40"/>
      <c r="U33" s="40"/>
      <c r="V33" s="40"/>
      <c r="W33" s="40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6" t="s">
        <v>21</v>
      </c>
      <c r="B34" s="36" t="s">
        <v>35</v>
      </c>
      <c r="C34" s="36" t="s">
        <v>56</v>
      </c>
      <c r="D34" s="36" t="s">
        <v>25</v>
      </c>
      <c r="E34" s="36" t="s">
        <v>25</v>
      </c>
      <c r="F34" s="36" t="s">
        <v>57</v>
      </c>
      <c r="G34" s="36" t="s">
        <v>58</v>
      </c>
      <c r="H34" s="36" t="s">
        <v>38</v>
      </c>
      <c r="I34" s="56">
        <v>44682</v>
      </c>
      <c r="J34" s="57">
        <f ca="1">EFEITO!$J$34*EFEITO!$Y$34</f>
        <v>46834.549013718002</v>
      </c>
      <c r="K34" s="57">
        <f ca="1">EFEITO!$L$34*EFEITO!$Z$34</f>
        <v>4098.5106507070195</v>
      </c>
      <c r="L34" s="57">
        <f>EFEITO!$N$34*EFEITO!$AA$34</f>
        <v>0</v>
      </c>
      <c r="M34" s="57">
        <f ca="1">$J$34-EFEITO!$K$34*EFEITO!$Y$34</f>
        <v>0</v>
      </c>
      <c r="N34" s="57">
        <f ca="1">$K$34-EFEITO!$M$34*EFEITO!$Z$34</f>
        <v>0</v>
      </c>
      <c r="O34" s="57">
        <f>$L$34-EFEITO!$O$34*EFEITO!$AA$34</f>
        <v>0</v>
      </c>
      <c r="P34" s="40"/>
      <c r="Q34" s="40"/>
      <c r="R34" s="40"/>
      <c r="S34" s="40"/>
      <c r="T34" s="40"/>
      <c r="U34" s="40"/>
      <c r="V34" s="40"/>
      <c r="W34" s="40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6" t="s">
        <v>21</v>
      </c>
      <c r="B35" s="36" t="s">
        <v>35</v>
      </c>
      <c r="C35" s="36" t="s">
        <v>56</v>
      </c>
      <c r="D35" s="36" t="s">
        <v>25</v>
      </c>
      <c r="E35" s="36" t="s">
        <v>25</v>
      </c>
      <c r="F35" s="36" t="s">
        <v>57</v>
      </c>
      <c r="G35" s="36" t="s">
        <v>58</v>
      </c>
      <c r="H35" s="36" t="s">
        <v>38</v>
      </c>
      <c r="I35" s="56">
        <v>44713</v>
      </c>
      <c r="J35" s="57">
        <f ca="1">EFEITO!$J$35*EFEITO!$Y$35</f>
        <v>48486.739727664855</v>
      </c>
      <c r="K35" s="57">
        <f ca="1">EFEITO!$L$35*EFEITO!$Z$35</f>
        <v>4290.0184958231011</v>
      </c>
      <c r="L35" s="57">
        <f>EFEITO!$N$35*EFEITO!$AA$35</f>
        <v>0</v>
      </c>
      <c r="M35" s="57">
        <f ca="1">$J$35-EFEITO!$K$35*EFEITO!$Y$35</f>
        <v>0</v>
      </c>
      <c r="N35" s="57">
        <f ca="1">$K$35-EFEITO!$M$35*EFEITO!$Z$35</f>
        <v>0</v>
      </c>
      <c r="O35" s="57">
        <f>$L$35-EFEITO!$O$35*EFEITO!$AA$35</f>
        <v>0</v>
      </c>
      <c r="P35" s="40"/>
      <c r="Q35" s="40"/>
      <c r="R35" s="40"/>
      <c r="S35" s="40"/>
      <c r="T35" s="40"/>
      <c r="U35" s="40"/>
      <c r="V35" s="40"/>
      <c r="W35" s="40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6" t="s">
        <v>21</v>
      </c>
      <c r="B36" s="36" t="s">
        <v>35</v>
      </c>
      <c r="C36" s="36" t="s">
        <v>56</v>
      </c>
      <c r="D36" s="36" t="s">
        <v>25</v>
      </c>
      <c r="E36" s="36" t="s">
        <v>25</v>
      </c>
      <c r="F36" s="36" t="s">
        <v>57</v>
      </c>
      <c r="G36" s="36" t="s">
        <v>58</v>
      </c>
      <c r="H36" s="36" t="s">
        <v>38</v>
      </c>
      <c r="I36" s="56">
        <v>44743</v>
      </c>
      <c r="J36" s="57">
        <f ca="1">EFEITO!$J$36*EFEITO!$Y$36</f>
        <v>42990.676740453891</v>
      </c>
      <c r="K36" s="57">
        <f ca="1">EFEITO!$L$36*EFEITO!$Z$36</f>
        <v>3577.4133147745761</v>
      </c>
      <c r="L36" s="57">
        <f>EFEITO!$N$36*EFEITO!$AA$36</f>
        <v>0</v>
      </c>
      <c r="M36" s="57">
        <f ca="1">$J$36-EFEITO!$K$36*EFEITO!$Y$36</f>
        <v>0</v>
      </c>
      <c r="N36" s="57">
        <f ca="1">$K$36-EFEITO!$M$36*EFEITO!$Z$36</f>
        <v>0</v>
      </c>
      <c r="O36" s="57">
        <f>$L$36-EFEITO!$O$36*EFEITO!$AA$36</f>
        <v>0</v>
      </c>
      <c r="P36" s="40"/>
      <c r="Q36" s="40"/>
      <c r="R36" s="40"/>
      <c r="S36" s="40"/>
      <c r="T36" s="40"/>
      <c r="U36" s="40"/>
      <c r="V36" s="40"/>
      <c r="W36" s="40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6" t="s">
        <v>21</v>
      </c>
      <c r="B37" s="36" t="s">
        <v>35</v>
      </c>
      <c r="C37" s="36" t="s">
        <v>56</v>
      </c>
      <c r="D37" s="36" t="s">
        <v>25</v>
      </c>
      <c r="E37" s="36" t="s">
        <v>25</v>
      </c>
      <c r="F37" s="36" t="s">
        <v>57</v>
      </c>
      <c r="G37" s="36" t="s">
        <v>58</v>
      </c>
      <c r="H37" s="36" t="s">
        <v>38</v>
      </c>
      <c r="I37" s="56">
        <v>44774</v>
      </c>
      <c r="J37" s="57">
        <f ca="1">EFEITO!$J$37*EFEITO!$Y$37</f>
        <v>53864.78909245105</v>
      </c>
      <c r="K37" s="57">
        <f ca="1">EFEITO!$L$37*EFEITO!$Z$37</f>
        <v>4355.0742204374974</v>
      </c>
      <c r="L37" s="57">
        <f>EFEITO!$N$37*EFEITO!$AA$37</f>
        <v>0</v>
      </c>
      <c r="M37" s="57">
        <f ca="1">$J$37-EFEITO!$K$37*EFEITO!$Y$37</f>
        <v>0</v>
      </c>
      <c r="N37" s="57">
        <f ca="1">$K$37-EFEITO!$M$37*EFEITO!$Z$37</f>
        <v>0</v>
      </c>
      <c r="O37" s="57">
        <f>$L$37-EFEITO!$O$37*EFEITO!$AA$37</f>
        <v>0</v>
      </c>
      <c r="P37" s="40"/>
      <c r="Q37" s="40"/>
      <c r="R37" s="40"/>
      <c r="S37" s="40"/>
      <c r="T37" s="40"/>
      <c r="U37" s="40"/>
      <c r="V37" s="40"/>
      <c r="W37" s="40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6" t="s">
        <v>21</v>
      </c>
      <c r="B38" s="36" t="s">
        <v>35</v>
      </c>
      <c r="C38" s="36" t="s">
        <v>56</v>
      </c>
      <c r="D38" s="36" t="s">
        <v>25</v>
      </c>
      <c r="E38" s="36" t="s">
        <v>25</v>
      </c>
      <c r="F38" s="36" t="s">
        <v>57</v>
      </c>
      <c r="G38" s="36" t="s">
        <v>58</v>
      </c>
      <c r="H38" s="36" t="s">
        <v>25</v>
      </c>
      <c r="I38" s="56">
        <v>44440</v>
      </c>
      <c r="J38" s="57">
        <f ca="1">EFEITO!$J$38*EFEITO!$Y$38</f>
        <v>0</v>
      </c>
      <c r="K38" s="57">
        <f ca="1">EFEITO!$L$38*EFEITO!$Z$38</f>
        <v>0</v>
      </c>
      <c r="L38" s="57">
        <f>EFEITO!$N$38*EFEITO!$AA$38</f>
        <v>219057.63137723919</v>
      </c>
      <c r="M38" s="57">
        <f ca="1">$J$38-EFEITO!$K$38*EFEITO!$Y$38</f>
        <v>0</v>
      </c>
      <c r="N38" s="57">
        <f ca="1">$K$38-EFEITO!$M$38*EFEITO!$Z$38</f>
        <v>0</v>
      </c>
      <c r="O38" s="57">
        <f>$L$38-EFEITO!$O$38*EFEITO!$AA$38</f>
        <v>0</v>
      </c>
      <c r="P38" s="40"/>
      <c r="Q38" s="40"/>
      <c r="R38" s="40"/>
      <c r="S38" s="40"/>
      <c r="T38" s="40"/>
      <c r="U38" s="40"/>
      <c r="V38" s="40"/>
      <c r="W38" s="40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6" t="s">
        <v>21</v>
      </c>
      <c r="B39" s="36" t="s">
        <v>35</v>
      </c>
      <c r="C39" s="36" t="s">
        <v>56</v>
      </c>
      <c r="D39" s="36" t="s">
        <v>25</v>
      </c>
      <c r="E39" s="36" t="s">
        <v>25</v>
      </c>
      <c r="F39" s="36" t="s">
        <v>57</v>
      </c>
      <c r="G39" s="36" t="s">
        <v>58</v>
      </c>
      <c r="H39" s="36" t="s">
        <v>25</v>
      </c>
      <c r="I39" s="56">
        <v>44470</v>
      </c>
      <c r="J39" s="57">
        <f ca="1">EFEITO!$J$39*EFEITO!$Y$39</f>
        <v>0</v>
      </c>
      <c r="K39" s="57">
        <f ca="1">EFEITO!$L$39*EFEITO!$Z$39</f>
        <v>0</v>
      </c>
      <c r="L39" s="57">
        <f>EFEITO!$N$39*EFEITO!$AA$39</f>
        <v>226269.63635833655</v>
      </c>
      <c r="M39" s="57">
        <f ca="1">$J$39-EFEITO!$K$39*EFEITO!$Y$39</f>
        <v>0</v>
      </c>
      <c r="N39" s="57">
        <f ca="1">$K$39-EFEITO!$M$39*EFEITO!$Z$39</f>
        <v>0</v>
      </c>
      <c r="O39" s="57">
        <f>$L$39-EFEITO!$O$39*EFEITO!$AA$39</f>
        <v>0</v>
      </c>
      <c r="P39" s="40"/>
      <c r="Q39" s="40"/>
      <c r="R39" s="40"/>
      <c r="S39" s="40"/>
      <c r="T39" s="40"/>
      <c r="U39" s="40"/>
      <c r="V39" s="40"/>
      <c r="W39" s="40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6" t="s">
        <v>21</v>
      </c>
      <c r="B40" s="36" t="s">
        <v>35</v>
      </c>
      <c r="C40" s="36" t="s">
        <v>56</v>
      </c>
      <c r="D40" s="36" t="s">
        <v>25</v>
      </c>
      <c r="E40" s="36" t="s">
        <v>25</v>
      </c>
      <c r="F40" s="36" t="s">
        <v>57</v>
      </c>
      <c r="G40" s="36" t="s">
        <v>58</v>
      </c>
      <c r="H40" s="36" t="s">
        <v>25</v>
      </c>
      <c r="I40" s="56">
        <v>44501</v>
      </c>
      <c r="J40" s="57">
        <f ca="1">EFEITO!$J$40*EFEITO!$Y$40</f>
        <v>0</v>
      </c>
      <c r="K40" s="57">
        <f ca="1">EFEITO!$L$40*EFEITO!$Z$40</f>
        <v>0</v>
      </c>
      <c r="L40" s="57">
        <f>EFEITO!$N$40*EFEITO!$AA$40</f>
        <v>224515.46936414743</v>
      </c>
      <c r="M40" s="57">
        <f ca="1">$J$40-EFEITO!$K$40*EFEITO!$Y$40</f>
        <v>0</v>
      </c>
      <c r="N40" s="57">
        <f ca="1">$K$40-EFEITO!$M$40*EFEITO!$Z$40</f>
        <v>0</v>
      </c>
      <c r="O40" s="57">
        <f>$L$40-EFEITO!$O$40*EFEITO!$AA$40</f>
        <v>0</v>
      </c>
      <c r="P40" s="40"/>
      <c r="Q40" s="40"/>
      <c r="R40" s="40"/>
      <c r="S40" s="40"/>
      <c r="T40" s="40"/>
      <c r="U40" s="40"/>
      <c r="V40" s="40"/>
      <c r="W40" s="40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6" t="s">
        <v>21</v>
      </c>
      <c r="B41" s="36" t="s">
        <v>35</v>
      </c>
      <c r="C41" s="36" t="s">
        <v>56</v>
      </c>
      <c r="D41" s="36" t="s">
        <v>25</v>
      </c>
      <c r="E41" s="36" t="s">
        <v>25</v>
      </c>
      <c r="F41" s="36" t="s">
        <v>57</v>
      </c>
      <c r="G41" s="36" t="s">
        <v>58</v>
      </c>
      <c r="H41" s="36" t="s">
        <v>25</v>
      </c>
      <c r="I41" s="56">
        <v>44531</v>
      </c>
      <c r="J41" s="57">
        <f ca="1">EFEITO!$J$41*EFEITO!$Y$41</f>
        <v>0</v>
      </c>
      <c r="K41" s="57">
        <f ca="1">EFEITO!$L$41*EFEITO!$Z$41</f>
        <v>0</v>
      </c>
      <c r="L41" s="57">
        <f>EFEITO!$N$41*EFEITO!$AA$41</f>
        <v>233339.41158314835</v>
      </c>
      <c r="M41" s="57">
        <f ca="1">$J$41-EFEITO!$K$41*EFEITO!$Y$41</f>
        <v>0</v>
      </c>
      <c r="N41" s="57">
        <f ca="1">$K$41-EFEITO!$M$41*EFEITO!$Z$41</f>
        <v>0</v>
      </c>
      <c r="O41" s="57">
        <f>$L$41-EFEITO!$O$41*EFEITO!$AA$41</f>
        <v>0</v>
      </c>
      <c r="P41" s="40"/>
      <c r="Q41" s="40"/>
      <c r="R41" s="40"/>
      <c r="S41" s="40"/>
      <c r="T41" s="40"/>
      <c r="U41" s="40"/>
      <c r="V41" s="40"/>
      <c r="W41" s="40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6" t="s">
        <v>21</v>
      </c>
      <c r="B42" s="36" t="s">
        <v>35</v>
      </c>
      <c r="C42" s="36" t="s">
        <v>56</v>
      </c>
      <c r="D42" s="36" t="s">
        <v>25</v>
      </c>
      <c r="E42" s="36" t="s">
        <v>25</v>
      </c>
      <c r="F42" s="36" t="s">
        <v>57</v>
      </c>
      <c r="G42" s="36" t="s">
        <v>58</v>
      </c>
      <c r="H42" s="36" t="s">
        <v>25</v>
      </c>
      <c r="I42" s="56">
        <v>44562</v>
      </c>
      <c r="J42" s="57">
        <f ca="1">EFEITO!$J$42*EFEITO!$Y$42</f>
        <v>0</v>
      </c>
      <c r="K42" s="57">
        <f ca="1">EFEITO!$L$42*EFEITO!$Z$42</f>
        <v>0</v>
      </c>
      <c r="L42" s="57">
        <f>EFEITO!$N$42*EFEITO!$AA$42</f>
        <v>256764.99835266636</v>
      </c>
      <c r="M42" s="57">
        <f ca="1">$J$42-EFEITO!$K$42*EFEITO!$Y$42</f>
        <v>0</v>
      </c>
      <c r="N42" s="57">
        <f ca="1">$K$42-EFEITO!$M$42*EFEITO!$Z$42</f>
        <v>0</v>
      </c>
      <c r="O42" s="57">
        <f>$L$42-EFEITO!$O$42*EFEITO!$AA$42</f>
        <v>0</v>
      </c>
      <c r="P42" s="40"/>
      <c r="Q42" s="40"/>
      <c r="R42" s="40"/>
      <c r="S42" s="40"/>
      <c r="T42" s="40"/>
      <c r="U42" s="40"/>
      <c r="V42" s="40"/>
      <c r="W42" s="40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6" t="s">
        <v>21</v>
      </c>
      <c r="B43" s="36" t="s">
        <v>35</v>
      </c>
      <c r="C43" s="36" t="s">
        <v>56</v>
      </c>
      <c r="D43" s="36" t="s">
        <v>25</v>
      </c>
      <c r="E43" s="36" t="s">
        <v>25</v>
      </c>
      <c r="F43" s="36" t="s">
        <v>57</v>
      </c>
      <c r="G43" s="36" t="s">
        <v>58</v>
      </c>
      <c r="H43" s="36" t="s">
        <v>25</v>
      </c>
      <c r="I43" s="56">
        <v>44593</v>
      </c>
      <c r="J43" s="57">
        <f ca="1">EFEITO!$J$43*EFEITO!$Y$43</f>
        <v>0</v>
      </c>
      <c r="K43" s="57">
        <f ca="1">EFEITO!$L$43*EFEITO!$Z$43</f>
        <v>0</v>
      </c>
      <c r="L43" s="57">
        <f>EFEITO!$N$43*EFEITO!$AA$43</f>
        <v>230161.72616982594</v>
      </c>
      <c r="M43" s="57">
        <f ca="1">$J$43-EFEITO!$K$43*EFEITO!$Y$43</f>
        <v>0</v>
      </c>
      <c r="N43" s="57">
        <f ca="1">$K$43-EFEITO!$M$43*EFEITO!$Z$43</f>
        <v>0</v>
      </c>
      <c r="O43" s="57">
        <f>$L$43-EFEITO!$O$43*EFEITO!$AA$43</f>
        <v>0</v>
      </c>
      <c r="P43" s="40"/>
      <c r="Q43" s="40"/>
      <c r="R43" s="40"/>
      <c r="S43" s="40"/>
      <c r="T43" s="40"/>
      <c r="U43" s="40"/>
      <c r="V43" s="40"/>
      <c r="W43" s="40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6" t="s">
        <v>21</v>
      </c>
      <c r="B44" s="36" t="s">
        <v>35</v>
      </c>
      <c r="C44" s="36" t="s">
        <v>56</v>
      </c>
      <c r="D44" s="36" t="s">
        <v>25</v>
      </c>
      <c r="E44" s="36" t="s">
        <v>25</v>
      </c>
      <c r="F44" s="36" t="s">
        <v>57</v>
      </c>
      <c r="G44" s="36" t="s">
        <v>58</v>
      </c>
      <c r="H44" s="36" t="s">
        <v>25</v>
      </c>
      <c r="I44" s="56">
        <v>44621</v>
      </c>
      <c r="J44" s="57">
        <f ca="1">EFEITO!$J$44*EFEITO!$Y$44</f>
        <v>0</v>
      </c>
      <c r="K44" s="57">
        <f ca="1">EFEITO!$L$44*EFEITO!$Z$44</f>
        <v>0</v>
      </c>
      <c r="L44" s="57">
        <f>EFEITO!$N$44*EFEITO!$AA$44</f>
        <v>250761.64108592735</v>
      </c>
      <c r="M44" s="57">
        <f ca="1">$J$44-EFEITO!$K$44*EFEITO!$Y$44</f>
        <v>0</v>
      </c>
      <c r="N44" s="57">
        <f ca="1">$K$44-EFEITO!$M$44*EFEITO!$Z$44</f>
        <v>0</v>
      </c>
      <c r="O44" s="57">
        <f>$L$44-EFEITO!$O$44*EFEITO!$AA$44</f>
        <v>0</v>
      </c>
      <c r="P44" s="40"/>
      <c r="Q44" s="40"/>
      <c r="R44" s="40"/>
      <c r="S44" s="40"/>
      <c r="T44" s="40"/>
      <c r="U44" s="40"/>
      <c r="V44" s="40"/>
      <c r="W44" s="40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6" t="s">
        <v>21</v>
      </c>
      <c r="B45" s="36" t="s">
        <v>35</v>
      </c>
      <c r="C45" s="36" t="s">
        <v>56</v>
      </c>
      <c r="D45" s="36" t="s">
        <v>25</v>
      </c>
      <c r="E45" s="36" t="s">
        <v>25</v>
      </c>
      <c r="F45" s="36" t="s">
        <v>57</v>
      </c>
      <c r="G45" s="36" t="s">
        <v>58</v>
      </c>
      <c r="H45" s="36" t="s">
        <v>25</v>
      </c>
      <c r="I45" s="56">
        <v>44652</v>
      </c>
      <c r="J45" s="57">
        <f ca="1">EFEITO!$J$45*EFEITO!$Y$45</f>
        <v>0</v>
      </c>
      <c r="K45" s="57">
        <f ca="1">EFEITO!$L$45*EFEITO!$Z$45</f>
        <v>0</v>
      </c>
      <c r="L45" s="57">
        <f>EFEITO!$N$45*EFEITO!$AA$45</f>
        <v>230080.74270344304</v>
      </c>
      <c r="M45" s="57">
        <f ca="1">$J$45-EFEITO!$K$45*EFEITO!$Y$45</f>
        <v>0</v>
      </c>
      <c r="N45" s="57">
        <f ca="1">$K$45-EFEITO!$M$45*EFEITO!$Z$45</f>
        <v>0</v>
      </c>
      <c r="O45" s="57">
        <f>$L$45-EFEITO!$O$45*EFEITO!$AA$45</f>
        <v>0</v>
      </c>
      <c r="P45" s="40"/>
      <c r="Q45" s="40"/>
      <c r="R45" s="40"/>
      <c r="S45" s="40"/>
      <c r="T45" s="40"/>
      <c r="U45" s="40"/>
      <c r="V45" s="40"/>
      <c r="W45" s="40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6" t="s">
        <v>21</v>
      </c>
      <c r="B46" s="36" t="s">
        <v>35</v>
      </c>
      <c r="C46" s="36" t="s">
        <v>56</v>
      </c>
      <c r="D46" s="36" t="s">
        <v>25</v>
      </c>
      <c r="E46" s="36" t="s">
        <v>25</v>
      </c>
      <c r="F46" s="36" t="s">
        <v>57</v>
      </c>
      <c r="G46" s="36" t="s">
        <v>58</v>
      </c>
      <c r="H46" s="36" t="s">
        <v>25</v>
      </c>
      <c r="I46" s="56">
        <v>44682</v>
      </c>
      <c r="J46" s="57">
        <f ca="1">EFEITO!$J$46*EFEITO!$Y$46</f>
        <v>0</v>
      </c>
      <c r="K46" s="57">
        <f ca="1">EFEITO!$L$46*EFEITO!$Z$46</f>
        <v>0</v>
      </c>
      <c r="L46" s="57">
        <f>EFEITO!$N$46*EFEITO!$AA$46</f>
        <v>224748.65291307919</v>
      </c>
      <c r="M46" s="57">
        <f ca="1">$J$46-EFEITO!$K$46*EFEITO!$Y$46</f>
        <v>0</v>
      </c>
      <c r="N46" s="57">
        <f ca="1">$K$46-EFEITO!$M$46*EFEITO!$Z$46</f>
        <v>0</v>
      </c>
      <c r="O46" s="57">
        <f>$L$46-EFEITO!$O$46*EFEITO!$AA$46</f>
        <v>0</v>
      </c>
      <c r="P46" s="40"/>
      <c r="Q46" s="40"/>
      <c r="R46" s="40"/>
      <c r="S46" s="40"/>
      <c r="T46" s="40"/>
      <c r="U46" s="40"/>
      <c r="V46" s="40"/>
      <c r="W46" s="40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6" t="s">
        <v>21</v>
      </c>
      <c r="B47" s="36" t="s">
        <v>35</v>
      </c>
      <c r="C47" s="36" t="s">
        <v>56</v>
      </c>
      <c r="D47" s="36" t="s">
        <v>25</v>
      </c>
      <c r="E47" s="36" t="s">
        <v>25</v>
      </c>
      <c r="F47" s="36" t="s">
        <v>57</v>
      </c>
      <c r="G47" s="36" t="s">
        <v>58</v>
      </c>
      <c r="H47" s="36" t="s">
        <v>25</v>
      </c>
      <c r="I47" s="56">
        <v>44713</v>
      </c>
      <c r="J47" s="57">
        <f ca="1">EFEITO!$J$47*EFEITO!$Y$47</f>
        <v>0</v>
      </c>
      <c r="K47" s="57">
        <f ca="1">EFEITO!$L$47*EFEITO!$Z$47</f>
        <v>0</v>
      </c>
      <c r="L47" s="57">
        <f>EFEITO!$N$47*EFEITO!$AA$47</f>
        <v>243081.0307704584</v>
      </c>
      <c r="M47" s="57">
        <f ca="1">$J$47-EFEITO!$K$47*EFEITO!$Y$47</f>
        <v>0</v>
      </c>
      <c r="N47" s="57">
        <f ca="1">$K$47-EFEITO!$M$47*EFEITO!$Z$47</f>
        <v>0</v>
      </c>
      <c r="O47" s="57">
        <f>$L$47-EFEITO!$O$47*EFEITO!$AA$47</f>
        <v>0</v>
      </c>
      <c r="P47" s="40"/>
      <c r="Q47" s="40"/>
      <c r="R47" s="40"/>
      <c r="S47" s="40"/>
      <c r="T47" s="40"/>
      <c r="U47" s="40"/>
      <c r="V47" s="40"/>
      <c r="W47" s="4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6" t="s">
        <v>21</v>
      </c>
      <c r="B48" s="36" t="s">
        <v>35</v>
      </c>
      <c r="C48" s="36" t="s">
        <v>56</v>
      </c>
      <c r="D48" s="36" t="s">
        <v>25</v>
      </c>
      <c r="E48" s="36" t="s">
        <v>25</v>
      </c>
      <c r="F48" s="36" t="s">
        <v>57</v>
      </c>
      <c r="G48" s="36" t="s">
        <v>58</v>
      </c>
      <c r="H48" s="36" t="s">
        <v>25</v>
      </c>
      <c r="I48" s="56">
        <v>44743</v>
      </c>
      <c r="J48" s="57">
        <f ca="1">EFEITO!$J$48*EFEITO!$Y$48</f>
        <v>0</v>
      </c>
      <c r="K48" s="57">
        <f ca="1">EFEITO!$L$48*EFEITO!$Z$48</f>
        <v>0</v>
      </c>
      <c r="L48" s="57">
        <f>EFEITO!$N$48*EFEITO!$AA$48</f>
        <v>238654.61286167856</v>
      </c>
      <c r="M48" s="57">
        <f ca="1">$J$48-EFEITO!$K$48*EFEITO!$Y$48</f>
        <v>0</v>
      </c>
      <c r="N48" s="57">
        <f ca="1">$K$48-EFEITO!$M$48*EFEITO!$Z$48</f>
        <v>0</v>
      </c>
      <c r="O48" s="57">
        <f>$L$48-EFEITO!$O$48*EFEITO!$AA$48</f>
        <v>0</v>
      </c>
      <c r="P48" s="40"/>
      <c r="Q48" s="40"/>
      <c r="R48" s="40"/>
      <c r="S48" s="40"/>
      <c r="T48" s="40"/>
      <c r="U48" s="40"/>
      <c r="V48" s="40"/>
      <c r="W48" s="40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6" t="s">
        <v>21</v>
      </c>
      <c r="B49" s="36" t="s">
        <v>35</v>
      </c>
      <c r="C49" s="36" t="s">
        <v>56</v>
      </c>
      <c r="D49" s="36" t="s">
        <v>25</v>
      </c>
      <c r="E49" s="36" t="s">
        <v>25</v>
      </c>
      <c r="F49" s="36" t="s">
        <v>57</v>
      </c>
      <c r="G49" s="36" t="s">
        <v>58</v>
      </c>
      <c r="H49" s="36" t="s">
        <v>25</v>
      </c>
      <c r="I49" s="56">
        <v>44774</v>
      </c>
      <c r="J49" s="57">
        <f ca="1">EFEITO!$J$49*EFEITO!$Y$49</f>
        <v>0</v>
      </c>
      <c r="K49" s="57">
        <f ca="1">EFEITO!$L$49*EFEITO!$Z$49</f>
        <v>0</v>
      </c>
      <c r="L49" s="57">
        <f>EFEITO!$N$49*EFEITO!$AA$49</f>
        <v>240096.64760101488</v>
      </c>
      <c r="M49" s="57">
        <f ca="1">$J$49-EFEITO!$K$49*EFEITO!$Y$49</f>
        <v>0</v>
      </c>
      <c r="N49" s="57">
        <f ca="1">$K$49-EFEITO!$M$49*EFEITO!$Z$49</f>
        <v>0</v>
      </c>
      <c r="O49" s="57">
        <f>$L$49-EFEITO!$O$49*EFEITO!$AA$49</f>
        <v>0</v>
      </c>
      <c r="P49" s="40"/>
      <c r="Q49" s="40"/>
      <c r="R49" s="40"/>
      <c r="S49" s="40"/>
      <c r="T49" s="40"/>
      <c r="U49" s="40"/>
      <c r="V49" s="40"/>
      <c r="W49" s="40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6" t="s">
        <v>21</v>
      </c>
      <c r="B50" s="36" t="s">
        <v>35</v>
      </c>
      <c r="C50" s="36" t="s">
        <v>56</v>
      </c>
      <c r="D50" s="36" t="s">
        <v>25</v>
      </c>
      <c r="E50" s="36" t="s">
        <v>25</v>
      </c>
      <c r="F50" s="36" t="s">
        <v>57</v>
      </c>
      <c r="G50" s="36" t="s">
        <v>58</v>
      </c>
      <c r="H50" s="36" t="s">
        <v>37</v>
      </c>
      <c r="I50" s="56">
        <v>44440</v>
      </c>
      <c r="J50" s="57">
        <f ca="1">EFEITO!$J$50*EFEITO!$Y$50</f>
        <v>123487.12545981079</v>
      </c>
      <c r="K50" s="57">
        <f ca="1">EFEITO!$L$50*EFEITO!$Z$50</f>
        <v>820.31439831379339</v>
      </c>
      <c r="L50" s="57">
        <f>EFEITO!$N$50*EFEITO!$AA$50</f>
        <v>0</v>
      </c>
      <c r="M50" s="57">
        <f ca="1">$J$50-EFEITO!$K$50*EFEITO!$Y$50</f>
        <v>0</v>
      </c>
      <c r="N50" s="57">
        <f ca="1">$K$50-EFEITO!$M$50*EFEITO!$Z$50</f>
        <v>0</v>
      </c>
      <c r="O50" s="57">
        <f>$L$50-EFEITO!$O$50*EFEITO!$AA$50</f>
        <v>0</v>
      </c>
      <c r="P50" s="40"/>
      <c r="Q50" s="40"/>
      <c r="R50" s="40"/>
      <c r="S50" s="40"/>
      <c r="T50" s="40"/>
      <c r="U50" s="40"/>
      <c r="V50" s="40"/>
      <c r="W50" s="40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6" t="s">
        <v>21</v>
      </c>
      <c r="B51" s="36" t="s">
        <v>35</v>
      </c>
      <c r="C51" s="36" t="s">
        <v>56</v>
      </c>
      <c r="D51" s="36" t="s">
        <v>25</v>
      </c>
      <c r="E51" s="36" t="s">
        <v>25</v>
      </c>
      <c r="F51" s="36" t="s">
        <v>57</v>
      </c>
      <c r="G51" s="36" t="s">
        <v>58</v>
      </c>
      <c r="H51" s="36" t="s">
        <v>37</v>
      </c>
      <c r="I51" s="56">
        <v>44470</v>
      </c>
      <c r="J51" s="57">
        <f ca="1">EFEITO!$J$51*EFEITO!$Y$51</f>
        <v>123487.12545981079</v>
      </c>
      <c r="K51" s="57">
        <f ca="1">EFEITO!$L$51*EFEITO!$Z$51</f>
        <v>627.84263245983891</v>
      </c>
      <c r="L51" s="57">
        <f>EFEITO!$N$51*EFEITO!$AA$51</f>
        <v>0</v>
      </c>
      <c r="M51" s="57">
        <f ca="1">$J$51-EFEITO!$K$51*EFEITO!$Y$51</f>
        <v>0</v>
      </c>
      <c r="N51" s="57">
        <f ca="1">$K$51-EFEITO!$M$51*EFEITO!$Z$51</f>
        <v>0</v>
      </c>
      <c r="O51" s="57">
        <f>$L$51-EFEITO!$O$51*EFEITO!$AA$51</f>
        <v>0</v>
      </c>
      <c r="P51" s="40"/>
      <c r="Q51" s="40"/>
      <c r="R51" s="40"/>
      <c r="S51" s="40"/>
      <c r="T51" s="40"/>
      <c r="U51" s="40"/>
      <c r="V51" s="40"/>
      <c r="W51" s="40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6" t="s">
        <v>21</v>
      </c>
      <c r="B52" s="36" t="s">
        <v>35</v>
      </c>
      <c r="C52" s="36" t="s">
        <v>56</v>
      </c>
      <c r="D52" s="36" t="s">
        <v>25</v>
      </c>
      <c r="E52" s="36" t="s">
        <v>25</v>
      </c>
      <c r="F52" s="36" t="s">
        <v>57</v>
      </c>
      <c r="G52" s="36" t="s">
        <v>58</v>
      </c>
      <c r="H52" s="36" t="s">
        <v>37</v>
      </c>
      <c r="I52" s="56">
        <v>44501</v>
      </c>
      <c r="J52" s="57">
        <f ca="1">EFEITO!$J$52*EFEITO!$Y$52</f>
        <v>123487.12545981079</v>
      </c>
      <c r="K52" s="57">
        <f ca="1">EFEITO!$L$52*EFEITO!$Z$52</f>
        <v>677.69875506870471</v>
      </c>
      <c r="L52" s="57">
        <f>EFEITO!$N$52*EFEITO!$AA$52</f>
        <v>0</v>
      </c>
      <c r="M52" s="57">
        <f ca="1">$J$52-EFEITO!$K$52*EFEITO!$Y$52</f>
        <v>0</v>
      </c>
      <c r="N52" s="57">
        <f ca="1">$K$52-EFEITO!$M$52*EFEITO!$Z$52</f>
        <v>0</v>
      </c>
      <c r="O52" s="57">
        <f>$L$52-EFEITO!$O$52*EFEITO!$AA$52</f>
        <v>0</v>
      </c>
      <c r="P52" s="40"/>
      <c r="Q52" s="40"/>
      <c r="R52" s="40"/>
      <c r="S52" s="40"/>
      <c r="T52" s="40"/>
      <c r="U52" s="40"/>
      <c r="V52" s="40"/>
      <c r="W52" s="40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6" t="s">
        <v>21</v>
      </c>
      <c r="B53" s="36" t="s">
        <v>35</v>
      </c>
      <c r="C53" s="36" t="s">
        <v>56</v>
      </c>
      <c r="D53" s="36" t="s">
        <v>25</v>
      </c>
      <c r="E53" s="36" t="s">
        <v>25</v>
      </c>
      <c r="F53" s="36" t="s">
        <v>57</v>
      </c>
      <c r="G53" s="36" t="s">
        <v>58</v>
      </c>
      <c r="H53" s="36" t="s">
        <v>37</v>
      </c>
      <c r="I53" s="56">
        <v>44531</v>
      </c>
      <c r="J53" s="57">
        <f ca="1">EFEITO!$J$53*EFEITO!$Y$53</f>
        <v>123487.12545981079</v>
      </c>
      <c r="K53" s="57">
        <f ca="1">EFEITO!$L$53*EFEITO!$Z$53</f>
        <v>807.86375544960299</v>
      </c>
      <c r="L53" s="57">
        <f>EFEITO!$N$53*EFEITO!$AA$53</f>
        <v>0</v>
      </c>
      <c r="M53" s="57">
        <f ca="1">$J$53-EFEITO!$K$53*EFEITO!$Y$53</f>
        <v>0</v>
      </c>
      <c r="N53" s="57">
        <f ca="1">$K$53-EFEITO!$M$53*EFEITO!$Z$53</f>
        <v>0</v>
      </c>
      <c r="O53" s="57">
        <f>$L$53-EFEITO!$O$53*EFEITO!$AA$53</f>
        <v>0</v>
      </c>
      <c r="P53" s="40"/>
      <c r="Q53" s="40"/>
      <c r="R53" s="40"/>
      <c r="S53" s="40"/>
      <c r="T53" s="40"/>
      <c r="U53" s="40"/>
      <c r="V53" s="40"/>
      <c r="W53" s="40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6" t="s">
        <v>21</v>
      </c>
      <c r="B54" s="36" t="s">
        <v>35</v>
      </c>
      <c r="C54" s="36" t="s">
        <v>56</v>
      </c>
      <c r="D54" s="36" t="s">
        <v>25</v>
      </c>
      <c r="E54" s="36" t="s">
        <v>25</v>
      </c>
      <c r="F54" s="36" t="s">
        <v>57</v>
      </c>
      <c r="G54" s="36" t="s">
        <v>58</v>
      </c>
      <c r="H54" s="36" t="s">
        <v>37</v>
      </c>
      <c r="I54" s="56">
        <v>44562</v>
      </c>
      <c r="J54" s="57">
        <f ca="1">EFEITO!$J$54*EFEITO!$Y$54</f>
        <v>123487.12545981079</v>
      </c>
      <c r="K54" s="57">
        <f ca="1">EFEITO!$L$54*EFEITO!$Z$54</f>
        <v>830.64977066987399</v>
      </c>
      <c r="L54" s="57">
        <f>EFEITO!$N$54*EFEITO!$AA$54</f>
        <v>0</v>
      </c>
      <c r="M54" s="57">
        <f ca="1">$J$54-EFEITO!$K$54*EFEITO!$Y$54</f>
        <v>0</v>
      </c>
      <c r="N54" s="57">
        <f ca="1">$K$54-EFEITO!$M$54*EFEITO!$Z$54</f>
        <v>0</v>
      </c>
      <c r="O54" s="57">
        <f>$L$54-EFEITO!$O$54*EFEITO!$AA$54</f>
        <v>0</v>
      </c>
      <c r="P54" s="40"/>
      <c r="Q54" s="40"/>
      <c r="R54" s="40"/>
      <c r="S54" s="40"/>
      <c r="T54" s="40"/>
      <c r="U54" s="40"/>
      <c r="V54" s="40"/>
      <c r="W54" s="40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6" t="s">
        <v>21</v>
      </c>
      <c r="B55" s="36" t="s">
        <v>35</v>
      </c>
      <c r="C55" s="36" t="s">
        <v>56</v>
      </c>
      <c r="D55" s="36" t="s">
        <v>25</v>
      </c>
      <c r="E55" s="36" t="s">
        <v>25</v>
      </c>
      <c r="F55" s="36" t="s">
        <v>57</v>
      </c>
      <c r="G55" s="36" t="s">
        <v>58</v>
      </c>
      <c r="H55" s="36" t="s">
        <v>37</v>
      </c>
      <c r="I55" s="56">
        <v>44593</v>
      </c>
      <c r="J55" s="57">
        <f ca="1">EFEITO!$J$55*EFEITO!$Y$55</f>
        <v>123487.12545981079</v>
      </c>
      <c r="K55" s="57">
        <f ca="1">EFEITO!$L$55*EFEITO!$Z$55</f>
        <v>782.6322376165806</v>
      </c>
      <c r="L55" s="57">
        <f>EFEITO!$N$55*EFEITO!$AA$55</f>
        <v>0</v>
      </c>
      <c r="M55" s="57">
        <f ca="1">$J$55-EFEITO!$K$55*EFEITO!$Y$55</f>
        <v>0</v>
      </c>
      <c r="N55" s="57">
        <f ca="1">$K$55-EFEITO!$M$55*EFEITO!$Z$55</f>
        <v>0</v>
      </c>
      <c r="O55" s="57">
        <f>$L$55-EFEITO!$O$55*EFEITO!$AA$55</f>
        <v>0</v>
      </c>
      <c r="P55" s="40"/>
      <c r="Q55" s="40"/>
      <c r="R55" s="40"/>
      <c r="S55" s="40"/>
      <c r="T55" s="40"/>
      <c r="U55" s="40"/>
      <c r="V55" s="40"/>
      <c r="W55" s="40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6" t="s">
        <v>21</v>
      </c>
      <c r="B56" s="36" t="s">
        <v>35</v>
      </c>
      <c r="C56" s="36" t="s">
        <v>56</v>
      </c>
      <c r="D56" s="36" t="s">
        <v>25</v>
      </c>
      <c r="E56" s="36" t="s">
        <v>25</v>
      </c>
      <c r="F56" s="36" t="s">
        <v>57</v>
      </c>
      <c r="G56" s="36" t="s">
        <v>58</v>
      </c>
      <c r="H56" s="36" t="s">
        <v>37</v>
      </c>
      <c r="I56" s="56">
        <v>44621</v>
      </c>
      <c r="J56" s="57">
        <f ca="1">EFEITO!$J$56*EFEITO!$Y$56</f>
        <v>123487.12545981079</v>
      </c>
      <c r="K56" s="57">
        <f ca="1">EFEITO!$L$56*EFEITO!$Z$56</f>
        <v>794.55629415174781</v>
      </c>
      <c r="L56" s="57">
        <f>EFEITO!$N$56*EFEITO!$AA$56</f>
        <v>0</v>
      </c>
      <c r="M56" s="57">
        <f ca="1">$J$56-EFEITO!$K$56*EFEITO!$Y$56</f>
        <v>0</v>
      </c>
      <c r="N56" s="57">
        <f ca="1">$K$56-EFEITO!$M$56*EFEITO!$Z$56</f>
        <v>0</v>
      </c>
      <c r="O56" s="57">
        <f>$L$56-EFEITO!$O$56*EFEITO!$AA$56</f>
        <v>0</v>
      </c>
      <c r="P56" s="40"/>
      <c r="Q56" s="40"/>
      <c r="R56" s="40"/>
      <c r="S56" s="40"/>
      <c r="T56" s="40"/>
      <c r="U56" s="40"/>
      <c r="V56" s="40"/>
      <c r="W56" s="40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6" t="s">
        <v>21</v>
      </c>
      <c r="B57" s="36" t="s">
        <v>35</v>
      </c>
      <c r="C57" s="36" t="s">
        <v>56</v>
      </c>
      <c r="D57" s="36" t="s">
        <v>25</v>
      </c>
      <c r="E57" s="36" t="s">
        <v>25</v>
      </c>
      <c r="F57" s="36" t="s">
        <v>57</v>
      </c>
      <c r="G57" s="36" t="s">
        <v>58</v>
      </c>
      <c r="H57" s="36" t="s">
        <v>37</v>
      </c>
      <c r="I57" s="56">
        <v>44652</v>
      </c>
      <c r="J57" s="57">
        <f ca="1">EFEITO!$J$57*EFEITO!$Y$57</f>
        <v>123487.12545981079</v>
      </c>
      <c r="K57" s="57">
        <f ca="1">EFEITO!$L$57*EFEITO!$Z$57</f>
        <v>711.2485518618887</v>
      </c>
      <c r="L57" s="57">
        <f>EFEITO!$N$57*EFEITO!$AA$57</f>
        <v>0</v>
      </c>
      <c r="M57" s="57">
        <f ca="1">$J$57-EFEITO!$K$57*EFEITO!$Y$57</f>
        <v>0</v>
      </c>
      <c r="N57" s="57">
        <f ca="1">$K$57-EFEITO!$M$57*EFEITO!$Z$57</f>
        <v>0</v>
      </c>
      <c r="O57" s="57">
        <f>$L$57-EFEITO!$O$57*EFEITO!$AA$57</f>
        <v>0</v>
      </c>
      <c r="P57" s="40"/>
      <c r="Q57" s="40"/>
      <c r="R57" s="40"/>
      <c r="S57" s="40"/>
      <c r="T57" s="40"/>
      <c r="U57" s="40"/>
      <c r="V57" s="40"/>
      <c r="W57" s="40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6" t="s">
        <v>21</v>
      </c>
      <c r="B58" s="36" t="s">
        <v>35</v>
      </c>
      <c r="C58" s="36" t="s">
        <v>56</v>
      </c>
      <c r="D58" s="36" t="s">
        <v>25</v>
      </c>
      <c r="E58" s="36" t="s">
        <v>25</v>
      </c>
      <c r="F58" s="36" t="s">
        <v>57</v>
      </c>
      <c r="G58" s="36" t="s">
        <v>58</v>
      </c>
      <c r="H58" s="36" t="s">
        <v>37</v>
      </c>
      <c r="I58" s="56">
        <v>44682</v>
      </c>
      <c r="J58" s="57">
        <f ca="1">EFEITO!$J$58*EFEITO!$Y$58</f>
        <v>123487.12545981079</v>
      </c>
      <c r="K58" s="57">
        <f ca="1">EFEITO!$L$58*EFEITO!$Z$58</f>
        <v>817.46726206026165</v>
      </c>
      <c r="L58" s="57">
        <f>EFEITO!$N$58*EFEITO!$AA$58</f>
        <v>0</v>
      </c>
      <c r="M58" s="57">
        <f ca="1">$J$58-EFEITO!$K$58*EFEITO!$Y$58</f>
        <v>0</v>
      </c>
      <c r="N58" s="57">
        <f ca="1">$K$58-EFEITO!$M$58*EFEITO!$Z$58</f>
        <v>0</v>
      </c>
      <c r="O58" s="57">
        <f>$L$58-EFEITO!$O$58*EFEITO!$AA$58</f>
        <v>0</v>
      </c>
      <c r="P58" s="40"/>
      <c r="Q58" s="40"/>
      <c r="R58" s="40"/>
      <c r="S58" s="40"/>
      <c r="T58" s="40"/>
      <c r="U58" s="40"/>
      <c r="V58" s="40"/>
      <c r="W58" s="40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6" t="s">
        <v>21</v>
      </c>
      <c r="B59" s="36" t="s">
        <v>35</v>
      </c>
      <c r="C59" s="36" t="s">
        <v>56</v>
      </c>
      <c r="D59" s="36" t="s">
        <v>25</v>
      </c>
      <c r="E59" s="36" t="s">
        <v>25</v>
      </c>
      <c r="F59" s="36" t="s">
        <v>57</v>
      </c>
      <c r="G59" s="36" t="s">
        <v>58</v>
      </c>
      <c r="H59" s="36" t="s">
        <v>37</v>
      </c>
      <c r="I59" s="56">
        <v>44713</v>
      </c>
      <c r="J59" s="57">
        <f ca="1">EFEITO!$J$59*EFEITO!$Y$59</f>
        <v>123487.12545981079</v>
      </c>
      <c r="K59" s="57">
        <f ca="1">EFEITO!$L$59*EFEITO!$Z$59</f>
        <v>855.63138312641104</v>
      </c>
      <c r="L59" s="57">
        <f>EFEITO!$N$59*EFEITO!$AA$59</f>
        <v>0</v>
      </c>
      <c r="M59" s="57">
        <f ca="1">$J$59-EFEITO!$K$59*EFEITO!$Y$59</f>
        <v>0</v>
      </c>
      <c r="N59" s="57">
        <f ca="1">$K$59-EFEITO!$M$59*EFEITO!$Z$59</f>
        <v>0</v>
      </c>
      <c r="O59" s="57">
        <f>$L$59-EFEITO!$O$59*EFEITO!$AA$59</f>
        <v>0</v>
      </c>
      <c r="P59" s="40"/>
      <c r="Q59" s="40"/>
      <c r="R59" s="40"/>
      <c r="S59" s="40"/>
      <c r="T59" s="40"/>
      <c r="U59" s="40"/>
      <c r="V59" s="40"/>
      <c r="W59" s="40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6" t="s">
        <v>21</v>
      </c>
      <c r="B60" s="36" t="s">
        <v>35</v>
      </c>
      <c r="C60" s="36" t="s">
        <v>56</v>
      </c>
      <c r="D60" s="36" t="s">
        <v>25</v>
      </c>
      <c r="E60" s="36" t="s">
        <v>25</v>
      </c>
      <c r="F60" s="36" t="s">
        <v>57</v>
      </c>
      <c r="G60" s="36" t="s">
        <v>58</v>
      </c>
      <c r="H60" s="36" t="s">
        <v>37</v>
      </c>
      <c r="I60" s="56">
        <v>44743</v>
      </c>
      <c r="J60" s="57">
        <f ca="1">EFEITO!$J$60*EFEITO!$Y$60</f>
        <v>123487.12545981079</v>
      </c>
      <c r="K60" s="57">
        <f ca="1">EFEITO!$L$60*EFEITO!$Z$60</f>
        <v>828.55235054579896</v>
      </c>
      <c r="L60" s="57">
        <f>EFEITO!$N$60*EFEITO!$AA$60</f>
        <v>0</v>
      </c>
      <c r="M60" s="57">
        <f ca="1">$J$60-EFEITO!$K$60*EFEITO!$Y$60</f>
        <v>0</v>
      </c>
      <c r="N60" s="57">
        <f ca="1">$K$60-EFEITO!$M$60*EFEITO!$Z$60</f>
        <v>0</v>
      </c>
      <c r="O60" s="57">
        <f>$L$60-EFEITO!$O$60*EFEITO!$AA$60</f>
        <v>0</v>
      </c>
      <c r="P60" s="40"/>
      <c r="Q60" s="40"/>
      <c r="R60" s="40"/>
      <c r="S60" s="40"/>
      <c r="T60" s="40"/>
      <c r="U60" s="40"/>
      <c r="V60" s="40"/>
      <c r="W60" s="40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6" t="s">
        <v>21</v>
      </c>
      <c r="B61" s="36" t="s">
        <v>35</v>
      </c>
      <c r="C61" s="36" t="s">
        <v>56</v>
      </c>
      <c r="D61" s="36" t="s">
        <v>25</v>
      </c>
      <c r="E61" s="36" t="s">
        <v>25</v>
      </c>
      <c r="F61" s="36" t="s">
        <v>57</v>
      </c>
      <c r="G61" s="36" t="s">
        <v>58</v>
      </c>
      <c r="H61" s="36" t="s">
        <v>37</v>
      </c>
      <c r="I61" s="56">
        <v>44774</v>
      </c>
      <c r="J61" s="57">
        <f ca="1">EFEITO!$J$61*EFEITO!$Y$61</f>
        <v>144253.12370039939</v>
      </c>
      <c r="K61" s="57">
        <f ca="1">EFEITO!$L$61*EFEITO!$Z$61</f>
        <v>1006.4671282194705</v>
      </c>
      <c r="L61" s="57">
        <f>EFEITO!$N$61*EFEITO!$AA$61</f>
        <v>0</v>
      </c>
      <c r="M61" s="57">
        <f ca="1">$J$61-EFEITO!$K$61*EFEITO!$Y$61</f>
        <v>0</v>
      </c>
      <c r="N61" s="57">
        <f ca="1">$K$61-EFEITO!$M$61*EFEITO!$Z$61</f>
        <v>0</v>
      </c>
      <c r="O61" s="57">
        <f>$L$61-EFEITO!$O$61*EFEITO!$AA$61</f>
        <v>0</v>
      </c>
      <c r="P61" s="40"/>
      <c r="Q61" s="40"/>
      <c r="R61" s="40"/>
      <c r="S61" s="40"/>
      <c r="T61" s="40"/>
      <c r="U61" s="40"/>
      <c r="V61" s="40"/>
      <c r="W61" s="40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6" t="s">
        <v>21</v>
      </c>
      <c r="B62" s="36" t="s">
        <v>35</v>
      </c>
      <c r="C62" s="36" t="s">
        <v>60</v>
      </c>
      <c r="D62" s="36" t="s">
        <v>25</v>
      </c>
      <c r="E62" s="36" t="s">
        <v>25</v>
      </c>
      <c r="F62" s="36" t="s">
        <v>25</v>
      </c>
      <c r="G62" s="36" t="s">
        <v>61</v>
      </c>
      <c r="H62" s="36" t="s">
        <v>25</v>
      </c>
      <c r="I62" s="56">
        <v>44440</v>
      </c>
      <c r="J62" s="57">
        <f ca="1">EFEITO!$J$62*EFEITO!$Y$62</f>
        <v>8886.5447574552945</v>
      </c>
      <c r="K62" s="57">
        <f>EFEITO!$L$62*EFEITO!$Z$62</f>
        <v>0</v>
      </c>
      <c r="L62" s="57">
        <f>EFEITO!$N$62*EFEITO!$AA$62</f>
        <v>0</v>
      </c>
      <c r="M62" s="57">
        <f ca="1">$J$62-EFEITO!$K$62*EFEITO!$Y$62</f>
        <v>4443.2723787276473</v>
      </c>
      <c r="N62" s="57">
        <f>$K$62-EFEITO!$M$62*EFEITO!$Z$62</f>
        <v>0</v>
      </c>
      <c r="O62" s="57">
        <f>$L$62-EFEITO!$O$62*EFEITO!$AA$62</f>
        <v>0</v>
      </c>
      <c r="P62" s="40"/>
      <c r="Q62" s="40"/>
      <c r="R62" s="40"/>
      <c r="S62" s="40"/>
      <c r="T62" s="40"/>
      <c r="U62" s="40"/>
      <c r="V62" s="40"/>
      <c r="W62" s="40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6" t="s">
        <v>21</v>
      </c>
      <c r="B63" s="36" t="s">
        <v>35</v>
      </c>
      <c r="C63" s="36" t="s">
        <v>60</v>
      </c>
      <c r="D63" s="36" t="s">
        <v>25</v>
      </c>
      <c r="E63" s="36" t="s">
        <v>25</v>
      </c>
      <c r="F63" s="36" t="s">
        <v>25</v>
      </c>
      <c r="G63" s="36" t="s">
        <v>63</v>
      </c>
      <c r="H63" s="36" t="s">
        <v>25</v>
      </c>
      <c r="I63" s="56">
        <v>44440</v>
      </c>
      <c r="J63" s="57">
        <f ca="1">EFEITO!$J$63*EFEITO!$Y$63</f>
        <v>1190.7969974990094</v>
      </c>
      <c r="K63" s="57">
        <f>EFEITO!$L$63*EFEITO!$Z$63</f>
        <v>0</v>
      </c>
      <c r="L63" s="57">
        <f>EFEITO!$N$63*EFEITO!$AA$63</f>
        <v>0</v>
      </c>
      <c r="M63" s="57">
        <f ca="1">$J$63-EFEITO!$K$63*EFEITO!$Y$63</f>
        <v>595.39849874950471</v>
      </c>
      <c r="N63" s="57">
        <f>$K$63-EFEITO!$M$63*EFEITO!$Z$63</f>
        <v>0</v>
      </c>
      <c r="O63" s="57">
        <f>$L$63-EFEITO!$O$63*EFEITO!$AA$63</f>
        <v>0</v>
      </c>
      <c r="P63" s="40"/>
      <c r="Q63" s="40"/>
      <c r="R63" s="40"/>
      <c r="S63" s="40"/>
      <c r="T63" s="40"/>
      <c r="U63" s="40"/>
      <c r="V63" s="40"/>
      <c r="W63" s="40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6" t="s">
        <v>21</v>
      </c>
      <c r="B64" s="36" t="s">
        <v>35</v>
      </c>
      <c r="C64" s="36" t="s">
        <v>60</v>
      </c>
      <c r="D64" s="36" t="s">
        <v>25</v>
      </c>
      <c r="E64" s="36" t="s">
        <v>25</v>
      </c>
      <c r="F64" s="36" t="s">
        <v>25</v>
      </c>
      <c r="G64" s="36" t="s">
        <v>64</v>
      </c>
      <c r="H64" s="36" t="s">
        <v>25</v>
      </c>
      <c r="I64" s="56">
        <v>44440</v>
      </c>
      <c r="J64" s="57">
        <f ca="1">EFEITO!$J$64*EFEITO!$Y$64</f>
        <v>3554.6179029821178</v>
      </c>
      <c r="K64" s="57">
        <f>EFEITO!$L$64*EFEITO!$Z$64</f>
        <v>0</v>
      </c>
      <c r="L64" s="57">
        <f>EFEITO!$N$64*EFEITO!$AA$64</f>
        <v>0</v>
      </c>
      <c r="M64" s="57">
        <f ca="1">$J$64-EFEITO!$K$64*EFEITO!$Y$64</f>
        <v>1777.3089514910589</v>
      </c>
      <c r="N64" s="57">
        <f>$K$64-EFEITO!$M$64*EFEITO!$Z$64</f>
        <v>0</v>
      </c>
      <c r="O64" s="57">
        <f>$L$64-EFEITO!$O$64*EFEITO!$AA$64</f>
        <v>0</v>
      </c>
      <c r="P64" s="40"/>
      <c r="Q64" s="40"/>
      <c r="R64" s="40"/>
      <c r="S64" s="40"/>
      <c r="T64" s="40"/>
      <c r="U64" s="40"/>
      <c r="V64" s="40"/>
      <c r="W64" s="40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6" t="s">
        <v>21</v>
      </c>
      <c r="B65" s="36" t="s">
        <v>35</v>
      </c>
      <c r="C65" s="36" t="s">
        <v>60</v>
      </c>
      <c r="D65" s="36" t="s">
        <v>25</v>
      </c>
      <c r="E65" s="36" t="s">
        <v>25</v>
      </c>
      <c r="F65" s="36" t="s">
        <v>25</v>
      </c>
      <c r="G65" s="36" t="s">
        <v>65</v>
      </c>
      <c r="H65" s="36" t="s">
        <v>25</v>
      </c>
      <c r="I65" s="56">
        <v>44440</v>
      </c>
      <c r="J65" s="57">
        <f ca="1">EFEITO!$J$65*EFEITO!$Y$65</f>
        <v>2367.3755233860907</v>
      </c>
      <c r="K65" s="57">
        <f>EFEITO!$L$65*EFEITO!$Z$65</f>
        <v>0</v>
      </c>
      <c r="L65" s="57">
        <f>EFEITO!$N$65*EFEITO!$AA$65</f>
        <v>0</v>
      </c>
      <c r="M65" s="57">
        <f ca="1">$J$65-EFEITO!$K$65*EFEITO!$Y$65</f>
        <v>1183.6877616930453</v>
      </c>
      <c r="N65" s="57">
        <f>$K$65-EFEITO!$M$65*EFEITO!$Z$65</f>
        <v>0</v>
      </c>
      <c r="O65" s="57">
        <f>$L$65-EFEITO!$O$65*EFEITO!$AA$65</f>
        <v>0</v>
      </c>
      <c r="P65" s="40"/>
      <c r="Q65" s="40"/>
      <c r="R65" s="40"/>
      <c r="S65" s="40"/>
      <c r="T65" s="40"/>
      <c r="U65" s="40"/>
      <c r="V65" s="40"/>
      <c r="W65" s="40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6" t="s">
        <v>21</v>
      </c>
      <c r="B66" s="36" t="s">
        <v>35</v>
      </c>
      <c r="C66" s="36" t="s">
        <v>60</v>
      </c>
      <c r="D66" s="36" t="s">
        <v>25</v>
      </c>
      <c r="E66" s="36" t="s">
        <v>25</v>
      </c>
      <c r="F66" s="36" t="s">
        <v>25</v>
      </c>
      <c r="G66" s="36" t="s">
        <v>61</v>
      </c>
      <c r="H66" s="36" t="s">
        <v>25</v>
      </c>
      <c r="I66" s="56">
        <v>44470</v>
      </c>
      <c r="J66" s="57">
        <f ca="1">EFEITO!$J$66*EFEITO!$Y$66</f>
        <v>8886.5447574552945</v>
      </c>
      <c r="K66" s="57">
        <f>EFEITO!$L$66*EFEITO!$Z$66</f>
        <v>0</v>
      </c>
      <c r="L66" s="57">
        <f>EFEITO!$N$66*EFEITO!$AA$66</f>
        <v>0</v>
      </c>
      <c r="M66" s="57">
        <f ca="1">$J$66-EFEITO!$K$66*EFEITO!$Y$66</f>
        <v>4443.2723787276473</v>
      </c>
      <c r="N66" s="57">
        <f>$K$66-EFEITO!$M$66*EFEITO!$Z$66</f>
        <v>0</v>
      </c>
      <c r="O66" s="57">
        <f>$L$66-EFEITO!$O$66*EFEITO!$AA$66</f>
        <v>0</v>
      </c>
      <c r="P66" s="40"/>
      <c r="Q66" s="40"/>
      <c r="R66" s="40"/>
      <c r="S66" s="40"/>
      <c r="T66" s="40"/>
      <c r="U66" s="40"/>
      <c r="V66" s="40"/>
      <c r="W66" s="40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6" t="s">
        <v>21</v>
      </c>
      <c r="B67" s="36" t="s">
        <v>35</v>
      </c>
      <c r="C67" s="36" t="s">
        <v>60</v>
      </c>
      <c r="D67" s="36" t="s">
        <v>25</v>
      </c>
      <c r="E67" s="36" t="s">
        <v>25</v>
      </c>
      <c r="F67" s="36" t="s">
        <v>25</v>
      </c>
      <c r="G67" s="36" t="s">
        <v>63</v>
      </c>
      <c r="H67" s="36" t="s">
        <v>25</v>
      </c>
      <c r="I67" s="56">
        <v>44470</v>
      </c>
      <c r="J67" s="57">
        <f ca="1">EFEITO!$J$67*EFEITO!$Y$67</f>
        <v>1190.7969974990094</v>
      </c>
      <c r="K67" s="57">
        <f>EFEITO!$L$67*EFEITO!$Z$67</f>
        <v>0</v>
      </c>
      <c r="L67" s="57">
        <f>EFEITO!$N$67*EFEITO!$AA$67</f>
        <v>0</v>
      </c>
      <c r="M67" s="57">
        <f ca="1">$J$67-EFEITO!$K$67*EFEITO!$Y$67</f>
        <v>595.39849874950471</v>
      </c>
      <c r="N67" s="57">
        <f>$K$67-EFEITO!$M$67*EFEITO!$Z$67</f>
        <v>0</v>
      </c>
      <c r="O67" s="57">
        <f>$L$67-EFEITO!$O$67*EFEITO!$AA$67</f>
        <v>0</v>
      </c>
      <c r="P67" s="40"/>
      <c r="Q67" s="40"/>
      <c r="R67" s="40"/>
      <c r="S67" s="40"/>
      <c r="T67" s="40"/>
      <c r="U67" s="40"/>
      <c r="V67" s="40"/>
      <c r="W67" s="40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6" t="s">
        <v>21</v>
      </c>
      <c r="B68" s="36" t="s">
        <v>35</v>
      </c>
      <c r="C68" s="36" t="s">
        <v>60</v>
      </c>
      <c r="D68" s="36" t="s">
        <v>25</v>
      </c>
      <c r="E68" s="36" t="s">
        <v>25</v>
      </c>
      <c r="F68" s="36" t="s">
        <v>25</v>
      </c>
      <c r="G68" s="36" t="s">
        <v>64</v>
      </c>
      <c r="H68" s="36" t="s">
        <v>25</v>
      </c>
      <c r="I68" s="56">
        <v>44470</v>
      </c>
      <c r="J68" s="57">
        <f ca="1">EFEITO!$J$68*EFEITO!$Y$68</f>
        <v>3554.6179029821178</v>
      </c>
      <c r="K68" s="57">
        <f>EFEITO!$L$68*EFEITO!$Z$68</f>
        <v>0</v>
      </c>
      <c r="L68" s="57">
        <f>EFEITO!$N$68*EFEITO!$AA$68</f>
        <v>0</v>
      </c>
      <c r="M68" s="57">
        <f ca="1">$J$68-EFEITO!$K$68*EFEITO!$Y$68</f>
        <v>1777.3089514910589</v>
      </c>
      <c r="N68" s="57">
        <f>$K$68-EFEITO!$M$68*EFEITO!$Z$68</f>
        <v>0</v>
      </c>
      <c r="O68" s="57">
        <f>$L$68-EFEITO!$O$68*EFEITO!$AA$68</f>
        <v>0</v>
      </c>
      <c r="P68" s="40"/>
      <c r="Q68" s="40"/>
      <c r="R68" s="40"/>
      <c r="S68" s="40"/>
      <c r="T68" s="40"/>
      <c r="U68" s="40"/>
      <c r="V68" s="40"/>
      <c r="W68" s="40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6" t="s">
        <v>21</v>
      </c>
      <c r="B69" s="36" t="s">
        <v>35</v>
      </c>
      <c r="C69" s="36" t="s">
        <v>60</v>
      </c>
      <c r="D69" s="36" t="s">
        <v>25</v>
      </c>
      <c r="E69" s="36" t="s">
        <v>25</v>
      </c>
      <c r="F69" s="36" t="s">
        <v>25</v>
      </c>
      <c r="G69" s="36" t="s">
        <v>65</v>
      </c>
      <c r="H69" s="36" t="s">
        <v>25</v>
      </c>
      <c r="I69" s="56">
        <v>44470</v>
      </c>
      <c r="J69" s="57">
        <f ca="1">EFEITO!$J$69*EFEITO!$Y$69</f>
        <v>2729.9465494902665</v>
      </c>
      <c r="K69" s="57">
        <f>EFEITO!$L$69*EFEITO!$Z$69</f>
        <v>0</v>
      </c>
      <c r="L69" s="57">
        <f>EFEITO!$N$69*EFEITO!$AA$69</f>
        <v>0</v>
      </c>
      <c r="M69" s="57">
        <f ca="1">$J$69-EFEITO!$K$69*EFEITO!$Y$69</f>
        <v>1364.9732747451333</v>
      </c>
      <c r="N69" s="57">
        <f>$K$69-EFEITO!$M$69*EFEITO!$Z$69</f>
        <v>0</v>
      </c>
      <c r="O69" s="57">
        <f>$L$69-EFEITO!$O$69*EFEITO!$AA$69</f>
        <v>0</v>
      </c>
      <c r="P69" s="40"/>
      <c r="Q69" s="40"/>
      <c r="R69" s="40"/>
      <c r="S69" s="40"/>
      <c r="T69" s="40"/>
      <c r="U69" s="40"/>
      <c r="V69" s="40"/>
      <c r="W69" s="40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6" t="s">
        <v>21</v>
      </c>
      <c r="B70" s="36" t="s">
        <v>35</v>
      </c>
      <c r="C70" s="36" t="s">
        <v>60</v>
      </c>
      <c r="D70" s="36" t="s">
        <v>25</v>
      </c>
      <c r="E70" s="36" t="s">
        <v>25</v>
      </c>
      <c r="F70" s="36" t="s">
        <v>25</v>
      </c>
      <c r="G70" s="36" t="s">
        <v>61</v>
      </c>
      <c r="H70" s="36" t="s">
        <v>25</v>
      </c>
      <c r="I70" s="56">
        <v>44501</v>
      </c>
      <c r="J70" s="57">
        <f ca="1">EFEITO!$J$70*EFEITO!$Y$70</f>
        <v>8886.5447574552945</v>
      </c>
      <c r="K70" s="57">
        <f>EFEITO!$L$70*EFEITO!$Z$70</f>
        <v>0</v>
      </c>
      <c r="L70" s="57">
        <f>EFEITO!$N$70*EFEITO!$AA$70</f>
        <v>0</v>
      </c>
      <c r="M70" s="57">
        <f ca="1">$J$70-EFEITO!$K$70*EFEITO!$Y$70</f>
        <v>4443.2723787276473</v>
      </c>
      <c r="N70" s="57">
        <f>$K$70-EFEITO!$M$70*EFEITO!$Z$70</f>
        <v>0</v>
      </c>
      <c r="O70" s="57">
        <f>$L$70-EFEITO!$O$70*EFEITO!$AA$70</f>
        <v>0</v>
      </c>
      <c r="P70" s="40"/>
      <c r="Q70" s="40"/>
      <c r="R70" s="40"/>
      <c r="S70" s="40"/>
      <c r="T70" s="40"/>
      <c r="U70" s="40"/>
      <c r="V70" s="40"/>
      <c r="W70" s="40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6" t="s">
        <v>21</v>
      </c>
      <c r="B71" s="36" t="s">
        <v>35</v>
      </c>
      <c r="C71" s="36" t="s">
        <v>60</v>
      </c>
      <c r="D71" s="36" t="s">
        <v>25</v>
      </c>
      <c r="E71" s="36" t="s">
        <v>25</v>
      </c>
      <c r="F71" s="36" t="s">
        <v>25</v>
      </c>
      <c r="G71" s="36" t="s">
        <v>63</v>
      </c>
      <c r="H71" s="36" t="s">
        <v>25</v>
      </c>
      <c r="I71" s="56">
        <v>44501</v>
      </c>
      <c r="J71" s="57">
        <f ca="1">EFEITO!$J$71*EFEITO!$Y$71</f>
        <v>1190.7969974990094</v>
      </c>
      <c r="K71" s="57">
        <f>EFEITO!$L$71*EFEITO!$Z$71</f>
        <v>0</v>
      </c>
      <c r="L71" s="57">
        <f>EFEITO!$N$71*EFEITO!$AA$71</f>
        <v>0</v>
      </c>
      <c r="M71" s="57">
        <f ca="1">$J$71-EFEITO!$K$71*EFEITO!$Y$71</f>
        <v>595.39849874950471</v>
      </c>
      <c r="N71" s="57">
        <f>$K$71-EFEITO!$M$71*EFEITO!$Z$71</f>
        <v>0</v>
      </c>
      <c r="O71" s="57">
        <f>$L$71-EFEITO!$O$71*EFEITO!$AA$71</f>
        <v>0</v>
      </c>
      <c r="P71" s="40"/>
      <c r="Q71" s="40"/>
      <c r="R71" s="40"/>
      <c r="S71" s="40"/>
      <c r="T71" s="40"/>
      <c r="U71" s="40"/>
      <c r="V71" s="40"/>
      <c r="W71" s="40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6" t="s">
        <v>21</v>
      </c>
      <c r="B72" s="36" t="s">
        <v>35</v>
      </c>
      <c r="C72" s="36" t="s">
        <v>60</v>
      </c>
      <c r="D72" s="36" t="s">
        <v>25</v>
      </c>
      <c r="E72" s="36" t="s">
        <v>25</v>
      </c>
      <c r="F72" s="36" t="s">
        <v>25</v>
      </c>
      <c r="G72" s="36" t="s">
        <v>64</v>
      </c>
      <c r="H72" s="36" t="s">
        <v>25</v>
      </c>
      <c r="I72" s="56">
        <v>44501</v>
      </c>
      <c r="J72" s="57">
        <f ca="1">EFEITO!$J$72*EFEITO!$Y$72</f>
        <v>3554.6179029821178</v>
      </c>
      <c r="K72" s="57">
        <f>EFEITO!$L$72*EFEITO!$Z$72</f>
        <v>0</v>
      </c>
      <c r="L72" s="57">
        <f>EFEITO!$N$72*EFEITO!$AA$72</f>
        <v>0</v>
      </c>
      <c r="M72" s="57">
        <f ca="1">$J$72-EFEITO!$K$72*EFEITO!$Y$72</f>
        <v>1777.3089514910589</v>
      </c>
      <c r="N72" s="57">
        <f>$K$72-EFEITO!$M$72*EFEITO!$Z$72</f>
        <v>0</v>
      </c>
      <c r="O72" s="57">
        <f>$L$72-EFEITO!$O$72*EFEITO!$AA$72</f>
        <v>0</v>
      </c>
      <c r="P72" s="40"/>
      <c r="Q72" s="40"/>
      <c r="R72" s="40"/>
      <c r="S72" s="40"/>
      <c r="T72" s="40"/>
      <c r="U72" s="40"/>
      <c r="V72" s="40"/>
      <c r="W72" s="40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6" t="s">
        <v>21</v>
      </c>
      <c r="B73" s="36" t="s">
        <v>35</v>
      </c>
      <c r="C73" s="36" t="s">
        <v>60</v>
      </c>
      <c r="D73" s="36" t="s">
        <v>25</v>
      </c>
      <c r="E73" s="36" t="s">
        <v>25</v>
      </c>
      <c r="F73" s="36" t="s">
        <v>25</v>
      </c>
      <c r="G73" s="36" t="s">
        <v>65</v>
      </c>
      <c r="H73" s="36" t="s">
        <v>25</v>
      </c>
      <c r="I73" s="56">
        <v>44501</v>
      </c>
      <c r="J73" s="57">
        <f ca="1">EFEITO!$J$73*EFEITO!$Y$73</f>
        <v>1891.0567243864866</v>
      </c>
      <c r="K73" s="57">
        <f>EFEITO!$L$73*EFEITO!$Z$73</f>
        <v>0</v>
      </c>
      <c r="L73" s="57">
        <f>EFEITO!$N$73*EFEITO!$AA$73</f>
        <v>0</v>
      </c>
      <c r="M73" s="57">
        <f ca="1">$J$73-EFEITO!$K$73*EFEITO!$Y$73</f>
        <v>945.52836219324331</v>
      </c>
      <c r="N73" s="57">
        <f>$K$73-EFEITO!$M$73*EFEITO!$Z$73</f>
        <v>0</v>
      </c>
      <c r="O73" s="57">
        <f>$L$73-EFEITO!$O$73*EFEITO!$AA$73</f>
        <v>0</v>
      </c>
      <c r="P73" s="40"/>
      <c r="Q73" s="40"/>
      <c r="R73" s="40"/>
      <c r="S73" s="40"/>
      <c r="T73" s="40"/>
      <c r="U73" s="40"/>
      <c r="V73" s="40"/>
      <c r="W73" s="40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6" t="s">
        <v>21</v>
      </c>
      <c r="B74" s="36" t="s">
        <v>35</v>
      </c>
      <c r="C74" s="36" t="s">
        <v>60</v>
      </c>
      <c r="D74" s="36" t="s">
        <v>25</v>
      </c>
      <c r="E74" s="36" t="s">
        <v>25</v>
      </c>
      <c r="F74" s="36" t="s">
        <v>25</v>
      </c>
      <c r="G74" s="36" t="s">
        <v>61</v>
      </c>
      <c r="H74" s="36" t="s">
        <v>25</v>
      </c>
      <c r="I74" s="56">
        <v>44531</v>
      </c>
      <c r="J74" s="57">
        <f ca="1">EFEITO!$J$74*EFEITO!$Y$74</f>
        <v>8886.5447574552945</v>
      </c>
      <c r="K74" s="57">
        <f>EFEITO!$L$74*EFEITO!$Z$74</f>
        <v>0</v>
      </c>
      <c r="L74" s="57">
        <f>EFEITO!$N$74*EFEITO!$AA$74</f>
        <v>0</v>
      </c>
      <c r="M74" s="57">
        <f ca="1">$J$74-EFEITO!$K$74*EFEITO!$Y$74</f>
        <v>4443.2723787276473</v>
      </c>
      <c r="N74" s="57">
        <f>$K$74-EFEITO!$M$74*EFEITO!$Z$74</f>
        <v>0</v>
      </c>
      <c r="O74" s="57">
        <f>$L$74-EFEITO!$O$74*EFEITO!$AA$74</f>
        <v>0</v>
      </c>
      <c r="P74" s="40"/>
      <c r="Q74" s="40"/>
      <c r="R74" s="40"/>
      <c r="S74" s="40"/>
      <c r="T74" s="40"/>
      <c r="U74" s="40"/>
      <c r="V74" s="40"/>
      <c r="W74" s="40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6" t="s">
        <v>21</v>
      </c>
      <c r="B75" s="36" t="s">
        <v>35</v>
      </c>
      <c r="C75" s="36" t="s">
        <v>60</v>
      </c>
      <c r="D75" s="36" t="s">
        <v>25</v>
      </c>
      <c r="E75" s="36" t="s">
        <v>25</v>
      </c>
      <c r="F75" s="36" t="s">
        <v>25</v>
      </c>
      <c r="G75" s="36" t="s">
        <v>63</v>
      </c>
      <c r="H75" s="36" t="s">
        <v>25</v>
      </c>
      <c r="I75" s="56">
        <v>44531</v>
      </c>
      <c r="J75" s="57">
        <f ca="1">EFEITO!$J$75*EFEITO!$Y$75</f>
        <v>1190.7969974990094</v>
      </c>
      <c r="K75" s="57">
        <f>EFEITO!$L$75*EFEITO!$Z$75</f>
        <v>0</v>
      </c>
      <c r="L75" s="57">
        <f>EFEITO!$N$75*EFEITO!$AA$75</f>
        <v>0</v>
      </c>
      <c r="M75" s="57">
        <f ca="1">$J$75-EFEITO!$K$75*EFEITO!$Y$75</f>
        <v>595.39849874950471</v>
      </c>
      <c r="N75" s="57">
        <f>$K$75-EFEITO!$M$75*EFEITO!$Z$75</f>
        <v>0</v>
      </c>
      <c r="O75" s="57">
        <f>$L$75-EFEITO!$O$75*EFEITO!$AA$75</f>
        <v>0</v>
      </c>
      <c r="P75" s="40"/>
      <c r="Q75" s="40"/>
      <c r="R75" s="40"/>
      <c r="S75" s="40"/>
      <c r="T75" s="40"/>
      <c r="U75" s="40"/>
      <c r="V75" s="40"/>
      <c r="W75" s="40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6" t="s">
        <v>21</v>
      </c>
      <c r="B76" s="36" t="s">
        <v>35</v>
      </c>
      <c r="C76" s="36" t="s">
        <v>60</v>
      </c>
      <c r="D76" s="36" t="s">
        <v>25</v>
      </c>
      <c r="E76" s="36" t="s">
        <v>25</v>
      </c>
      <c r="F76" s="36" t="s">
        <v>25</v>
      </c>
      <c r="G76" s="36" t="s">
        <v>64</v>
      </c>
      <c r="H76" s="36" t="s">
        <v>25</v>
      </c>
      <c r="I76" s="56">
        <v>44531</v>
      </c>
      <c r="J76" s="57">
        <f ca="1">EFEITO!$J$76*EFEITO!$Y$76</f>
        <v>3554.6179029821178</v>
      </c>
      <c r="K76" s="57">
        <f>EFEITO!$L$76*EFEITO!$Z$76</f>
        <v>0</v>
      </c>
      <c r="L76" s="57">
        <f>EFEITO!$N$76*EFEITO!$AA$76</f>
        <v>0</v>
      </c>
      <c r="M76" s="57">
        <f ca="1">$J$76-EFEITO!$K$76*EFEITO!$Y$76</f>
        <v>1777.3089514910589</v>
      </c>
      <c r="N76" s="57">
        <f>$K$76-EFEITO!$M$76*EFEITO!$Z$76</f>
        <v>0</v>
      </c>
      <c r="O76" s="57">
        <f>$L$76-EFEITO!$O$76*EFEITO!$AA$76</f>
        <v>0</v>
      </c>
      <c r="P76" s="40"/>
      <c r="Q76" s="40"/>
      <c r="R76" s="40"/>
      <c r="S76" s="40"/>
      <c r="T76" s="40"/>
      <c r="U76" s="40"/>
      <c r="V76" s="40"/>
      <c r="W76" s="40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6" t="s">
        <v>21</v>
      </c>
      <c r="B77" s="36" t="s">
        <v>35</v>
      </c>
      <c r="C77" s="36" t="s">
        <v>60</v>
      </c>
      <c r="D77" s="36" t="s">
        <v>25</v>
      </c>
      <c r="E77" s="36" t="s">
        <v>25</v>
      </c>
      <c r="F77" s="36" t="s">
        <v>25</v>
      </c>
      <c r="G77" s="36" t="s">
        <v>65</v>
      </c>
      <c r="H77" s="36" t="s">
        <v>25</v>
      </c>
      <c r="I77" s="56">
        <v>44531</v>
      </c>
      <c r="J77" s="57">
        <f ca="1">EFEITO!$J$77*EFEITO!$Y$77</f>
        <v>2271.4008400055732</v>
      </c>
      <c r="K77" s="57">
        <f>EFEITO!$L$77*EFEITO!$Z$77</f>
        <v>0</v>
      </c>
      <c r="L77" s="57">
        <f>EFEITO!$N$77*EFEITO!$AA$77</f>
        <v>0</v>
      </c>
      <c r="M77" s="57">
        <f ca="1">$J$77-EFEITO!$K$77*EFEITO!$Y$77</f>
        <v>1135.7004200027866</v>
      </c>
      <c r="N77" s="57">
        <f>$K$77-EFEITO!$M$77*EFEITO!$Z$77</f>
        <v>0</v>
      </c>
      <c r="O77" s="57">
        <f>$L$77-EFEITO!$O$77*EFEITO!$AA$77</f>
        <v>0</v>
      </c>
      <c r="P77" s="40"/>
      <c r="Q77" s="40"/>
      <c r="R77" s="40"/>
      <c r="S77" s="40"/>
      <c r="T77" s="40"/>
      <c r="U77" s="40"/>
      <c r="V77" s="40"/>
      <c r="W77" s="40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6" t="s">
        <v>21</v>
      </c>
      <c r="B78" s="36" t="s">
        <v>35</v>
      </c>
      <c r="C78" s="36" t="s">
        <v>60</v>
      </c>
      <c r="D78" s="36" t="s">
        <v>25</v>
      </c>
      <c r="E78" s="36" t="s">
        <v>25</v>
      </c>
      <c r="F78" s="36" t="s">
        <v>25</v>
      </c>
      <c r="G78" s="36" t="s">
        <v>61</v>
      </c>
      <c r="H78" s="36" t="s">
        <v>25</v>
      </c>
      <c r="I78" s="56">
        <v>44562</v>
      </c>
      <c r="J78" s="57">
        <f ca="1">EFEITO!$J$78*EFEITO!$Y$78</f>
        <v>8886.5447574552945</v>
      </c>
      <c r="K78" s="57">
        <f>EFEITO!$L$78*EFEITO!$Z$78</f>
        <v>0</v>
      </c>
      <c r="L78" s="57">
        <f>EFEITO!$N$78*EFEITO!$AA$78</f>
        <v>0</v>
      </c>
      <c r="M78" s="57">
        <f ca="1">$J$78-EFEITO!$K$78*EFEITO!$Y$78</f>
        <v>4443.2723787276473</v>
      </c>
      <c r="N78" s="57">
        <f>$K$78-EFEITO!$M$78*EFEITO!$Z$78</f>
        <v>0</v>
      </c>
      <c r="O78" s="57">
        <f>$L$78-EFEITO!$O$78*EFEITO!$AA$78</f>
        <v>0</v>
      </c>
      <c r="P78" s="40"/>
      <c r="Q78" s="40"/>
      <c r="R78" s="40"/>
      <c r="S78" s="40"/>
      <c r="T78" s="40"/>
      <c r="U78" s="40"/>
      <c r="V78" s="40"/>
      <c r="W78" s="40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6" t="s">
        <v>21</v>
      </c>
      <c r="B79" s="36" t="s">
        <v>35</v>
      </c>
      <c r="C79" s="36" t="s">
        <v>60</v>
      </c>
      <c r="D79" s="36" t="s">
        <v>25</v>
      </c>
      <c r="E79" s="36" t="s">
        <v>25</v>
      </c>
      <c r="F79" s="36" t="s">
        <v>25</v>
      </c>
      <c r="G79" s="36" t="s">
        <v>63</v>
      </c>
      <c r="H79" s="36" t="s">
        <v>25</v>
      </c>
      <c r="I79" s="56">
        <v>44562</v>
      </c>
      <c r="J79" s="57">
        <f ca="1">EFEITO!$J$79*EFEITO!$Y$79</f>
        <v>1190.7969974990094</v>
      </c>
      <c r="K79" s="57">
        <f>EFEITO!$L$79*EFEITO!$Z$79</f>
        <v>0</v>
      </c>
      <c r="L79" s="57">
        <f>EFEITO!$N$79*EFEITO!$AA$79</f>
        <v>0</v>
      </c>
      <c r="M79" s="57">
        <f ca="1">$J$79-EFEITO!$K$79*EFEITO!$Y$79</f>
        <v>595.39849874950471</v>
      </c>
      <c r="N79" s="57">
        <f>$K$79-EFEITO!$M$79*EFEITO!$Z$79</f>
        <v>0</v>
      </c>
      <c r="O79" s="57">
        <f>$L$79-EFEITO!$O$79*EFEITO!$AA$79</f>
        <v>0</v>
      </c>
      <c r="P79" s="40"/>
      <c r="Q79" s="40"/>
      <c r="R79" s="40"/>
      <c r="S79" s="40"/>
      <c r="T79" s="40"/>
      <c r="U79" s="40"/>
      <c r="V79" s="40"/>
      <c r="W79" s="40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6" t="s">
        <v>21</v>
      </c>
      <c r="B80" s="36" t="s">
        <v>35</v>
      </c>
      <c r="C80" s="36" t="s">
        <v>60</v>
      </c>
      <c r="D80" s="36" t="s">
        <v>25</v>
      </c>
      <c r="E80" s="36" t="s">
        <v>25</v>
      </c>
      <c r="F80" s="36" t="s">
        <v>25</v>
      </c>
      <c r="G80" s="36" t="s">
        <v>64</v>
      </c>
      <c r="H80" s="36" t="s">
        <v>25</v>
      </c>
      <c r="I80" s="56">
        <v>44562</v>
      </c>
      <c r="J80" s="57">
        <f ca="1">EFEITO!$J$80*EFEITO!$Y$80</f>
        <v>3554.6179029821178</v>
      </c>
      <c r="K80" s="57">
        <f>EFEITO!$L$80*EFEITO!$Z$80</f>
        <v>0</v>
      </c>
      <c r="L80" s="57">
        <f>EFEITO!$N$80*EFEITO!$AA$80</f>
        <v>0</v>
      </c>
      <c r="M80" s="57">
        <f ca="1">$J$80-EFEITO!$K$80*EFEITO!$Y$80</f>
        <v>1777.3089514910589</v>
      </c>
      <c r="N80" s="57">
        <f>$K$80-EFEITO!$M$80*EFEITO!$Z$80</f>
        <v>0</v>
      </c>
      <c r="O80" s="57">
        <f>$L$80-EFEITO!$O$80*EFEITO!$AA$80</f>
        <v>0</v>
      </c>
      <c r="P80" s="40"/>
      <c r="Q80" s="40"/>
      <c r="R80" s="40"/>
      <c r="S80" s="40"/>
      <c r="T80" s="40"/>
      <c r="U80" s="40"/>
      <c r="V80" s="40"/>
      <c r="W80" s="40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6" t="s">
        <v>21</v>
      </c>
      <c r="B81" s="36" t="s">
        <v>35</v>
      </c>
      <c r="C81" s="36" t="s">
        <v>60</v>
      </c>
      <c r="D81" s="36" t="s">
        <v>25</v>
      </c>
      <c r="E81" s="36" t="s">
        <v>25</v>
      </c>
      <c r="F81" s="36" t="s">
        <v>25</v>
      </c>
      <c r="G81" s="36" t="s">
        <v>65</v>
      </c>
      <c r="H81" s="36" t="s">
        <v>25</v>
      </c>
      <c r="I81" s="56">
        <v>44562</v>
      </c>
      <c r="J81" s="57">
        <f ca="1">EFEITO!$J$81*EFEITO!$Y$81</f>
        <v>2271.4008400055732</v>
      </c>
      <c r="K81" s="57">
        <f>EFEITO!$L$81*EFEITO!$Z$81</f>
        <v>0</v>
      </c>
      <c r="L81" s="57">
        <f>EFEITO!$N$81*EFEITO!$AA$81</f>
        <v>0</v>
      </c>
      <c r="M81" s="57">
        <f ca="1">$J$81-EFEITO!$K$81*EFEITO!$Y$81</f>
        <v>1135.7004200027866</v>
      </c>
      <c r="N81" s="57">
        <f>$K$81-EFEITO!$M$81*EFEITO!$Z$81</f>
        <v>0</v>
      </c>
      <c r="O81" s="57">
        <f>$L$81-EFEITO!$O$81*EFEITO!$AA$81</f>
        <v>0</v>
      </c>
      <c r="P81" s="40"/>
      <c r="Q81" s="40"/>
      <c r="R81" s="40"/>
      <c r="S81" s="40"/>
      <c r="T81" s="40"/>
      <c r="U81" s="40"/>
      <c r="V81" s="40"/>
      <c r="W81" s="40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6" t="s">
        <v>21</v>
      </c>
      <c r="B82" s="36" t="s">
        <v>35</v>
      </c>
      <c r="C82" s="36" t="s">
        <v>60</v>
      </c>
      <c r="D82" s="36" t="s">
        <v>25</v>
      </c>
      <c r="E82" s="36" t="s">
        <v>25</v>
      </c>
      <c r="F82" s="36" t="s">
        <v>25</v>
      </c>
      <c r="G82" s="36" t="s">
        <v>61</v>
      </c>
      <c r="H82" s="36" t="s">
        <v>25</v>
      </c>
      <c r="I82" s="56">
        <v>44593</v>
      </c>
      <c r="J82" s="57">
        <f ca="1">EFEITO!$J$82*EFEITO!$Y$82</f>
        <v>8886.5447574552945</v>
      </c>
      <c r="K82" s="57">
        <f>EFEITO!$L$82*EFEITO!$Z$82</f>
        <v>0</v>
      </c>
      <c r="L82" s="57">
        <f>EFEITO!$N$82*EFEITO!$AA$82</f>
        <v>0</v>
      </c>
      <c r="M82" s="57">
        <f ca="1">$J$82-EFEITO!$K$82*EFEITO!$Y$82</f>
        <v>0</v>
      </c>
      <c r="N82" s="57">
        <f>$K$82-EFEITO!$M$82*EFEITO!$Z$82</f>
        <v>0</v>
      </c>
      <c r="O82" s="57">
        <f>$L$82-EFEITO!$O$82*EFEITO!$AA$82</f>
        <v>0</v>
      </c>
      <c r="P82" s="40"/>
      <c r="Q82" s="40"/>
      <c r="R82" s="40"/>
      <c r="S82" s="40"/>
      <c r="T82" s="40"/>
      <c r="U82" s="40"/>
      <c r="V82" s="40"/>
      <c r="W82" s="40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6" t="s">
        <v>21</v>
      </c>
      <c r="B83" s="36" t="s">
        <v>35</v>
      </c>
      <c r="C83" s="36" t="s">
        <v>60</v>
      </c>
      <c r="D83" s="36" t="s">
        <v>25</v>
      </c>
      <c r="E83" s="36" t="s">
        <v>25</v>
      </c>
      <c r="F83" s="36" t="s">
        <v>25</v>
      </c>
      <c r="G83" s="36" t="s">
        <v>63</v>
      </c>
      <c r="H83" s="36" t="s">
        <v>25</v>
      </c>
      <c r="I83" s="56">
        <v>44593</v>
      </c>
      <c r="J83" s="57">
        <f ca="1">EFEITO!$J$83*EFEITO!$Y$83</f>
        <v>1190.7969974990094</v>
      </c>
      <c r="K83" s="57">
        <f>EFEITO!$L$83*EFEITO!$Z$83</f>
        <v>0</v>
      </c>
      <c r="L83" s="57">
        <f>EFEITO!$N$83*EFEITO!$AA$83</f>
        <v>0</v>
      </c>
      <c r="M83" s="57">
        <f ca="1">$J$83-EFEITO!$K$83*EFEITO!$Y$83</f>
        <v>0</v>
      </c>
      <c r="N83" s="57">
        <f>$K$83-EFEITO!$M$83*EFEITO!$Z$83</f>
        <v>0</v>
      </c>
      <c r="O83" s="57">
        <f>$L$83-EFEITO!$O$83*EFEITO!$AA$83</f>
        <v>0</v>
      </c>
      <c r="P83" s="40"/>
      <c r="Q83" s="40"/>
      <c r="R83" s="40"/>
      <c r="S83" s="40"/>
      <c r="T83" s="40"/>
      <c r="U83" s="40"/>
      <c r="V83" s="40"/>
      <c r="W83" s="40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6" t="s">
        <v>21</v>
      </c>
      <c r="B84" s="36" t="s">
        <v>35</v>
      </c>
      <c r="C84" s="36" t="s">
        <v>60</v>
      </c>
      <c r="D84" s="36" t="s">
        <v>25</v>
      </c>
      <c r="E84" s="36" t="s">
        <v>25</v>
      </c>
      <c r="F84" s="36" t="s">
        <v>25</v>
      </c>
      <c r="G84" s="36" t="s">
        <v>64</v>
      </c>
      <c r="H84" s="36" t="s">
        <v>25</v>
      </c>
      <c r="I84" s="56">
        <v>44593</v>
      </c>
      <c r="J84" s="57">
        <f ca="1">EFEITO!$J$84*EFEITO!$Y$84</f>
        <v>3554.6179029821178</v>
      </c>
      <c r="K84" s="57">
        <f>EFEITO!$L$84*EFEITO!$Z$84</f>
        <v>0</v>
      </c>
      <c r="L84" s="57">
        <f>EFEITO!$N$84*EFEITO!$AA$84</f>
        <v>0</v>
      </c>
      <c r="M84" s="57">
        <f ca="1">$J$84-EFEITO!$K$84*EFEITO!$Y$84</f>
        <v>0</v>
      </c>
      <c r="N84" s="57">
        <f>$K$84-EFEITO!$M$84*EFEITO!$Z$84</f>
        <v>0</v>
      </c>
      <c r="O84" s="57">
        <f>$L$84-EFEITO!$O$84*EFEITO!$AA$84</f>
        <v>0</v>
      </c>
      <c r="P84" s="40"/>
      <c r="Q84" s="40"/>
      <c r="R84" s="40"/>
      <c r="S84" s="40"/>
      <c r="T84" s="40"/>
      <c r="U84" s="40"/>
      <c r="V84" s="40"/>
      <c r="W84" s="40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6" t="s">
        <v>21</v>
      </c>
      <c r="B85" s="36" t="s">
        <v>35</v>
      </c>
      <c r="C85" s="36" t="s">
        <v>60</v>
      </c>
      <c r="D85" s="36" t="s">
        <v>25</v>
      </c>
      <c r="E85" s="36" t="s">
        <v>25</v>
      </c>
      <c r="F85" s="36" t="s">
        <v>25</v>
      </c>
      <c r="G85" s="36" t="s">
        <v>65</v>
      </c>
      <c r="H85" s="36" t="s">
        <v>25</v>
      </c>
      <c r="I85" s="56">
        <v>44593</v>
      </c>
      <c r="J85" s="57">
        <f ca="1">EFEITO!$J$85*EFEITO!$Y$85</f>
        <v>1848.4013095507014</v>
      </c>
      <c r="K85" s="57">
        <f>EFEITO!$L$85*EFEITO!$Z$85</f>
        <v>0</v>
      </c>
      <c r="L85" s="57">
        <f>EFEITO!$N$85*EFEITO!$AA$85</f>
        <v>0</v>
      </c>
      <c r="M85" s="57">
        <f ca="1">$J$85-EFEITO!$K$85*EFEITO!$Y$85</f>
        <v>924.2006547753507</v>
      </c>
      <c r="N85" s="57">
        <f>$K$85-EFEITO!$M$85*EFEITO!$Z$85</f>
        <v>0</v>
      </c>
      <c r="O85" s="57">
        <f>$L$85-EFEITO!$O$85*EFEITO!$AA$85</f>
        <v>0</v>
      </c>
      <c r="P85" s="40"/>
      <c r="Q85" s="40"/>
      <c r="R85" s="40"/>
      <c r="S85" s="40"/>
      <c r="T85" s="40"/>
      <c r="U85" s="40"/>
      <c r="V85" s="40"/>
      <c r="W85" s="40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6" t="s">
        <v>21</v>
      </c>
      <c r="B86" s="36" t="s">
        <v>35</v>
      </c>
      <c r="C86" s="36" t="s">
        <v>60</v>
      </c>
      <c r="D86" s="36" t="s">
        <v>25</v>
      </c>
      <c r="E86" s="36" t="s">
        <v>25</v>
      </c>
      <c r="F86" s="36" t="s">
        <v>25</v>
      </c>
      <c r="G86" s="36" t="s">
        <v>61</v>
      </c>
      <c r="H86" s="36" t="s">
        <v>25</v>
      </c>
      <c r="I86" s="56">
        <v>44621</v>
      </c>
      <c r="J86" s="57">
        <f ca="1">EFEITO!$J$86*EFEITO!$Y$86</f>
        <v>8886.5447574552945</v>
      </c>
      <c r="K86" s="57">
        <f>EFEITO!$L$86*EFEITO!$Z$86</f>
        <v>0</v>
      </c>
      <c r="L86" s="57">
        <f>EFEITO!$N$86*EFEITO!$AA$86</f>
        <v>0</v>
      </c>
      <c r="M86" s="57">
        <f ca="1">$J$86-EFEITO!$K$86*EFEITO!$Y$86</f>
        <v>4443.2723787276473</v>
      </c>
      <c r="N86" s="57">
        <f>$K$86-EFEITO!$M$86*EFEITO!$Z$86</f>
        <v>0</v>
      </c>
      <c r="O86" s="57">
        <f>$L$86-EFEITO!$O$86*EFEITO!$AA$86</f>
        <v>0</v>
      </c>
      <c r="P86" s="40"/>
      <c r="Q86" s="40"/>
      <c r="R86" s="40"/>
      <c r="S86" s="40"/>
      <c r="T86" s="40"/>
      <c r="U86" s="40"/>
      <c r="V86" s="40"/>
      <c r="W86" s="40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6" t="s">
        <v>21</v>
      </c>
      <c r="B87" s="36" t="s">
        <v>35</v>
      </c>
      <c r="C87" s="36" t="s">
        <v>60</v>
      </c>
      <c r="D87" s="36" t="s">
        <v>25</v>
      </c>
      <c r="E87" s="36" t="s">
        <v>25</v>
      </c>
      <c r="F87" s="36" t="s">
        <v>25</v>
      </c>
      <c r="G87" s="36" t="s">
        <v>63</v>
      </c>
      <c r="H87" s="36" t="s">
        <v>25</v>
      </c>
      <c r="I87" s="56">
        <v>44621</v>
      </c>
      <c r="J87" s="57">
        <f ca="1">EFEITO!$J$87*EFEITO!$Y$87</f>
        <v>1190.7969974990094</v>
      </c>
      <c r="K87" s="57">
        <f>EFEITO!$L$87*EFEITO!$Z$87</f>
        <v>0</v>
      </c>
      <c r="L87" s="57">
        <f>EFEITO!$N$87*EFEITO!$AA$87</f>
        <v>0</v>
      </c>
      <c r="M87" s="57">
        <f ca="1">$J$87-EFEITO!$K$87*EFEITO!$Y$87</f>
        <v>595.39849874950471</v>
      </c>
      <c r="N87" s="57">
        <f>$K$87-EFEITO!$M$87*EFEITO!$Z$87</f>
        <v>0</v>
      </c>
      <c r="O87" s="57">
        <f>$L$87-EFEITO!$O$87*EFEITO!$AA$87</f>
        <v>0</v>
      </c>
      <c r="P87" s="40"/>
      <c r="Q87" s="40"/>
      <c r="R87" s="40"/>
      <c r="S87" s="40"/>
      <c r="T87" s="40"/>
      <c r="U87" s="40"/>
      <c r="V87" s="40"/>
      <c r="W87" s="40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6" t="s">
        <v>21</v>
      </c>
      <c r="B88" s="36" t="s">
        <v>35</v>
      </c>
      <c r="C88" s="36" t="s">
        <v>60</v>
      </c>
      <c r="D88" s="36" t="s">
        <v>25</v>
      </c>
      <c r="E88" s="36" t="s">
        <v>25</v>
      </c>
      <c r="F88" s="36" t="s">
        <v>25</v>
      </c>
      <c r="G88" s="36" t="s">
        <v>64</v>
      </c>
      <c r="H88" s="36" t="s">
        <v>25</v>
      </c>
      <c r="I88" s="56">
        <v>44621</v>
      </c>
      <c r="J88" s="57">
        <f ca="1">EFEITO!$J$88*EFEITO!$Y$88</f>
        <v>3554.6179029821178</v>
      </c>
      <c r="K88" s="57">
        <f>EFEITO!$L$88*EFEITO!$Z$88</f>
        <v>0</v>
      </c>
      <c r="L88" s="57">
        <f>EFEITO!$N$88*EFEITO!$AA$88</f>
        <v>0</v>
      </c>
      <c r="M88" s="57">
        <f ca="1">$J$88-EFEITO!$K$88*EFEITO!$Y$88</f>
        <v>1777.3089514910589</v>
      </c>
      <c r="N88" s="57">
        <f>$K$88-EFEITO!$M$88*EFEITO!$Z$88</f>
        <v>0</v>
      </c>
      <c r="O88" s="57">
        <f>$L$88-EFEITO!$O$88*EFEITO!$AA$88</f>
        <v>0</v>
      </c>
      <c r="P88" s="40"/>
      <c r="Q88" s="40"/>
      <c r="R88" s="40"/>
      <c r="S88" s="40"/>
      <c r="T88" s="40"/>
      <c r="U88" s="40"/>
      <c r="V88" s="40"/>
      <c r="W88" s="40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6" t="s">
        <v>21</v>
      </c>
      <c r="B89" s="36" t="s">
        <v>35</v>
      </c>
      <c r="C89" s="36" t="s">
        <v>60</v>
      </c>
      <c r="D89" s="36" t="s">
        <v>25</v>
      </c>
      <c r="E89" s="36" t="s">
        <v>25</v>
      </c>
      <c r="F89" s="36" t="s">
        <v>25</v>
      </c>
      <c r="G89" s="36" t="s">
        <v>65</v>
      </c>
      <c r="H89" s="36" t="s">
        <v>25</v>
      </c>
      <c r="I89" s="56">
        <v>44621</v>
      </c>
      <c r="J89" s="57">
        <f ca="1">EFEITO!$J$89*EFEITO!$Y$89</f>
        <v>2580.6525975650175</v>
      </c>
      <c r="K89" s="57">
        <f>EFEITO!$L$89*EFEITO!$Z$89</f>
        <v>0</v>
      </c>
      <c r="L89" s="57">
        <f>EFEITO!$N$89*EFEITO!$AA$89</f>
        <v>0</v>
      </c>
      <c r="M89" s="57">
        <f ca="1">$J$89-EFEITO!$K$89*EFEITO!$Y$89</f>
        <v>1290.3262987825087</v>
      </c>
      <c r="N89" s="57">
        <f>$K$89-EFEITO!$M$89*EFEITO!$Z$89</f>
        <v>0</v>
      </c>
      <c r="O89" s="57">
        <f>$L$89-EFEITO!$O$89*EFEITO!$AA$89</f>
        <v>0</v>
      </c>
      <c r="P89" s="40"/>
      <c r="Q89" s="40"/>
      <c r="R89" s="40"/>
      <c r="S89" s="40"/>
      <c r="T89" s="40"/>
      <c r="U89" s="40"/>
      <c r="V89" s="40"/>
      <c r="W89" s="40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6" t="s">
        <v>21</v>
      </c>
      <c r="B90" s="36" t="s">
        <v>35</v>
      </c>
      <c r="C90" s="36" t="s">
        <v>60</v>
      </c>
      <c r="D90" s="36" t="s">
        <v>25</v>
      </c>
      <c r="E90" s="36" t="s">
        <v>25</v>
      </c>
      <c r="F90" s="36" t="s">
        <v>25</v>
      </c>
      <c r="G90" s="36" t="s">
        <v>61</v>
      </c>
      <c r="H90" s="36" t="s">
        <v>25</v>
      </c>
      <c r="I90" s="56">
        <v>44652</v>
      </c>
      <c r="J90" s="57">
        <f ca="1">EFEITO!$J$90*EFEITO!$Y$90</f>
        <v>8886.5447574552945</v>
      </c>
      <c r="K90" s="57">
        <f>EFEITO!$L$90*EFEITO!$Z$90</f>
        <v>0</v>
      </c>
      <c r="L90" s="57">
        <f>EFEITO!$N$90*EFEITO!$AA$90</f>
        <v>0</v>
      </c>
      <c r="M90" s="57">
        <f ca="1">$J$90-EFEITO!$K$90*EFEITO!$Y$90</f>
        <v>4443.2723787276473</v>
      </c>
      <c r="N90" s="57">
        <f>$K$90-EFEITO!$M$90*EFEITO!$Z$90</f>
        <v>0</v>
      </c>
      <c r="O90" s="57">
        <f>$L$90-EFEITO!$O$90*EFEITO!$AA$90</f>
        <v>0</v>
      </c>
      <c r="P90" s="40"/>
      <c r="Q90" s="40"/>
      <c r="R90" s="40"/>
      <c r="S90" s="40"/>
      <c r="T90" s="40"/>
      <c r="U90" s="40"/>
      <c r="V90" s="40"/>
      <c r="W90" s="40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6" t="s">
        <v>21</v>
      </c>
      <c r="B91" s="36" t="s">
        <v>35</v>
      </c>
      <c r="C91" s="36" t="s">
        <v>60</v>
      </c>
      <c r="D91" s="36" t="s">
        <v>25</v>
      </c>
      <c r="E91" s="36" t="s">
        <v>25</v>
      </c>
      <c r="F91" s="36" t="s">
        <v>25</v>
      </c>
      <c r="G91" s="36" t="s">
        <v>63</v>
      </c>
      <c r="H91" s="36" t="s">
        <v>25</v>
      </c>
      <c r="I91" s="56">
        <v>44652</v>
      </c>
      <c r="J91" s="57">
        <f ca="1">EFEITO!$J$91*EFEITO!$Y$91</f>
        <v>1190.7969974990094</v>
      </c>
      <c r="K91" s="57">
        <f>EFEITO!$L$91*EFEITO!$Z$91</f>
        <v>0</v>
      </c>
      <c r="L91" s="57">
        <f>EFEITO!$N$91*EFEITO!$AA$91</f>
        <v>0</v>
      </c>
      <c r="M91" s="57">
        <f ca="1">$J$91-EFEITO!$K$91*EFEITO!$Y$91</f>
        <v>595.39849874950471</v>
      </c>
      <c r="N91" s="57">
        <f>$K$91-EFEITO!$M$91*EFEITO!$Z$91</f>
        <v>0</v>
      </c>
      <c r="O91" s="57">
        <f>$L$91-EFEITO!$O$91*EFEITO!$AA$91</f>
        <v>0</v>
      </c>
      <c r="P91" s="40"/>
      <c r="Q91" s="40"/>
      <c r="R91" s="40"/>
      <c r="S91" s="40"/>
      <c r="T91" s="40"/>
      <c r="U91" s="40"/>
      <c r="V91" s="40"/>
      <c r="W91" s="40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6" t="s">
        <v>21</v>
      </c>
      <c r="B92" s="36" t="s">
        <v>35</v>
      </c>
      <c r="C92" s="36" t="s">
        <v>60</v>
      </c>
      <c r="D92" s="36" t="s">
        <v>25</v>
      </c>
      <c r="E92" s="36" t="s">
        <v>25</v>
      </c>
      <c r="F92" s="36" t="s">
        <v>25</v>
      </c>
      <c r="G92" s="36" t="s">
        <v>64</v>
      </c>
      <c r="H92" s="36" t="s">
        <v>25</v>
      </c>
      <c r="I92" s="56">
        <v>44652</v>
      </c>
      <c r="J92" s="57">
        <f ca="1">EFEITO!$J$92*EFEITO!$Y$92</f>
        <v>3554.6179029821178</v>
      </c>
      <c r="K92" s="57">
        <f>EFEITO!$L$92*EFEITO!$Z$92</f>
        <v>0</v>
      </c>
      <c r="L92" s="57">
        <f>EFEITO!$N$92*EFEITO!$AA$92</f>
        <v>0</v>
      </c>
      <c r="M92" s="57">
        <f ca="1">$J$92-EFEITO!$K$92*EFEITO!$Y$92</f>
        <v>1777.3089514910589</v>
      </c>
      <c r="N92" s="57">
        <f>$K$92-EFEITO!$M$92*EFEITO!$Z$92</f>
        <v>0</v>
      </c>
      <c r="O92" s="57">
        <f>$L$92-EFEITO!$O$92*EFEITO!$AA$92</f>
        <v>0</v>
      </c>
      <c r="P92" s="40"/>
      <c r="Q92" s="40"/>
      <c r="R92" s="40"/>
      <c r="S92" s="40"/>
      <c r="T92" s="40"/>
      <c r="U92" s="40"/>
      <c r="V92" s="40"/>
      <c r="W92" s="40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6" t="s">
        <v>21</v>
      </c>
      <c r="B93" s="36" t="s">
        <v>35</v>
      </c>
      <c r="C93" s="36" t="s">
        <v>60</v>
      </c>
      <c r="D93" s="36" t="s">
        <v>25</v>
      </c>
      <c r="E93" s="36" t="s">
        <v>25</v>
      </c>
      <c r="F93" s="36" t="s">
        <v>25</v>
      </c>
      <c r="G93" s="36" t="s">
        <v>65</v>
      </c>
      <c r="H93" s="36" t="s">
        <v>25</v>
      </c>
      <c r="I93" s="56">
        <v>44652</v>
      </c>
      <c r="J93" s="57">
        <f ca="1">EFEITO!$J$93*EFEITO!$Y$93</f>
        <v>2356.7116696771441</v>
      </c>
      <c r="K93" s="57">
        <f>EFEITO!$L$93*EFEITO!$Z$93</f>
        <v>0</v>
      </c>
      <c r="L93" s="57">
        <f>EFEITO!$N$93*EFEITO!$AA$93</f>
        <v>0</v>
      </c>
      <c r="M93" s="57">
        <f ca="1">$J$93-EFEITO!$K$93*EFEITO!$Y$93</f>
        <v>1178.355834838572</v>
      </c>
      <c r="N93" s="57">
        <f>$K$93-EFEITO!$M$93*EFEITO!$Z$93</f>
        <v>0</v>
      </c>
      <c r="O93" s="57">
        <f>$L$93-EFEITO!$O$93*EFEITO!$AA$93</f>
        <v>0</v>
      </c>
      <c r="P93" s="40"/>
      <c r="Q93" s="40"/>
      <c r="R93" s="40"/>
      <c r="S93" s="40"/>
      <c r="T93" s="40"/>
      <c r="U93" s="40"/>
      <c r="V93" s="40"/>
      <c r="W93" s="40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6" t="s">
        <v>21</v>
      </c>
      <c r="B94" s="36" t="s">
        <v>35</v>
      </c>
      <c r="C94" s="36" t="s">
        <v>60</v>
      </c>
      <c r="D94" s="36" t="s">
        <v>25</v>
      </c>
      <c r="E94" s="36" t="s">
        <v>25</v>
      </c>
      <c r="F94" s="36" t="s">
        <v>25</v>
      </c>
      <c r="G94" s="36" t="s">
        <v>61</v>
      </c>
      <c r="H94" s="36" t="s">
        <v>25</v>
      </c>
      <c r="I94" s="56">
        <v>44682</v>
      </c>
      <c r="J94" s="57">
        <f ca="1">EFEITO!$J$94*EFEITO!$Y$94</f>
        <v>8886.5447574552945</v>
      </c>
      <c r="K94" s="57">
        <f>EFEITO!$L$94*EFEITO!$Z$94</f>
        <v>0</v>
      </c>
      <c r="L94" s="57">
        <f>EFEITO!$N$94*EFEITO!$AA$94</f>
        <v>0</v>
      </c>
      <c r="M94" s="57">
        <f ca="1">$J$94-EFEITO!$K$94*EFEITO!$Y$94</f>
        <v>4443.2723787276473</v>
      </c>
      <c r="N94" s="57">
        <f>$K$94-EFEITO!$M$94*EFEITO!$Z$94</f>
        <v>0</v>
      </c>
      <c r="O94" s="57">
        <f>$L$94-EFEITO!$O$94*EFEITO!$AA$94</f>
        <v>0</v>
      </c>
      <c r="P94" s="40"/>
      <c r="Q94" s="40"/>
      <c r="R94" s="40"/>
      <c r="S94" s="40"/>
      <c r="T94" s="40"/>
      <c r="U94" s="40"/>
      <c r="V94" s="40"/>
      <c r="W94" s="40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6" t="s">
        <v>21</v>
      </c>
      <c r="B95" s="36" t="s">
        <v>35</v>
      </c>
      <c r="C95" s="36" t="s">
        <v>60</v>
      </c>
      <c r="D95" s="36" t="s">
        <v>25</v>
      </c>
      <c r="E95" s="36" t="s">
        <v>25</v>
      </c>
      <c r="F95" s="36" t="s">
        <v>25</v>
      </c>
      <c r="G95" s="36" t="s">
        <v>63</v>
      </c>
      <c r="H95" s="36" t="s">
        <v>25</v>
      </c>
      <c r="I95" s="56">
        <v>44682</v>
      </c>
      <c r="J95" s="57">
        <f ca="1">EFEITO!$J$95*EFEITO!$Y$95</f>
        <v>1190.7969974990094</v>
      </c>
      <c r="K95" s="57">
        <f>EFEITO!$L$95*EFEITO!$Z$95</f>
        <v>0</v>
      </c>
      <c r="L95" s="57">
        <f>EFEITO!$N$95*EFEITO!$AA$95</f>
        <v>0</v>
      </c>
      <c r="M95" s="57">
        <f ca="1">$J$95-EFEITO!$K$95*EFEITO!$Y$95</f>
        <v>595.39849874950471</v>
      </c>
      <c r="N95" s="57">
        <f>$K$95-EFEITO!$M$95*EFEITO!$Z$95</f>
        <v>0</v>
      </c>
      <c r="O95" s="57">
        <f>$L$95-EFEITO!$O$95*EFEITO!$AA$95</f>
        <v>0</v>
      </c>
      <c r="P95" s="40"/>
      <c r="Q95" s="40"/>
      <c r="R95" s="40"/>
      <c r="S95" s="40"/>
      <c r="T95" s="40"/>
      <c r="U95" s="40"/>
      <c r="V95" s="40"/>
      <c r="W95" s="40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6" t="s">
        <v>21</v>
      </c>
      <c r="B96" s="36" t="s">
        <v>35</v>
      </c>
      <c r="C96" s="36" t="s">
        <v>60</v>
      </c>
      <c r="D96" s="36" t="s">
        <v>25</v>
      </c>
      <c r="E96" s="36" t="s">
        <v>25</v>
      </c>
      <c r="F96" s="36" t="s">
        <v>25</v>
      </c>
      <c r="G96" s="36" t="s">
        <v>64</v>
      </c>
      <c r="H96" s="36" t="s">
        <v>25</v>
      </c>
      <c r="I96" s="56">
        <v>44682</v>
      </c>
      <c r="J96" s="57">
        <f ca="1">EFEITO!$J$96*EFEITO!$Y$96</f>
        <v>3554.6179029821178</v>
      </c>
      <c r="K96" s="57">
        <f>EFEITO!$L$96*EFEITO!$Z$96</f>
        <v>0</v>
      </c>
      <c r="L96" s="57">
        <f>EFEITO!$N$96*EFEITO!$AA$96</f>
        <v>0</v>
      </c>
      <c r="M96" s="57">
        <f ca="1">$J$96-EFEITO!$K$96*EFEITO!$Y$96</f>
        <v>1777.3089514910589</v>
      </c>
      <c r="N96" s="57">
        <f>$K$96-EFEITO!$M$96*EFEITO!$Z$96</f>
        <v>0</v>
      </c>
      <c r="O96" s="57">
        <f>$L$96-EFEITO!$O$96*EFEITO!$AA$96</f>
        <v>0</v>
      </c>
      <c r="P96" s="40"/>
      <c r="Q96" s="40"/>
      <c r="R96" s="40"/>
      <c r="S96" s="40"/>
      <c r="T96" s="40"/>
      <c r="U96" s="40"/>
      <c r="V96" s="40"/>
      <c r="W96" s="40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6" t="s">
        <v>21</v>
      </c>
      <c r="B97" s="36" t="s">
        <v>35</v>
      </c>
      <c r="C97" s="36" t="s">
        <v>60</v>
      </c>
      <c r="D97" s="36" t="s">
        <v>25</v>
      </c>
      <c r="E97" s="36" t="s">
        <v>25</v>
      </c>
      <c r="F97" s="36" t="s">
        <v>25</v>
      </c>
      <c r="G97" s="36" t="s">
        <v>65</v>
      </c>
      <c r="H97" s="36" t="s">
        <v>25</v>
      </c>
      <c r="I97" s="56">
        <v>44682</v>
      </c>
      <c r="J97" s="57">
        <f ca="1">EFEITO!$J$97*EFEITO!$Y$97</f>
        <v>1706.2165934314166</v>
      </c>
      <c r="K97" s="57">
        <f>EFEITO!$L$97*EFEITO!$Z$97</f>
        <v>0</v>
      </c>
      <c r="L97" s="57">
        <f>EFEITO!$N$97*EFEITO!$AA$97</f>
        <v>0</v>
      </c>
      <c r="M97" s="57">
        <f ca="1">$J$97-EFEITO!$K$97*EFEITO!$Y$97</f>
        <v>853.10829671570832</v>
      </c>
      <c r="N97" s="57">
        <f>$K$97-EFEITO!$M$97*EFEITO!$Z$97</f>
        <v>0</v>
      </c>
      <c r="O97" s="57">
        <f>$L$97-EFEITO!$O$97*EFEITO!$AA$97</f>
        <v>0</v>
      </c>
      <c r="P97" s="40"/>
      <c r="Q97" s="40"/>
      <c r="R97" s="40"/>
      <c r="S97" s="40"/>
      <c r="T97" s="40"/>
      <c r="U97" s="40"/>
      <c r="V97" s="40"/>
      <c r="W97" s="40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6" t="s">
        <v>21</v>
      </c>
      <c r="B98" s="36" t="s">
        <v>35</v>
      </c>
      <c r="C98" s="36" t="s">
        <v>60</v>
      </c>
      <c r="D98" s="36" t="s">
        <v>25</v>
      </c>
      <c r="E98" s="36" t="s">
        <v>25</v>
      </c>
      <c r="F98" s="36" t="s">
        <v>25</v>
      </c>
      <c r="G98" s="36" t="s">
        <v>61</v>
      </c>
      <c r="H98" s="36" t="s">
        <v>25</v>
      </c>
      <c r="I98" s="56">
        <v>44713</v>
      </c>
      <c r="J98" s="57">
        <f ca="1">EFEITO!$J$98*EFEITO!$Y$98</f>
        <v>8886.5447574552945</v>
      </c>
      <c r="K98" s="57">
        <f>EFEITO!$L$98*EFEITO!$Z$98</f>
        <v>0</v>
      </c>
      <c r="L98" s="57">
        <f>EFEITO!$N$98*EFEITO!$AA$98</f>
        <v>0</v>
      </c>
      <c r="M98" s="57">
        <f ca="1">$J$98-EFEITO!$K$98*EFEITO!$Y$98</f>
        <v>4443.2723787276473</v>
      </c>
      <c r="N98" s="57">
        <f>$K$98-EFEITO!$M$98*EFEITO!$Z$98</f>
        <v>0</v>
      </c>
      <c r="O98" s="57">
        <f>$L$98-EFEITO!$O$98*EFEITO!$AA$98</f>
        <v>0</v>
      </c>
      <c r="P98" s="40"/>
      <c r="Q98" s="40"/>
      <c r="R98" s="40"/>
      <c r="S98" s="40"/>
      <c r="T98" s="40"/>
      <c r="U98" s="40"/>
      <c r="V98" s="40"/>
      <c r="W98" s="40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6" t="s">
        <v>21</v>
      </c>
      <c r="B99" s="36" t="s">
        <v>35</v>
      </c>
      <c r="C99" s="36" t="s">
        <v>60</v>
      </c>
      <c r="D99" s="36" t="s">
        <v>25</v>
      </c>
      <c r="E99" s="36" t="s">
        <v>25</v>
      </c>
      <c r="F99" s="36" t="s">
        <v>25</v>
      </c>
      <c r="G99" s="36" t="s">
        <v>63</v>
      </c>
      <c r="H99" s="36" t="s">
        <v>25</v>
      </c>
      <c r="I99" s="56">
        <v>44713</v>
      </c>
      <c r="J99" s="57">
        <f ca="1">EFEITO!$J$99*EFEITO!$Y$99</f>
        <v>1190.7969974990094</v>
      </c>
      <c r="K99" s="57">
        <f>EFEITO!$L$99*EFEITO!$Z$99</f>
        <v>0</v>
      </c>
      <c r="L99" s="57">
        <f>EFEITO!$N$99*EFEITO!$AA$99</f>
        <v>0</v>
      </c>
      <c r="M99" s="57">
        <f ca="1">$J$99-EFEITO!$K$99*EFEITO!$Y$99</f>
        <v>595.39849874950471</v>
      </c>
      <c r="N99" s="57">
        <f>$K$99-EFEITO!$M$99*EFEITO!$Z$99</f>
        <v>0</v>
      </c>
      <c r="O99" s="57">
        <f>$L$99-EFEITO!$O$99*EFEITO!$AA$99</f>
        <v>0</v>
      </c>
      <c r="P99" s="40"/>
      <c r="Q99" s="40"/>
      <c r="R99" s="40"/>
      <c r="S99" s="40"/>
      <c r="T99" s="40"/>
      <c r="U99" s="40"/>
      <c r="V99" s="40"/>
      <c r="W99" s="40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6" t="s">
        <v>21</v>
      </c>
      <c r="B100" s="36" t="s">
        <v>35</v>
      </c>
      <c r="C100" s="36" t="s">
        <v>60</v>
      </c>
      <c r="D100" s="36" t="s">
        <v>25</v>
      </c>
      <c r="E100" s="36" t="s">
        <v>25</v>
      </c>
      <c r="F100" s="36" t="s">
        <v>25</v>
      </c>
      <c r="G100" s="36" t="s">
        <v>64</v>
      </c>
      <c r="H100" s="36" t="s">
        <v>25</v>
      </c>
      <c r="I100" s="56">
        <v>44713</v>
      </c>
      <c r="J100" s="57">
        <f ca="1">EFEITO!$J$100*EFEITO!$Y$100</f>
        <v>3554.6179029821178</v>
      </c>
      <c r="K100" s="57">
        <f>EFEITO!$L$100*EFEITO!$Z$100</f>
        <v>0</v>
      </c>
      <c r="L100" s="57">
        <f>EFEITO!$N$100*EFEITO!$AA$100</f>
        <v>0</v>
      </c>
      <c r="M100" s="57">
        <f ca="1">$J$100-EFEITO!$K$100*EFEITO!$Y$100</f>
        <v>1777.3089514910589</v>
      </c>
      <c r="N100" s="57">
        <f>$K$100-EFEITO!$M$100*EFEITO!$Z$100</f>
        <v>0</v>
      </c>
      <c r="O100" s="57">
        <f>$L$100-EFEITO!$O$100*EFEITO!$AA$100</f>
        <v>0</v>
      </c>
      <c r="P100" s="40"/>
      <c r="Q100" s="40"/>
      <c r="R100" s="40"/>
      <c r="S100" s="40"/>
      <c r="T100" s="40"/>
      <c r="U100" s="40"/>
      <c r="V100" s="40"/>
      <c r="W100" s="40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6" t="s">
        <v>21</v>
      </c>
      <c r="B101" s="36" t="s">
        <v>35</v>
      </c>
      <c r="C101" s="36" t="s">
        <v>60</v>
      </c>
      <c r="D101" s="36" t="s">
        <v>25</v>
      </c>
      <c r="E101" s="36" t="s">
        <v>25</v>
      </c>
      <c r="F101" s="36" t="s">
        <v>25</v>
      </c>
      <c r="G101" s="36" t="s">
        <v>65</v>
      </c>
      <c r="H101" s="36" t="s">
        <v>25</v>
      </c>
      <c r="I101" s="56">
        <v>44713</v>
      </c>
      <c r="J101" s="57">
        <f ca="1">EFEITO!$J$101*EFEITO!$Y$101</f>
        <v>1809.300512617898</v>
      </c>
      <c r="K101" s="57">
        <f>EFEITO!$L$101*EFEITO!$Z$101</f>
        <v>0</v>
      </c>
      <c r="L101" s="57">
        <f>EFEITO!$N$101*EFEITO!$AA$101</f>
        <v>0</v>
      </c>
      <c r="M101" s="57">
        <f ca="1">$J$101-EFEITO!$K$101*EFEITO!$Y$101</f>
        <v>904.650256308949</v>
      </c>
      <c r="N101" s="57">
        <f>$K$101-EFEITO!$M$101*EFEITO!$Z$101</f>
        <v>0</v>
      </c>
      <c r="O101" s="57">
        <f>$L$101-EFEITO!$O$101*EFEITO!$AA$101</f>
        <v>0</v>
      </c>
      <c r="P101" s="40"/>
      <c r="Q101" s="40"/>
      <c r="R101" s="40"/>
      <c r="S101" s="40"/>
      <c r="T101" s="40"/>
      <c r="U101" s="40"/>
      <c r="V101" s="40"/>
      <c r="W101" s="40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6" t="s">
        <v>21</v>
      </c>
      <c r="B102" s="36" t="s">
        <v>35</v>
      </c>
      <c r="C102" s="36" t="s">
        <v>60</v>
      </c>
      <c r="D102" s="36" t="s">
        <v>25</v>
      </c>
      <c r="E102" s="36" t="s">
        <v>25</v>
      </c>
      <c r="F102" s="36" t="s">
        <v>25</v>
      </c>
      <c r="G102" s="36" t="s">
        <v>61</v>
      </c>
      <c r="H102" s="36" t="s">
        <v>25</v>
      </c>
      <c r="I102" s="56">
        <v>44743</v>
      </c>
      <c r="J102" s="57">
        <f ca="1">EFEITO!$J$102*EFEITO!$Y$102</f>
        <v>8886.5447574552945</v>
      </c>
      <c r="K102" s="57">
        <f>EFEITO!$L$102*EFEITO!$Z$102</f>
        <v>0</v>
      </c>
      <c r="L102" s="57">
        <f>EFEITO!$N$102*EFEITO!$AA$102</f>
        <v>0</v>
      </c>
      <c r="M102" s="57">
        <f ca="1">$J$102-EFEITO!$K$102*EFEITO!$Y$102</f>
        <v>4443.2723787276473</v>
      </c>
      <c r="N102" s="57">
        <f>$K$102-EFEITO!$M$102*EFEITO!$Z$102</f>
        <v>0</v>
      </c>
      <c r="O102" s="57">
        <f>$L$102-EFEITO!$O$102*EFEITO!$AA$102</f>
        <v>0</v>
      </c>
      <c r="P102" s="40"/>
      <c r="Q102" s="40"/>
      <c r="R102" s="40"/>
      <c r="S102" s="40"/>
      <c r="T102" s="40"/>
      <c r="U102" s="40"/>
      <c r="V102" s="40"/>
      <c r="W102" s="40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6" t="s">
        <v>21</v>
      </c>
      <c r="B103" s="36" t="s">
        <v>35</v>
      </c>
      <c r="C103" s="36" t="s">
        <v>60</v>
      </c>
      <c r="D103" s="36" t="s">
        <v>25</v>
      </c>
      <c r="E103" s="36" t="s">
        <v>25</v>
      </c>
      <c r="F103" s="36" t="s">
        <v>25</v>
      </c>
      <c r="G103" s="36" t="s">
        <v>63</v>
      </c>
      <c r="H103" s="36" t="s">
        <v>25</v>
      </c>
      <c r="I103" s="56">
        <v>44743</v>
      </c>
      <c r="J103" s="57">
        <f ca="1">EFEITO!$J$103*EFEITO!$Y$103</f>
        <v>1190.7969974990094</v>
      </c>
      <c r="K103" s="57">
        <f>EFEITO!$L$103*EFEITO!$Z$103</f>
        <v>0</v>
      </c>
      <c r="L103" s="57">
        <f>EFEITO!$N$103*EFEITO!$AA$103</f>
        <v>0</v>
      </c>
      <c r="M103" s="57">
        <f ca="1">$J$103-EFEITO!$K$103*EFEITO!$Y$103</f>
        <v>595.39849874950471</v>
      </c>
      <c r="N103" s="57">
        <f>$K$103-EFEITO!$M$103*EFEITO!$Z$103</f>
        <v>0</v>
      </c>
      <c r="O103" s="57">
        <f>$L$103-EFEITO!$O$103*EFEITO!$AA$103</f>
        <v>0</v>
      </c>
      <c r="P103" s="40"/>
      <c r="Q103" s="40"/>
      <c r="R103" s="40"/>
      <c r="S103" s="40"/>
      <c r="T103" s="40"/>
      <c r="U103" s="40"/>
      <c r="V103" s="40"/>
      <c r="W103" s="40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6" t="s">
        <v>21</v>
      </c>
      <c r="B104" s="36" t="s">
        <v>35</v>
      </c>
      <c r="C104" s="36" t="s">
        <v>60</v>
      </c>
      <c r="D104" s="36" t="s">
        <v>25</v>
      </c>
      <c r="E104" s="36" t="s">
        <v>25</v>
      </c>
      <c r="F104" s="36" t="s">
        <v>25</v>
      </c>
      <c r="G104" s="36" t="s">
        <v>64</v>
      </c>
      <c r="H104" s="36" t="s">
        <v>25</v>
      </c>
      <c r="I104" s="56">
        <v>44743</v>
      </c>
      <c r="J104" s="57">
        <f ca="1">EFEITO!$J$104*EFEITO!$Y$104</f>
        <v>3554.6179029821178</v>
      </c>
      <c r="K104" s="57">
        <f>EFEITO!$L$104*EFEITO!$Z$104</f>
        <v>0</v>
      </c>
      <c r="L104" s="57">
        <f>EFEITO!$N$104*EFEITO!$AA$104</f>
        <v>0</v>
      </c>
      <c r="M104" s="57">
        <f ca="1">$J$104-EFEITO!$K$104*EFEITO!$Y$104</f>
        <v>1777.3089514910589</v>
      </c>
      <c r="N104" s="57">
        <f>$K$104-EFEITO!$M$104*EFEITO!$Z$104</f>
        <v>0</v>
      </c>
      <c r="O104" s="57">
        <f>$L$104-EFEITO!$O$104*EFEITO!$AA$104</f>
        <v>0</v>
      </c>
      <c r="P104" s="40"/>
      <c r="Q104" s="40"/>
      <c r="R104" s="40"/>
      <c r="S104" s="40"/>
      <c r="T104" s="40"/>
      <c r="U104" s="40"/>
      <c r="V104" s="40"/>
      <c r="W104" s="40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6" t="s">
        <v>21</v>
      </c>
      <c r="B105" s="36" t="s">
        <v>35</v>
      </c>
      <c r="C105" s="36" t="s">
        <v>60</v>
      </c>
      <c r="D105" s="36" t="s">
        <v>25</v>
      </c>
      <c r="E105" s="36" t="s">
        <v>25</v>
      </c>
      <c r="F105" s="36" t="s">
        <v>25</v>
      </c>
      <c r="G105" s="36" t="s">
        <v>65</v>
      </c>
      <c r="H105" s="36" t="s">
        <v>25</v>
      </c>
      <c r="I105" s="56">
        <v>44743</v>
      </c>
      <c r="J105" s="57">
        <f ca="1">EFEITO!$J$105*EFEITO!$Y$105</f>
        <v>2285.6193116175018</v>
      </c>
      <c r="K105" s="57">
        <f>EFEITO!$L$105*EFEITO!$Z$105</f>
        <v>0</v>
      </c>
      <c r="L105" s="57">
        <f>EFEITO!$N$105*EFEITO!$AA$105</f>
        <v>0</v>
      </c>
      <c r="M105" s="57">
        <f ca="1">$J$105-EFEITO!$K$105*EFEITO!$Y$105</f>
        <v>1142.8096558087509</v>
      </c>
      <c r="N105" s="57">
        <f>$K$105-EFEITO!$M$105*EFEITO!$Z$105</f>
        <v>0</v>
      </c>
      <c r="O105" s="57">
        <f>$L$105-EFEITO!$O$105*EFEITO!$AA$105</f>
        <v>0</v>
      </c>
      <c r="P105" s="40"/>
      <c r="Q105" s="40"/>
      <c r="R105" s="40"/>
      <c r="S105" s="40"/>
      <c r="T105" s="40"/>
      <c r="U105" s="40"/>
      <c r="V105" s="40"/>
      <c r="W105" s="40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6" t="s">
        <v>21</v>
      </c>
      <c r="B106" s="36" t="s">
        <v>35</v>
      </c>
      <c r="C106" s="36" t="s">
        <v>60</v>
      </c>
      <c r="D106" s="36" t="s">
        <v>25</v>
      </c>
      <c r="E106" s="36" t="s">
        <v>25</v>
      </c>
      <c r="F106" s="36" t="s">
        <v>25</v>
      </c>
      <c r="G106" s="36" t="s">
        <v>61</v>
      </c>
      <c r="H106" s="36" t="s">
        <v>25</v>
      </c>
      <c r="I106" s="56">
        <v>44774</v>
      </c>
      <c r="J106" s="57">
        <f ca="1">EFEITO!$J$106*EFEITO!$Y$106</f>
        <v>8886.5447574552945</v>
      </c>
      <c r="K106" s="57">
        <f>EFEITO!$L$106*EFEITO!$Z$106</f>
        <v>0</v>
      </c>
      <c r="L106" s="57">
        <f>EFEITO!$N$106*EFEITO!$AA$106</f>
        <v>0</v>
      </c>
      <c r="M106" s="57">
        <f ca="1">$J$106-EFEITO!$K$106*EFEITO!$Y$106</f>
        <v>4443.2723787276473</v>
      </c>
      <c r="N106" s="57">
        <f>$K$106-EFEITO!$M$106*EFEITO!$Z$106</f>
        <v>0</v>
      </c>
      <c r="O106" s="57">
        <f>$L$106-EFEITO!$O$106*EFEITO!$AA$106</f>
        <v>0</v>
      </c>
      <c r="P106" s="40"/>
      <c r="Q106" s="40"/>
      <c r="R106" s="40"/>
      <c r="S106" s="40"/>
      <c r="T106" s="40"/>
      <c r="U106" s="40"/>
      <c r="V106" s="40"/>
      <c r="W106" s="40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6" t="s">
        <v>21</v>
      </c>
      <c r="B107" s="36" t="s">
        <v>35</v>
      </c>
      <c r="C107" s="36" t="s">
        <v>60</v>
      </c>
      <c r="D107" s="36" t="s">
        <v>25</v>
      </c>
      <c r="E107" s="36" t="s">
        <v>25</v>
      </c>
      <c r="F107" s="36" t="s">
        <v>25</v>
      </c>
      <c r="G107" s="36" t="s">
        <v>63</v>
      </c>
      <c r="H107" s="36" t="s">
        <v>25</v>
      </c>
      <c r="I107" s="56">
        <v>44774</v>
      </c>
      <c r="J107" s="57">
        <f ca="1">EFEITO!$J$107*EFEITO!$Y$107</f>
        <v>1190.7969974990094</v>
      </c>
      <c r="K107" s="57">
        <f>EFEITO!$L$107*EFEITO!$Z$107</f>
        <v>0</v>
      </c>
      <c r="L107" s="57">
        <f>EFEITO!$N$107*EFEITO!$AA$107</f>
        <v>0</v>
      </c>
      <c r="M107" s="57">
        <f ca="1">$J$107-EFEITO!$K$107*EFEITO!$Y$107</f>
        <v>595.39849874950471</v>
      </c>
      <c r="N107" s="57">
        <f>$K$107-EFEITO!$M$107*EFEITO!$Z$107</f>
        <v>0</v>
      </c>
      <c r="O107" s="57">
        <f>$L$107-EFEITO!$O$107*EFEITO!$AA$107</f>
        <v>0</v>
      </c>
      <c r="P107" s="40"/>
      <c r="Q107" s="40"/>
      <c r="R107" s="40"/>
      <c r="S107" s="40"/>
      <c r="T107" s="40"/>
      <c r="U107" s="40"/>
      <c r="V107" s="40"/>
      <c r="W107" s="40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6" t="s">
        <v>21</v>
      </c>
      <c r="B108" s="36" t="s">
        <v>35</v>
      </c>
      <c r="C108" s="36" t="s">
        <v>60</v>
      </c>
      <c r="D108" s="36" t="s">
        <v>25</v>
      </c>
      <c r="E108" s="36" t="s">
        <v>25</v>
      </c>
      <c r="F108" s="36" t="s">
        <v>25</v>
      </c>
      <c r="G108" s="36" t="s">
        <v>64</v>
      </c>
      <c r="H108" s="36" t="s">
        <v>25</v>
      </c>
      <c r="I108" s="56">
        <v>44774</v>
      </c>
      <c r="J108" s="57">
        <f ca="1">EFEITO!$J$108*EFEITO!$Y$108</f>
        <v>3554.6179029821178</v>
      </c>
      <c r="K108" s="57">
        <f>EFEITO!$L$108*EFEITO!$Z$108</f>
        <v>0</v>
      </c>
      <c r="L108" s="57">
        <f>EFEITO!$N$108*EFEITO!$AA$108</f>
        <v>0</v>
      </c>
      <c r="M108" s="57">
        <f ca="1">$J$108-EFEITO!$K$108*EFEITO!$Y$108</f>
        <v>1777.3089514910589</v>
      </c>
      <c r="N108" s="57">
        <f>$K$108-EFEITO!$M$108*EFEITO!$Z$108</f>
        <v>0</v>
      </c>
      <c r="O108" s="57">
        <f>$L$108-EFEITO!$O$108*EFEITO!$AA$108</f>
        <v>0</v>
      </c>
      <c r="P108" s="40"/>
      <c r="Q108" s="40"/>
      <c r="R108" s="40"/>
      <c r="S108" s="40"/>
      <c r="T108" s="40"/>
      <c r="U108" s="40"/>
      <c r="V108" s="40"/>
      <c r="W108" s="40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6" t="s">
        <v>21</v>
      </c>
      <c r="B109" s="36" t="s">
        <v>35</v>
      </c>
      <c r="C109" s="36" t="s">
        <v>60</v>
      </c>
      <c r="D109" s="36" t="s">
        <v>25</v>
      </c>
      <c r="E109" s="36" t="s">
        <v>25</v>
      </c>
      <c r="F109" s="36" t="s">
        <v>25</v>
      </c>
      <c r="G109" s="36" t="s">
        <v>65</v>
      </c>
      <c r="H109" s="36" t="s">
        <v>25</v>
      </c>
      <c r="I109" s="56">
        <v>44774</v>
      </c>
      <c r="J109" s="57">
        <f ca="1">EFEITO!$J$109*EFEITO!$Y$109</f>
        <v>2150.5438313041814</v>
      </c>
      <c r="K109" s="57">
        <f>EFEITO!$L$109*EFEITO!$Z$109</f>
        <v>0</v>
      </c>
      <c r="L109" s="57">
        <f>EFEITO!$N$109*EFEITO!$AA$109</f>
        <v>0</v>
      </c>
      <c r="M109" s="57">
        <f ca="1">$J$109-EFEITO!$K$109*EFEITO!$Y$109</f>
        <v>1075.2719156520907</v>
      </c>
      <c r="N109" s="57">
        <f>$K$109-EFEITO!$M$109*EFEITO!$Z$109</f>
        <v>0</v>
      </c>
      <c r="O109" s="57">
        <f>$L$109-EFEITO!$O$109*EFEITO!$AA$109</f>
        <v>0</v>
      </c>
      <c r="P109" s="40"/>
      <c r="Q109" s="40"/>
      <c r="R109" s="40"/>
      <c r="S109" s="40"/>
      <c r="T109" s="40"/>
      <c r="U109" s="40"/>
      <c r="V109" s="40"/>
      <c r="W109" s="40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6" t="s">
        <v>21</v>
      </c>
      <c r="B110" s="36" t="s">
        <v>35</v>
      </c>
      <c r="C110" s="36" t="s">
        <v>36</v>
      </c>
      <c r="D110" s="36" t="s">
        <v>39</v>
      </c>
      <c r="E110" s="36" t="s">
        <v>25</v>
      </c>
      <c r="F110" s="36" t="s">
        <v>25</v>
      </c>
      <c r="G110" s="36" t="s">
        <v>25</v>
      </c>
      <c r="H110" s="36" t="s">
        <v>38</v>
      </c>
      <c r="I110" s="56">
        <v>44440</v>
      </c>
      <c r="J110" s="57">
        <f>EFEITO!$J$110*EFEITO!$Y$110</f>
        <v>0</v>
      </c>
      <c r="K110" s="57">
        <f ca="1">EFEITO!$L$110*EFEITO!$Z$110</f>
        <v>31473.137090396238</v>
      </c>
      <c r="L110" s="57">
        <f>EFEITO!$N$110*EFEITO!$AA$110</f>
        <v>62215.187656269649</v>
      </c>
      <c r="M110" s="57">
        <f>$J$110-EFEITO!$K$110*EFEITO!$Y$110</f>
        <v>0</v>
      </c>
      <c r="N110" s="57">
        <f ca="1">$K$110-EFEITO!$M$110*EFEITO!$Z$110</f>
        <v>0</v>
      </c>
      <c r="O110" s="57">
        <f>$L$110-EFEITO!$O$110*EFEITO!$AA$110</f>
        <v>0</v>
      </c>
      <c r="P110" s="40"/>
      <c r="Q110" s="40"/>
      <c r="R110" s="40"/>
      <c r="S110" s="40"/>
      <c r="T110" s="40"/>
      <c r="U110" s="40"/>
      <c r="V110" s="40"/>
      <c r="W110" s="40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6" t="s">
        <v>28</v>
      </c>
      <c r="B111" s="36" t="s">
        <v>35</v>
      </c>
      <c r="C111" s="36" t="s">
        <v>36</v>
      </c>
      <c r="D111" s="36" t="s">
        <v>39</v>
      </c>
      <c r="E111" s="36" t="s">
        <v>25</v>
      </c>
      <c r="F111" s="36" t="s">
        <v>25</v>
      </c>
      <c r="G111" s="36" t="s">
        <v>25</v>
      </c>
      <c r="H111" s="36" t="s">
        <v>38</v>
      </c>
      <c r="I111" s="56">
        <v>44440</v>
      </c>
      <c r="J111" s="57">
        <f>EFEITO!$J$111*EFEITO!$Y$111</f>
        <v>0</v>
      </c>
      <c r="K111" s="57">
        <f ca="1">EFEITO!$L$111*EFEITO!$Z$111</f>
        <v>1307.788264071587</v>
      </c>
      <c r="L111" s="57">
        <f>EFEITO!$N$111*EFEITO!$AA$111</f>
        <v>2585.198038256839</v>
      </c>
      <c r="M111" s="57">
        <f>$J$111-EFEITO!$K$111*EFEITO!$Y$111</f>
        <v>0</v>
      </c>
      <c r="N111" s="57">
        <f ca="1">$K$111-EFEITO!$M$111*EFEITO!$Z$111</f>
        <v>0</v>
      </c>
      <c r="O111" s="57">
        <f>$L$111-EFEITO!$O$111*EFEITO!$AA$111</f>
        <v>0</v>
      </c>
      <c r="P111" s="40"/>
      <c r="Q111" s="40"/>
      <c r="R111" s="40"/>
      <c r="S111" s="40"/>
      <c r="T111" s="40"/>
      <c r="U111" s="40"/>
      <c r="V111" s="40"/>
      <c r="W111" s="40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6" t="s">
        <v>21</v>
      </c>
      <c r="B112" s="36" t="s">
        <v>35</v>
      </c>
      <c r="C112" s="36" t="s">
        <v>36</v>
      </c>
      <c r="D112" s="36" t="s">
        <v>39</v>
      </c>
      <c r="E112" s="36" t="s">
        <v>25</v>
      </c>
      <c r="F112" s="36" t="s">
        <v>25</v>
      </c>
      <c r="G112" s="36" t="s">
        <v>25</v>
      </c>
      <c r="H112" s="36" t="s">
        <v>38</v>
      </c>
      <c r="I112" s="56">
        <v>44470</v>
      </c>
      <c r="J112" s="57">
        <f>EFEITO!$J$112*EFEITO!$Y$112</f>
        <v>0</v>
      </c>
      <c r="K112" s="57">
        <f ca="1">EFEITO!$L$112*EFEITO!$Z$112</f>
        <v>33260.787242881786</v>
      </c>
      <c r="L112" s="57">
        <f>EFEITO!$N$112*EFEITO!$AA$112</f>
        <v>65748.962804937153</v>
      </c>
      <c r="M112" s="57">
        <f>$J$112-EFEITO!$K$112*EFEITO!$Y$112</f>
        <v>0</v>
      </c>
      <c r="N112" s="57">
        <f ca="1">$K$112-EFEITO!$M$112*EFEITO!$Z$112</f>
        <v>0</v>
      </c>
      <c r="O112" s="57">
        <f>$L$112-EFEITO!$O$112*EFEITO!$AA$112</f>
        <v>0</v>
      </c>
      <c r="P112" s="40"/>
      <c r="Q112" s="40"/>
      <c r="R112" s="40"/>
      <c r="S112" s="40"/>
      <c r="T112" s="40"/>
      <c r="U112" s="40"/>
      <c r="V112" s="40"/>
      <c r="W112" s="40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6" t="s">
        <v>28</v>
      </c>
      <c r="B113" s="36" t="s">
        <v>35</v>
      </c>
      <c r="C113" s="36" t="s">
        <v>36</v>
      </c>
      <c r="D113" s="36" t="s">
        <v>39</v>
      </c>
      <c r="E113" s="36" t="s">
        <v>25</v>
      </c>
      <c r="F113" s="36" t="s">
        <v>25</v>
      </c>
      <c r="G113" s="36" t="s">
        <v>25</v>
      </c>
      <c r="H113" s="36" t="s">
        <v>38</v>
      </c>
      <c r="I113" s="56">
        <v>44470</v>
      </c>
      <c r="J113" s="57">
        <f>EFEITO!$J$113*EFEITO!$Y$113</f>
        <v>0</v>
      </c>
      <c r="K113" s="57">
        <f ca="1">EFEITO!$L$113*EFEITO!$Z$113</f>
        <v>1355.321753018253</v>
      </c>
      <c r="L113" s="57">
        <f>EFEITO!$N$113*EFEITO!$AA$113</f>
        <v>2679.1608652314799</v>
      </c>
      <c r="M113" s="57">
        <f>$J$113-EFEITO!$K$113*EFEITO!$Y$113</f>
        <v>0</v>
      </c>
      <c r="N113" s="57">
        <f ca="1">$K$113-EFEITO!$M$113*EFEITO!$Z$113</f>
        <v>0</v>
      </c>
      <c r="O113" s="57">
        <f>$L$113-EFEITO!$O$113*EFEITO!$AA$113</f>
        <v>0</v>
      </c>
      <c r="P113" s="40"/>
      <c r="Q113" s="40"/>
      <c r="R113" s="40"/>
      <c r="S113" s="40"/>
      <c r="T113" s="40"/>
      <c r="U113" s="40"/>
      <c r="V113" s="40"/>
      <c r="W113" s="40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6" t="s">
        <v>21</v>
      </c>
      <c r="B114" s="36" t="s">
        <v>35</v>
      </c>
      <c r="C114" s="36" t="s">
        <v>36</v>
      </c>
      <c r="D114" s="36" t="s">
        <v>39</v>
      </c>
      <c r="E114" s="36" t="s">
        <v>25</v>
      </c>
      <c r="F114" s="36" t="s">
        <v>25</v>
      </c>
      <c r="G114" s="36" t="s">
        <v>25</v>
      </c>
      <c r="H114" s="36" t="s">
        <v>38</v>
      </c>
      <c r="I114" s="56">
        <v>44501</v>
      </c>
      <c r="J114" s="57">
        <f>EFEITO!$J$114*EFEITO!$Y$114</f>
        <v>0</v>
      </c>
      <c r="K114" s="57">
        <f ca="1">EFEITO!$L$114*EFEITO!$Z$114</f>
        <v>35373.249569836225</v>
      </c>
      <c r="L114" s="57">
        <f>EFEITO!$N$114*EFEITO!$AA$114</f>
        <v>69924.817271264707</v>
      </c>
      <c r="M114" s="57">
        <f>$J$114-EFEITO!$K$114*EFEITO!$Y$114</f>
        <v>0</v>
      </c>
      <c r="N114" s="57">
        <f ca="1">$K$114-EFEITO!$M$114*EFEITO!$Z$114</f>
        <v>0</v>
      </c>
      <c r="O114" s="57">
        <f>$L$114-EFEITO!$O$114*EFEITO!$AA$114</f>
        <v>0</v>
      </c>
      <c r="P114" s="40"/>
      <c r="Q114" s="40"/>
      <c r="R114" s="40"/>
      <c r="S114" s="40"/>
      <c r="T114" s="40"/>
      <c r="U114" s="40"/>
      <c r="V114" s="40"/>
      <c r="W114" s="40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6" t="s">
        <v>28</v>
      </c>
      <c r="B115" s="36" t="s">
        <v>35</v>
      </c>
      <c r="C115" s="36" t="s">
        <v>36</v>
      </c>
      <c r="D115" s="36" t="s">
        <v>39</v>
      </c>
      <c r="E115" s="36" t="s">
        <v>25</v>
      </c>
      <c r="F115" s="36" t="s">
        <v>25</v>
      </c>
      <c r="G115" s="36" t="s">
        <v>25</v>
      </c>
      <c r="H115" s="36" t="s">
        <v>38</v>
      </c>
      <c r="I115" s="56">
        <v>44501</v>
      </c>
      <c r="J115" s="57">
        <f>EFEITO!$J$115*EFEITO!$Y$115</f>
        <v>0</v>
      </c>
      <c r="K115" s="57">
        <f ca="1">EFEITO!$L$115*EFEITO!$Z$115</f>
        <v>1738.0589367446557</v>
      </c>
      <c r="L115" s="57">
        <f>EFEITO!$N$115*EFEITO!$AA$115</f>
        <v>3435.7446668454713</v>
      </c>
      <c r="M115" s="57">
        <f>$J$115-EFEITO!$K$115*EFEITO!$Y$115</f>
        <v>0</v>
      </c>
      <c r="N115" s="57">
        <f ca="1">$K$115-EFEITO!$M$115*EFEITO!$Z$115</f>
        <v>0</v>
      </c>
      <c r="O115" s="57">
        <f>$L$115-EFEITO!$O$115*EFEITO!$AA$115</f>
        <v>0</v>
      </c>
      <c r="P115" s="40"/>
      <c r="Q115" s="40"/>
      <c r="R115" s="40"/>
      <c r="S115" s="40"/>
      <c r="T115" s="40"/>
      <c r="U115" s="40"/>
      <c r="V115" s="40"/>
      <c r="W115" s="40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6" t="s">
        <v>21</v>
      </c>
      <c r="B116" s="36" t="s">
        <v>35</v>
      </c>
      <c r="C116" s="36" t="s">
        <v>36</v>
      </c>
      <c r="D116" s="36" t="s">
        <v>39</v>
      </c>
      <c r="E116" s="36" t="s">
        <v>25</v>
      </c>
      <c r="F116" s="36" t="s">
        <v>25</v>
      </c>
      <c r="G116" s="36" t="s">
        <v>25</v>
      </c>
      <c r="H116" s="36" t="s">
        <v>38</v>
      </c>
      <c r="I116" s="56">
        <v>44531</v>
      </c>
      <c r="J116" s="57">
        <f>EFEITO!$J$116*EFEITO!$Y$116</f>
        <v>0</v>
      </c>
      <c r="K116" s="57">
        <f ca="1">EFEITO!$L$116*EFEITO!$Z$116</f>
        <v>38669.52212151001</v>
      </c>
      <c r="L116" s="57">
        <f>EFEITO!$N$116*EFEITO!$AA$116</f>
        <v>76440.793571294009</v>
      </c>
      <c r="M116" s="57">
        <f>$J$116-EFEITO!$K$116*EFEITO!$Y$116</f>
        <v>0</v>
      </c>
      <c r="N116" s="57">
        <f ca="1">$K$116-EFEITO!$M$116*EFEITO!$Z$116</f>
        <v>0</v>
      </c>
      <c r="O116" s="57">
        <f>$L$116-EFEITO!$O$116*EFEITO!$AA$116</f>
        <v>0</v>
      </c>
      <c r="P116" s="40"/>
      <c r="Q116" s="40"/>
      <c r="R116" s="40"/>
      <c r="S116" s="40"/>
      <c r="T116" s="40"/>
      <c r="U116" s="40"/>
      <c r="V116" s="40"/>
      <c r="W116" s="40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6" t="s">
        <v>28</v>
      </c>
      <c r="B117" s="36" t="s">
        <v>35</v>
      </c>
      <c r="C117" s="36" t="s">
        <v>36</v>
      </c>
      <c r="D117" s="36" t="s">
        <v>39</v>
      </c>
      <c r="E117" s="36" t="s">
        <v>25</v>
      </c>
      <c r="F117" s="36" t="s">
        <v>25</v>
      </c>
      <c r="G117" s="36" t="s">
        <v>25</v>
      </c>
      <c r="H117" s="36" t="s">
        <v>38</v>
      </c>
      <c r="I117" s="56">
        <v>44531</v>
      </c>
      <c r="J117" s="57">
        <f>EFEITO!$J$117*EFEITO!$Y$117</f>
        <v>0</v>
      </c>
      <c r="K117" s="57">
        <f ca="1">EFEITO!$L$117*EFEITO!$Z$117</f>
        <v>1921.9168258089248</v>
      </c>
      <c r="L117" s="57">
        <f>EFEITO!$N$117*EFEITO!$AA$117</f>
        <v>3799.1896274595038</v>
      </c>
      <c r="M117" s="57">
        <f>$J$117-EFEITO!$K$117*EFEITO!$Y$117</f>
        <v>0</v>
      </c>
      <c r="N117" s="57">
        <f ca="1">$K$117-EFEITO!$M$117*EFEITO!$Z$117</f>
        <v>0</v>
      </c>
      <c r="O117" s="57">
        <f>$L$117-EFEITO!$O$117*EFEITO!$AA$117</f>
        <v>0</v>
      </c>
      <c r="P117" s="40"/>
      <c r="Q117" s="40"/>
      <c r="R117" s="40"/>
      <c r="S117" s="40"/>
      <c r="T117" s="40"/>
      <c r="U117" s="40"/>
      <c r="V117" s="40"/>
      <c r="W117" s="40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6" t="s">
        <v>21</v>
      </c>
      <c r="B118" s="36" t="s">
        <v>35</v>
      </c>
      <c r="C118" s="36" t="s">
        <v>36</v>
      </c>
      <c r="D118" s="36" t="s">
        <v>39</v>
      </c>
      <c r="E118" s="36" t="s">
        <v>25</v>
      </c>
      <c r="F118" s="36" t="s">
        <v>25</v>
      </c>
      <c r="G118" s="36" t="s">
        <v>25</v>
      </c>
      <c r="H118" s="36" t="s">
        <v>38</v>
      </c>
      <c r="I118" s="56">
        <v>44562</v>
      </c>
      <c r="J118" s="57">
        <f>EFEITO!$J$118*EFEITO!$Y$118</f>
        <v>0</v>
      </c>
      <c r="K118" s="57">
        <f ca="1">EFEITO!$L$118*EFEITO!$Z$118</f>
        <v>42674.167122096776</v>
      </c>
      <c r="L118" s="57">
        <f>EFEITO!$N$118*EFEITO!$AA$118</f>
        <v>84357.060052536312</v>
      </c>
      <c r="M118" s="57">
        <f>$J$118-EFEITO!$K$118*EFEITO!$Y$118</f>
        <v>0</v>
      </c>
      <c r="N118" s="57">
        <f ca="1">$K$118-EFEITO!$M$118*EFEITO!$Z$118</f>
        <v>0</v>
      </c>
      <c r="O118" s="57">
        <f>$L$118-EFEITO!$O$118*EFEITO!$AA$118</f>
        <v>0</v>
      </c>
      <c r="P118" s="40"/>
      <c r="Q118" s="40"/>
      <c r="R118" s="40"/>
      <c r="S118" s="40"/>
      <c r="T118" s="40"/>
      <c r="U118" s="40"/>
      <c r="V118" s="40"/>
      <c r="W118" s="40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6" t="s">
        <v>28</v>
      </c>
      <c r="B119" s="36" t="s">
        <v>35</v>
      </c>
      <c r="C119" s="36" t="s">
        <v>36</v>
      </c>
      <c r="D119" s="36" t="s">
        <v>39</v>
      </c>
      <c r="E119" s="36" t="s">
        <v>25</v>
      </c>
      <c r="F119" s="36" t="s">
        <v>25</v>
      </c>
      <c r="G119" s="36" t="s">
        <v>25</v>
      </c>
      <c r="H119" s="36" t="s">
        <v>38</v>
      </c>
      <c r="I119" s="56">
        <v>44562</v>
      </c>
      <c r="J119" s="57">
        <f>EFEITO!$J$119*EFEITO!$Y$119</f>
        <v>0</v>
      </c>
      <c r="K119" s="57">
        <f ca="1">EFEITO!$L$119*EFEITO!$Z$119</f>
        <v>2903.2467339762443</v>
      </c>
      <c r="L119" s="57">
        <f>EFEITO!$N$119*EFEITO!$AA$119</f>
        <v>5739.0542241783878</v>
      </c>
      <c r="M119" s="57">
        <f>$J$119-EFEITO!$K$119*EFEITO!$Y$119</f>
        <v>0</v>
      </c>
      <c r="N119" s="57">
        <f ca="1">$K$119-EFEITO!$M$119*EFEITO!$Z$119</f>
        <v>0</v>
      </c>
      <c r="O119" s="57">
        <f>$L$119-EFEITO!$O$119*EFEITO!$AA$119</f>
        <v>0</v>
      </c>
      <c r="P119" s="40"/>
      <c r="Q119" s="40"/>
      <c r="R119" s="40"/>
      <c r="S119" s="40"/>
      <c r="T119" s="40"/>
      <c r="U119" s="40"/>
      <c r="V119" s="40"/>
      <c r="W119" s="40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6" t="s">
        <v>21</v>
      </c>
      <c r="B120" s="36" t="s">
        <v>35</v>
      </c>
      <c r="C120" s="36" t="s">
        <v>36</v>
      </c>
      <c r="D120" s="36" t="s">
        <v>39</v>
      </c>
      <c r="E120" s="36" t="s">
        <v>25</v>
      </c>
      <c r="F120" s="36" t="s">
        <v>25</v>
      </c>
      <c r="G120" s="36" t="s">
        <v>25</v>
      </c>
      <c r="H120" s="36" t="s">
        <v>38</v>
      </c>
      <c r="I120" s="56">
        <v>44593</v>
      </c>
      <c r="J120" s="57">
        <f>EFEITO!$J$120*EFEITO!$Y$120</f>
        <v>0</v>
      </c>
      <c r="K120" s="57">
        <f ca="1">EFEITO!$L$120*EFEITO!$Z$120</f>
        <v>37933.061701855819</v>
      </c>
      <c r="L120" s="57">
        <f>EFEITO!$N$120*EFEITO!$AA$120</f>
        <v>74984.97990141419</v>
      </c>
      <c r="M120" s="57">
        <f>$J$120-EFEITO!$K$120*EFEITO!$Y$120</f>
        <v>0</v>
      </c>
      <c r="N120" s="57">
        <f ca="1">$K$120-EFEITO!$M$120*EFEITO!$Z$120</f>
        <v>0</v>
      </c>
      <c r="O120" s="57">
        <f>$L$120-EFEITO!$O$120*EFEITO!$AA$120</f>
        <v>0</v>
      </c>
      <c r="P120" s="40"/>
      <c r="Q120" s="40"/>
      <c r="R120" s="40"/>
      <c r="S120" s="40"/>
      <c r="T120" s="40"/>
      <c r="U120" s="40"/>
      <c r="V120" s="40"/>
      <c r="W120" s="40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6" t="s">
        <v>28</v>
      </c>
      <c r="B121" s="36" t="s">
        <v>35</v>
      </c>
      <c r="C121" s="36" t="s">
        <v>36</v>
      </c>
      <c r="D121" s="36" t="s">
        <v>39</v>
      </c>
      <c r="E121" s="36" t="s">
        <v>25</v>
      </c>
      <c r="F121" s="36" t="s">
        <v>25</v>
      </c>
      <c r="G121" s="36" t="s">
        <v>25</v>
      </c>
      <c r="H121" s="36" t="s">
        <v>38</v>
      </c>
      <c r="I121" s="56">
        <v>44593</v>
      </c>
      <c r="J121" s="57">
        <f>EFEITO!$J$121*EFEITO!$Y$121</f>
        <v>0</v>
      </c>
      <c r="K121" s="57">
        <f ca="1">EFEITO!$L$121*EFEITO!$Z$121</f>
        <v>2489.0263302981539</v>
      </c>
      <c r="L121" s="57">
        <f>EFEITO!$N$121*EFEITO!$AA$121</f>
        <v>4920.235303399375</v>
      </c>
      <c r="M121" s="57">
        <f>$J$121-EFEITO!$K$121*EFEITO!$Y$121</f>
        <v>0</v>
      </c>
      <c r="N121" s="57">
        <f ca="1">$K$121-EFEITO!$M$121*EFEITO!$Z$121</f>
        <v>0</v>
      </c>
      <c r="O121" s="57">
        <f>$L$121-EFEITO!$O$121*EFEITO!$AA$121</f>
        <v>0</v>
      </c>
      <c r="P121" s="40"/>
      <c r="Q121" s="40"/>
      <c r="R121" s="40"/>
      <c r="S121" s="40"/>
      <c r="T121" s="40"/>
      <c r="U121" s="40"/>
      <c r="V121" s="40"/>
      <c r="W121" s="40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6" t="s">
        <v>21</v>
      </c>
      <c r="B122" s="36" t="s">
        <v>35</v>
      </c>
      <c r="C122" s="36" t="s">
        <v>36</v>
      </c>
      <c r="D122" s="36" t="s">
        <v>39</v>
      </c>
      <c r="E122" s="36" t="s">
        <v>25</v>
      </c>
      <c r="F122" s="36" t="s">
        <v>25</v>
      </c>
      <c r="G122" s="36" t="s">
        <v>25</v>
      </c>
      <c r="H122" s="36" t="s">
        <v>38</v>
      </c>
      <c r="I122" s="56">
        <v>44621</v>
      </c>
      <c r="J122" s="57">
        <f>EFEITO!$J$122*EFEITO!$Y$122</f>
        <v>0</v>
      </c>
      <c r="K122" s="57">
        <f ca="1">EFEITO!$L$122*EFEITO!$Z$122</f>
        <v>39290.338295328584</v>
      </c>
      <c r="L122" s="57">
        <f>EFEITO!$N$122*EFEITO!$AA$122</f>
        <v>77668.005038750678</v>
      </c>
      <c r="M122" s="57">
        <f>$J$122-EFEITO!$K$122*EFEITO!$Y$122</f>
        <v>0</v>
      </c>
      <c r="N122" s="57">
        <f ca="1">$K$122-EFEITO!$M$122*EFEITO!$Z$122</f>
        <v>0</v>
      </c>
      <c r="O122" s="57">
        <f>$L$122-EFEITO!$O$122*EFEITO!$AA$122</f>
        <v>0</v>
      </c>
      <c r="P122" s="40"/>
      <c r="Q122" s="40"/>
      <c r="R122" s="40"/>
      <c r="S122" s="40"/>
      <c r="T122" s="40"/>
      <c r="U122" s="40"/>
      <c r="V122" s="40"/>
      <c r="W122" s="40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6" t="s">
        <v>28</v>
      </c>
      <c r="B123" s="36" t="s">
        <v>35</v>
      </c>
      <c r="C123" s="36" t="s">
        <v>36</v>
      </c>
      <c r="D123" s="36" t="s">
        <v>39</v>
      </c>
      <c r="E123" s="36" t="s">
        <v>25</v>
      </c>
      <c r="F123" s="36" t="s">
        <v>25</v>
      </c>
      <c r="G123" s="36" t="s">
        <v>25</v>
      </c>
      <c r="H123" s="36" t="s">
        <v>38</v>
      </c>
      <c r="I123" s="56">
        <v>44621</v>
      </c>
      <c r="J123" s="57">
        <f>EFEITO!$J$123*EFEITO!$Y$123</f>
        <v>0</v>
      </c>
      <c r="K123" s="57">
        <f ca="1">EFEITO!$L$123*EFEITO!$Z$123</f>
        <v>2181.9106062596293</v>
      </c>
      <c r="L123" s="57">
        <f>EFEITO!$N$123*EFEITO!$AA$123</f>
        <v>4313.1378174268575</v>
      </c>
      <c r="M123" s="57">
        <f>$J$123-EFEITO!$K$123*EFEITO!$Y$123</f>
        <v>0</v>
      </c>
      <c r="N123" s="57">
        <f ca="1">$K$123-EFEITO!$M$123*EFEITO!$Z$123</f>
        <v>0</v>
      </c>
      <c r="O123" s="57">
        <f>$L$123-EFEITO!$O$123*EFEITO!$AA$123</f>
        <v>0</v>
      </c>
      <c r="P123" s="40"/>
      <c r="Q123" s="40"/>
      <c r="R123" s="40"/>
      <c r="S123" s="40"/>
      <c r="T123" s="40"/>
      <c r="U123" s="40"/>
      <c r="V123" s="40"/>
      <c r="W123" s="40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6" t="s">
        <v>21</v>
      </c>
      <c r="B124" s="36" t="s">
        <v>35</v>
      </c>
      <c r="C124" s="36" t="s">
        <v>36</v>
      </c>
      <c r="D124" s="36" t="s">
        <v>39</v>
      </c>
      <c r="E124" s="36" t="s">
        <v>25</v>
      </c>
      <c r="F124" s="36" t="s">
        <v>25</v>
      </c>
      <c r="G124" s="36" t="s">
        <v>25</v>
      </c>
      <c r="H124" s="36" t="s">
        <v>38</v>
      </c>
      <c r="I124" s="56">
        <v>44652</v>
      </c>
      <c r="J124" s="57">
        <f>EFEITO!$J$124*EFEITO!$Y$124</f>
        <v>0</v>
      </c>
      <c r="K124" s="57">
        <f ca="1">EFEITO!$L$124*EFEITO!$Z$124</f>
        <v>33513.99052491154</v>
      </c>
      <c r="L124" s="57">
        <f>EFEITO!$N$124*EFEITO!$AA$124</f>
        <v>66249.487733908129</v>
      </c>
      <c r="M124" s="57">
        <f>$J$124-EFEITO!$K$124*EFEITO!$Y$124</f>
        <v>0</v>
      </c>
      <c r="N124" s="57">
        <f ca="1">$K$124-EFEITO!$M$124*EFEITO!$Z$124</f>
        <v>0</v>
      </c>
      <c r="O124" s="57">
        <f>$L$124-EFEITO!$O$124*EFEITO!$AA$124</f>
        <v>0</v>
      </c>
      <c r="P124" s="40"/>
      <c r="Q124" s="40"/>
      <c r="R124" s="40"/>
      <c r="S124" s="40"/>
      <c r="T124" s="40"/>
      <c r="U124" s="40"/>
      <c r="V124" s="40"/>
      <c r="W124" s="40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6" t="s">
        <v>28</v>
      </c>
      <c r="B125" s="36" t="s">
        <v>35</v>
      </c>
      <c r="C125" s="36" t="s">
        <v>36</v>
      </c>
      <c r="D125" s="36" t="s">
        <v>39</v>
      </c>
      <c r="E125" s="36" t="s">
        <v>25</v>
      </c>
      <c r="F125" s="36" t="s">
        <v>25</v>
      </c>
      <c r="G125" s="36" t="s">
        <v>25</v>
      </c>
      <c r="H125" s="36" t="s">
        <v>38</v>
      </c>
      <c r="I125" s="56">
        <v>44652</v>
      </c>
      <c r="J125" s="57">
        <f>EFEITO!$J$125*EFEITO!$Y$125</f>
        <v>0</v>
      </c>
      <c r="K125" s="57">
        <f ca="1">EFEITO!$L$125*EFEITO!$Z$125</f>
        <v>1327.6453276358868</v>
      </c>
      <c r="L125" s="57">
        <f>EFEITO!$N$125*EFEITO!$AA$125</f>
        <v>2624.4509075341239</v>
      </c>
      <c r="M125" s="57">
        <f>$J$125-EFEITO!$K$125*EFEITO!$Y$125</f>
        <v>0</v>
      </c>
      <c r="N125" s="57">
        <f ca="1">$K$125-EFEITO!$M$125*EFEITO!$Z$125</f>
        <v>0</v>
      </c>
      <c r="O125" s="57">
        <f>$L$125-EFEITO!$O$125*EFEITO!$AA$125</f>
        <v>0</v>
      </c>
      <c r="P125" s="40"/>
      <c r="Q125" s="40"/>
      <c r="R125" s="40"/>
      <c r="S125" s="40"/>
      <c r="T125" s="40"/>
      <c r="U125" s="40"/>
      <c r="V125" s="40"/>
      <c r="W125" s="40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6" t="s">
        <v>21</v>
      </c>
      <c r="B126" s="36" t="s">
        <v>35</v>
      </c>
      <c r="C126" s="36" t="s">
        <v>36</v>
      </c>
      <c r="D126" s="36" t="s">
        <v>39</v>
      </c>
      <c r="E126" s="36" t="s">
        <v>25</v>
      </c>
      <c r="F126" s="36" t="s">
        <v>25</v>
      </c>
      <c r="G126" s="36" t="s">
        <v>25</v>
      </c>
      <c r="H126" s="36" t="s">
        <v>38</v>
      </c>
      <c r="I126" s="56">
        <v>44682</v>
      </c>
      <c r="J126" s="57">
        <f>EFEITO!$J$126*EFEITO!$Y$126</f>
        <v>0</v>
      </c>
      <c r="K126" s="57">
        <f ca="1">EFEITO!$L$126*EFEITO!$Z$126</f>
        <v>31354.920686067839</v>
      </c>
      <c r="L126" s="57">
        <f>EFEITO!$N$126*EFEITO!$AA$126</f>
        <v>61981.500885287263</v>
      </c>
      <c r="M126" s="57">
        <f>$J$126-EFEITO!$K$126*EFEITO!$Y$126</f>
        <v>0</v>
      </c>
      <c r="N126" s="57">
        <f ca="1">$K$126-EFEITO!$M$126*EFEITO!$Z$126</f>
        <v>0</v>
      </c>
      <c r="O126" s="57">
        <f>$L$126-EFEITO!$O$126*EFEITO!$AA$126</f>
        <v>0</v>
      </c>
      <c r="P126" s="40"/>
      <c r="Q126" s="40"/>
      <c r="R126" s="40"/>
      <c r="S126" s="40"/>
      <c r="T126" s="40"/>
      <c r="U126" s="40"/>
      <c r="V126" s="40"/>
      <c r="W126" s="40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6" t="s">
        <v>28</v>
      </c>
      <c r="B127" s="36" t="s">
        <v>35</v>
      </c>
      <c r="C127" s="36" t="s">
        <v>36</v>
      </c>
      <c r="D127" s="36" t="s">
        <v>39</v>
      </c>
      <c r="E127" s="36" t="s">
        <v>25</v>
      </c>
      <c r="F127" s="36" t="s">
        <v>25</v>
      </c>
      <c r="G127" s="36" t="s">
        <v>25</v>
      </c>
      <c r="H127" s="36" t="s">
        <v>38</v>
      </c>
      <c r="I127" s="56">
        <v>44682</v>
      </c>
      <c r="J127" s="57">
        <f>EFEITO!$J$127*EFEITO!$Y$127</f>
        <v>0</v>
      </c>
      <c r="K127" s="57">
        <f ca="1">EFEITO!$L$127*EFEITO!$Z$127</f>
        <v>882.76479472379958</v>
      </c>
      <c r="L127" s="57">
        <f>EFEITO!$N$127*EFEITO!$AA$127</f>
        <v>1745.0239295290442</v>
      </c>
      <c r="M127" s="57">
        <f>$J$127-EFEITO!$K$127*EFEITO!$Y$127</f>
        <v>0</v>
      </c>
      <c r="N127" s="57">
        <f ca="1">$K$127-EFEITO!$M$127*EFEITO!$Z$127</f>
        <v>0</v>
      </c>
      <c r="O127" s="57">
        <f>$L$127-EFEITO!$O$127*EFEITO!$AA$127</f>
        <v>0</v>
      </c>
      <c r="P127" s="40"/>
      <c r="Q127" s="40"/>
      <c r="R127" s="40"/>
      <c r="S127" s="40"/>
      <c r="T127" s="40"/>
      <c r="U127" s="40"/>
      <c r="V127" s="40"/>
      <c r="W127" s="40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6" t="s">
        <v>21</v>
      </c>
      <c r="B128" s="36" t="s">
        <v>35</v>
      </c>
      <c r="C128" s="36" t="s">
        <v>36</v>
      </c>
      <c r="D128" s="36" t="s">
        <v>39</v>
      </c>
      <c r="E128" s="36" t="s">
        <v>25</v>
      </c>
      <c r="F128" s="36" t="s">
        <v>25</v>
      </c>
      <c r="G128" s="36" t="s">
        <v>25</v>
      </c>
      <c r="H128" s="36" t="s">
        <v>38</v>
      </c>
      <c r="I128" s="56">
        <v>44713</v>
      </c>
      <c r="J128" s="57">
        <f>EFEITO!$J$128*EFEITO!$Y$128</f>
        <v>0</v>
      </c>
      <c r="K128" s="57">
        <f ca="1">EFEITO!$L$128*EFEITO!$Z$128</f>
        <v>29027.014363757738</v>
      </c>
      <c r="L128" s="57">
        <f>EFEITO!$N$128*EFEITO!$AA$128</f>
        <v>57379.762956438302</v>
      </c>
      <c r="M128" s="57">
        <f>$J$128-EFEITO!$K$128*EFEITO!$Y$128</f>
        <v>0</v>
      </c>
      <c r="N128" s="57">
        <f ca="1">$K$128-EFEITO!$M$128*EFEITO!$Z$128</f>
        <v>0</v>
      </c>
      <c r="O128" s="57">
        <f>$L$128-EFEITO!$O$128*EFEITO!$AA$128</f>
        <v>0</v>
      </c>
      <c r="P128" s="40"/>
      <c r="Q128" s="40"/>
      <c r="R128" s="40"/>
      <c r="S128" s="40"/>
      <c r="T128" s="40"/>
      <c r="U128" s="40"/>
      <c r="V128" s="40"/>
      <c r="W128" s="40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6" t="s">
        <v>28</v>
      </c>
      <c r="B129" s="36" t="s">
        <v>35</v>
      </c>
      <c r="C129" s="36" t="s">
        <v>36</v>
      </c>
      <c r="D129" s="36" t="s">
        <v>39</v>
      </c>
      <c r="E129" s="36" t="s">
        <v>25</v>
      </c>
      <c r="F129" s="36" t="s">
        <v>25</v>
      </c>
      <c r="G129" s="36" t="s">
        <v>25</v>
      </c>
      <c r="H129" s="36" t="s">
        <v>38</v>
      </c>
      <c r="I129" s="56">
        <v>44713</v>
      </c>
      <c r="J129" s="57">
        <f>EFEITO!$J$129*EFEITO!$Y$129</f>
        <v>0</v>
      </c>
      <c r="K129" s="57">
        <f ca="1">EFEITO!$L$129*EFEITO!$Z$129</f>
        <v>1438.5568018447743</v>
      </c>
      <c r="L129" s="57">
        <f>EFEITO!$N$129*EFEITO!$AA$129</f>
        <v>2843.697503808286</v>
      </c>
      <c r="M129" s="57">
        <f>$J$129-EFEITO!$K$129*EFEITO!$Y$129</f>
        <v>0</v>
      </c>
      <c r="N129" s="57">
        <f ca="1">$K$129-EFEITO!$M$129*EFEITO!$Z$129</f>
        <v>0</v>
      </c>
      <c r="O129" s="57">
        <f>$L$129-EFEITO!$O$129*EFEITO!$AA$129</f>
        <v>0</v>
      </c>
      <c r="P129" s="40"/>
      <c r="Q129" s="40"/>
      <c r="R129" s="40"/>
      <c r="S129" s="40"/>
      <c r="T129" s="40"/>
      <c r="U129" s="40"/>
      <c r="V129" s="40"/>
      <c r="W129" s="40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6" t="s">
        <v>21</v>
      </c>
      <c r="B130" s="36" t="s">
        <v>35</v>
      </c>
      <c r="C130" s="36" t="s">
        <v>36</v>
      </c>
      <c r="D130" s="36" t="s">
        <v>39</v>
      </c>
      <c r="E130" s="36" t="s">
        <v>25</v>
      </c>
      <c r="F130" s="36" t="s">
        <v>25</v>
      </c>
      <c r="G130" s="36" t="s">
        <v>25</v>
      </c>
      <c r="H130" s="36" t="s">
        <v>38</v>
      </c>
      <c r="I130" s="56">
        <v>44743</v>
      </c>
      <c r="J130" s="57">
        <f>EFEITO!$J$130*EFEITO!$Y$130</f>
        <v>0</v>
      </c>
      <c r="K130" s="57">
        <f ca="1">EFEITO!$L$130*EFEITO!$Z$130</f>
        <v>29100.063664952831</v>
      </c>
      <c r="L130" s="57">
        <f>EFEITO!$N$130*EFEITO!$AA$130</f>
        <v>57524.164703520539</v>
      </c>
      <c r="M130" s="57">
        <f>$J$130-EFEITO!$K$130*EFEITO!$Y$130</f>
        <v>0</v>
      </c>
      <c r="N130" s="57">
        <f ca="1">$K$130-EFEITO!$M$130*EFEITO!$Z$130</f>
        <v>0</v>
      </c>
      <c r="O130" s="57">
        <f>$L$130-EFEITO!$O$130*EFEITO!$AA$130</f>
        <v>0</v>
      </c>
      <c r="P130" s="40"/>
      <c r="Q130" s="40"/>
      <c r="R130" s="40"/>
      <c r="S130" s="40"/>
      <c r="T130" s="40"/>
      <c r="U130" s="40"/>
      <c r="V130" s="40"/>
      <c r="W130" s="40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6" t="s">
        <v>21</v>
      </c>
      <c r="B131" s="36" t="s">
        <v>35</v>
      </c>
      <c r="C131" s="36" t="s">
        <v>36</v>
      </c>
      <c r="D131" s="36" t="s">
        <v>39</v>
      </c>
      <c r="E131" s="36" t="s">
        <v>25</v>
      </c>
      <c r="F131" s="36" t="s">
        <v>25</v>
      </c>
      <c r="G131" s="36" t="s">
        <v>25</v>
      </c>
      <c r="H131" s="36" t="s">
        <v>38</v>
      </c>
      <c r="I131" s="56">
        <v>44774</v>
      </c>
      <c r="J131" s="57">
        <f>EFEITO!$J$131*EFEITO!$Y$131</f>
        <v>0</v>
      </c>
      <c r="K131" s="57">
        <f ca="1">EFEITO!$L$131*EFEITO!$Z$131</f>
        <v>29800.925411066877</v>
      </c>
      <c r="L131" s="57">
        <f>EFEITO!$N$131*EFEITO!$AA$131</f>
        <v>58909.60794454057</v>
      </c>
      <c r="M131" s="57">
        <f>$J$131-EFEITO!$K$131*EFEITO!$Y$131</f>
        <v>0</v>
      </c>
      <c r="N131" s="57">
        <f ca="1">$K$131-EFEITO!$M$131*EFEITO!$Z$131</f>
        <v>0</v>
      </c>
      <c r="O131" s="57">
        <f>$L$131-EFEITO!$O$131*EFEITO!$AA$131</f>
        <v>0</v>
      </c>
      <c r="P131" s="40"/>
      <c r="Q131" s="40"/>
      <c r="R131" s="40"/>
      <c r="S131" s="40"/>
      <c r="T131" s="40"/>
      <c r="U131" s="40"/>
      <c r="V131" s="40"/>
      <c r="W131" s="40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6" t="s">
        <v>28</v>
      </c>
      <c r="B132" s="36" t="s">
        <v>35</v>
      </c>
      <c r="C132" s="36" t="s">
        <v>36</v>
      </c>
      <c r="D132" s="36" t="s">
        <v>39</v>
      </c>
      <c r="E132" s="36" t="s">
        <v>25</v>
      </c>
      <c r="F132" s="36" t="s">
        <v>25</v>
      </c>
      <c r="G132" s="36" t="s">
        <v>25</v>
      </c>
      <c r="H132" s="36" t="s">
        <v>38</v>
      </c>
      <c r="I132" s="56">
        <v>44774</v>
      </c>
      <c r="J132" s="57">
        <f>EFEITO!$J$132*EFEITO!$Y$132</f>
        <v>0</v>
      </c>
      <c r="K132" s="57">
        <f ca="1">EFEITO!$L$132*EFEITO!$Z$132</f>
        <v>751.37893891234364</v>
      </c>
      <c r="L132" s="57">
        <f>EFEITO!$N$132*EFEITO!$AA$132</f>
        <v>1485.304167523381</v>
      </c>
      <c r="M132" s="57">
        <f>$J$132-EFEITO!$K$132*EFEITO!$Y$132</f>
        <v>0</v>
      </c>
      <c r="N132" s="57">
        <f ca="1">$K$132-EFEITO!$M$132*EFEITO!$Z$132</f>
        <v>0</v>
      </c>
      <c r="O132" s="57">
        <f>$L$132-EFEITO!$O$132*EFEITO!$AA$132</f>
        <v>0</v>
      </c>
      <c r="P132" s="40"/>
      <c r="Q132" s="40"/>
      <c r="R132" s="40"/>
      <c r="S132" s="40"/>
      <c r="T132" s="40"/>
      <c r="U132" s="40"/>
      <c r="V132" s="40"/>
      <c r="W132" s="40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6" t="s">
        <v>21</v>
      </c>
      <c r="B133" s="36" t="s">
        <v>35</v>
      </c>
      <c r="C133" s="36" t="s">
        <v>36</v>
      </c>
      <c r="D133" s="36" t="s">
        <v>39</v>
      </c>
      <c r="E133" s="36" t="s">
        <v>25</v>
      </c>
      <c r="F133" s="36" t="s">
        <v>25</v>
      </c>
      <c r="G133" s="36" t="s">
        <v>25</v>
      </c>
      <c r="H133" s="36" t="s">
        <v>25</v>
      </c>
      <c r="I133" s="56">
        <v>44440</v>
      </c>
      <c r="J133" s="57">
        <f ca="1">EFEITO!$J$133*EFEITO!$Y$133</f>
        <v>27810.782330911574</v>
      </c>
      <c r="K133" s="57">
        <f>EFEITO!$L$133*EFEITO!$Z$133</f>
        <v>0</v>
      </c>
      <c r="L133" s="57">
        <f>EFEITO!$N$133*EFEITO!$AA$133</f>
        <v>0</v>
      </c>
      <c r="M133" s="57">
        <f ca="1">$J$133-EFEITO!$K$133*EFEITO!$Y$133</f>
        <v>0</v>
      </c>
      <c r="N133" s="57">
        <f>$K$133-EFEITO!$M$133*EFEITO!$Z$133</f>
        <v>0</v>
      </c>
      <c r="O133" s="57">
        <f>$L$133-EFEITO!$O$133*EFEITO!$AA$133</f>
        <v>0</v>
      </c>
      <c r="P133" s="40"/>
      <c r="Q133" s="40"/>
      <c r="R133" s="40"/>
      <c r="S133" s="40"/>
      <c r="T133" s="40"/>
      <c r="U133" s="40"/>
      <c r="V133" s="40"/>
      <c r="W133" s="40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6" t="s">
        <v>28</v>
      </c>
      <c r="B134" s="36" t="s">
        <v>35</v>
      </c>
      <c r="C134" s="36" t="s">
        <v>36</v>
      </c>
      <c r="D134" s="36" t="s">
        <v>39</v>
      </c>
      <c r="E134" s="36" t="s">
        <v>25</v>
      </c>
      <c r="F134" s="36" t="s">
        <v>25</v>
      </c>
      <c r="G134" s="36" t="s">
        <v>25</v>
      </c>
      <c r="H134" s="36" t="s">
        <v>25</v>
      </c>
      <c r="I134" s="56">
        <v>44440</v>
      </c>
      <c r="J134" s="57">
        <f ca="1">EFEITO!$J$134*EFEITO!$Y$134</f>
        <v>2553.4000609865252</v>
      </c>
      <c r="K134" s="57">
        <f>EFEITO!$L$134*EFEITO!$Z$134</f>
        <v>0</v>
      </c>
      <c r="L134" s="57">
        <f>EFEITO!$N$134*EFEITO!$AA$134</f>
        <v>0</v>
      </c>
      <c r="M134" s="57">
        <f ca="1">$J$134-EFEITO!$K$134*EFEITO!$Y$134</f>
        <v>0</v>
      </c>
      <c r="N134" s="57">
        <f>$K$134-EFEITO!$M$134*EFEITO!$Z$134</f>
        <v>0</v>
      </c>
      <c r="O134" s="57">
        <f>$L$134-EFEITO!$O$134*EFEITO!$AA$134</f>
        <v>0</v>
      </c>
      <c r="P134" s="40"/>
      <c r="Q134" s="40"/>
      <c r="R134" s="40"/>
      <c r="S134" s="40"/>
      <c r="T134" s="40"/>
      <c r="U134" s="40"/>
      <c r="V134" s="40"/>
      <c r="W134" s="40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6" t="s">
        <v>21</v>
      </c>
      <c r="B135" s="36" t="s">
        <v>35</v>
      </c>
      <c r="C135" s="36" t="s">
        <v>36</v>
      </c>
      <c r="D135" s="36" t="s">
        <v>39</v>
      </c>
      <c r="E135" s="36" t="s">
        <v>25</v>
      </c>
      <c r="F135" s="36" t="s">
        <v>25</v>
      </c>
      <c r="G135" s="36" t="s">
        <v>25</v>
      </c>
      <c r="H135" s="36" t="s">
        <v>25</v>
      </c>
      <c r="I135" s="56">
        <v>44470</v>
      </c>
      <c r="J135" s="57">
        <f ca="1">EFEITO!$J$135*EFEITO!$Y$135</f>
        <v>28342.74067695043</v>
      </c>
      <c r="K135" s="57">
        <f>EFEITO!$L$135*EFEITO!$Z$135</f>
        <v>0</v>
      </c>
      <c r="L135" s="57">
        <f>EFEITO!$N$135*EFEITO!$AA$135</f>
        <v>0</v>
      </c>
      <c r="M135" s="57">
        <f ca="1">$J$135-EFEITO!$K$135*EFEITO!$Y$135</f>
        <v>0</v>
      </c>
      <c r="N135" s="57">
        <f>$K$135-EFEITO!$M$135*EFEITO!$Z$135</f>
        <v>0</v>
      </c>
      <c r="O135" s="57">
        <f>$L$135-EFEITO!$O$135*EFEITO!$AA$135</f>
        <v>0</v>
      </c>
      <c r="P135" s="40"/>
      <c r="Q135" s="40"/>
      <c r="R135" s="40"/>
      <c r="S135" s="40"/>
      <c r="T135" s="40"/>
      <c r="U135" s="40"/>
      <c r="V135" s="40"/>
      <c r="W135" s="40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6" t="s">
        <v>28</v>
      </c>
      <c r="B136" s="36" t="s">
        <v>35</v>
      </c>
      <c r="C136" s="36" t="s">
        <v>36</v>
      </c>
      <c r="D136" s="36" t="s">
        <v>39</v>
      </c>
      <c r="E136" s="36" t="s">
        <v>25</v>
      </c>
      <c r="F136" s="36" t="s">
        <v>25</v>
      </c>
      <c r="G136" s="36" t="s">
        <v>25</v>
      </c>
      <c r="H136" s="36" t="s">
        <v>25</v>
      </c>
      <c r="I136" s="56">
        <v>44470</v>
      </c>
      <c r="J136" s="57">
        <f ca="1">EFEITO!$J$136*EFEITO!$Y$136</f>
        <v>2553.4000609865252</v>
      </c>
      <c r="K136" s="57">
        <f>EFEITO!$L$136*EFEITO!$Z$136</f>
        <v>0</v>
      </c>
      <c r="L136" s="57">
        <f>EFEITO!$N$136*EFEITO!$AA$136</f>
        <v>0</v>
      </c>
      <c r="M136" s="57">
        <f ca="1">$J$136-EFEITO!$K$136*EFEITO!$Y$136</f>
        <v>0</v>
      </c>
      <c r="N136" s="57">
        <f>$K$136-EFEITO!$M$136*EFEITO!$Z$136</f>
        <v>0</v>
      </c>
      <c r="O136" s="57">
        <f>$L$136-EFEITO!$O$136*EFEITO!$AA$136</f>
        <v>0</v>
      </c>
      <c r="P136" s="40"/>
      <c r="Q136" s="40"/>
      <c r="R136" s="40"/>
      <c r="S136" s="40"/>
      <c r="T136" s="40"/>
      <c r="U136" s="40"/>
      <c r="V136" s="40"/>
      <c r="W136" s="40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6" t="s">
        <v>21</v>
      </c>
      <c r="B137" s="36" t="s">
        <v>35</v>
      </c>
      <c r="C137" s="36" t="s">
        <v>36</v>
      </c>
      <c r="D137" s="36" t="s">
        <v>39</v>
      </c>
      <c r="E137" s="36" t="s">
        <v>25</v>
      </c>
      <c r="F137" s="36" t="s">
        <v>25</v>
      </c>
      <c r="G137" s="36" t="s">
        <v>25</v>
      </c>
      <c r="H137" s="36" t="s">
        <v>25</v>
      </c>
      <c r="I137" s="56">
        <v>44501</v>
      </c>
      <c r="J137" s="57">
        <f ca="1">EFEITO!$J$137*EFEITO!$Y$137</f>
        <v>29534.327372077478</v>
      </c>
      <c r="K137" s="57">
        <f>EFEITO!$L$137*EFEITO!$Z$137</f>
        <v>0</v>
      </c>
      <c r="L137" s="57">
        <f>EFEITO!$N$137*EFEITO!$AA$137</f>
        <v>0</v>
      </c>
      <c r="M137" s="57">
        <f ca="1">$J$137-EFEITO!$K$137*EFEITO!$Y$137</f>
        <v>0</v>
      </c>
      <c r="N137" s="57">
        <f>$K$137-EFEITO!$M$137*EFEITO!$Z$137</f>
        <v>0</v>
      </c>
      <c r="O137" s="57">
        <f>$L$137-EFEITO!$O$137*EFEITO!$AA$137</f>
        <v>0</v>
      </c>
      <c r="P137" s="40"/>
      <c r="Q137" s="40"/>
      <c r="R137" s="40"/>
      <c r="S137" s="40"/>
      <c r="T137" s="40"/>
      <c r="U137" s="40"/>
      <c r="V137" s="40"/>
      <c r="W137" s="40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6" t="s">
        <v>28</v>
      </c>
      <c r="B138" s="36" t="s">
        <v>35</v>
      </c>
      <c r="C138" s="36" t="s">
        <v>36</v>
      </c>
      <c r="D138" s="36" t="s">
        <v>39</v>
      </c>
      <c r="E138" s="36" t="s">
        <v>25</v>
      </c>
      <c r="F138" s="36" t="s">
        <v>25</v>
      </c>
      <c r="G138" s="36" t="s">
        <v>25</v>
      </c>
      <c r="H138" s="36" t="s">
        <v>25</v>
      </c>
      <c r="I138" s="56">
        <v>44501</v>
      </c>
      <c r="J138" s="57">
        <f ca="1">EFEITO!$J$138*EFEITO!$Y$138</f>
        <v>2553.4000609865252</v>
      </c>
      <c r="K138" s="57">
        <f>EFEITO!$L$138*EFEITO!$Z$138</f>
        <v>0</v>
      </c>
      <c r="L138" s="57">
        <f>EFEITO!$N$138*EFEITO!$AA$138</f>
        <v>0</v>
      </c>
      <c r="M138" s="57">
        <f ca="1">$J$138-EFEITO!$K$138*EFEITO!$Y$138</f>
        <v>0</v>
      </c>
      <c r="N138" s="57">
        <f>$K$138-EFEITO!$M$138*EFEITO!$Z$138</f>
        <v>0</v>
      </c>
      <c r="O138" s="57">
        <f>$L$138-EFEITO!$O$138*EFEITO!$AA$138</f>
        <v>0</v>
      </c>
      <c r="P138" s="40"/>
      <c r="Q138" s="40"/>
      <c r="R138" s="40"/>
      <c r="S138" s="40"/>
      <c r="T138" s="40"/>
      <c r="U138" s="40"/>
      <c r="V138" s="40"/>
      <c r="W138" s="40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6" t="s">
        <v>21</v>
      </c>
      <c r="B139" s="36" t="s">
        <v>35</v>
      </c>
      <c r="C139" s="36" t="s">
        <v>36</v>
      </c>
      <c r="D139" s="36" t="s">
        <v>39</v>
      </c>
      <c r="E139" s="36" t="s">
        <v>25</v>
      </c>
      <c r="F139" s="36" t="s">
        <v>25</v>
      </c>
      <c r="G139" s="36" t="s">
        <v>25</v>
      </c>
      <c r="H139" s="36" t="s">
        <v>25</v>
      </c>
      <c r="I139" s="56">
        <v>44531</v>
      </c>
      <c r="J139" s="57">
        <f ca="1">EFEITO!$J$139*EFEITO!$Y$139</f>
        <v>29491.770704394366</v>
      </c>
      <c r="K139" s="57">
        <f>EFEITO!$L$139*EFEITO!$Z$139</f>
        <v>0</v>
      </c>
      <c r="L139" s="57">
        <f>EFEITO!$N$139*EFEITO!$AA$139</f>
        <v>0</v>
      </c>
      <c r="M139" s="57">
        <f ca="1">$J$139-EFEITO!$K$139*EFEITO!$Y$139</f>
        <v>0</v>
      </c>
      <c r="N139" s="57">
        <f>$K$139-EFEITO!$M$139*EFEITO!$Z$139</f>
        <v>0</v>
      </c>
      <c r="O139" s="57">
        <f>$L$139-EFEITO!$O$139*EFEITO!$AA$139</f>
        <v>0</v>
      </c>
      <c r="P139" s="40"/>
      <c r="Q139" s="40"/>
      <c r="R139" s="40"/>
      <c r="S139" s="40"/>
      <c r="T139" s="40"/>
      <c r="U139" s="40"/>
      <c r="V139" s="40"/>
      <c r="W139" s="40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6" t="s">
        <v>28</v>
      </c>
      <c r="B140" s="36" t="s">
        <v>35</v>
      </c>
      <c r="C140" s="36" t="s">
        <v>36</v>
      </c>
      <c r="D140" s="36" t="s">
        <v>39</v>
      </c>
      <c r="E140" s="36" t="s">
        <v>25</v>
      </c>
      <c r="F140" s="36" t="s">
        <v>25</v>
      </c>
      <c r="G140" s="36" t="s">
        <v>25</v>
      </c>
      <c r="H140" s="36" t="s">
        <v>25</v>
      </c>
      <c r="I140" s="56">
        <v>44531</v>
      </c>
      <c r="J140" s="57">
        <f ca="1">EFEITO!$J$140*EFEITO!$Y$140</f>
        <v>2553.4000609865252</v>
      </c>
      <c r="K140" s="57">
        <f>EFEITO!$L$140*EFEITO!$Z$140</f>
        <v>0</v>
      </c>
      <c r="L140" s="57">
        <f>EFEITO!$N$140*EFEITO!$AA$140</f>
        <v>0</v>
      </c>
      <c r="M140" s="57">
        <f ca="1">$J$140-EFEITO!$K$140*EFEITO!$Y$140</f>
        <v>0</v>
      </c>
      <c r="N140" s="57">
        <f>$K$140-EFEITO!$M$140*EFEITO!$Z$140</f>
        <v>0</v>
      </c>
      <c r="O140" s="57">
        <f>$L$140-EFEITO!$O$140*EFEITO!$AA$140</f>
        <v>0</v>
      </c>
      <c r="P140" s="40"/>
      <c r="Q140" s="40"/>
      <c r="R140" s="40"/>
      <c r="S140" s="40"/>
      <c r="T140" s="40"/>
      <c r="U140" s="40"/>
      <c r="V140" s="40"/>
      <c r="W140" s="40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6" t="s">
        <v>21</v>
      </c>
      <c r="B141" s="36" t="s">
        <v>35</v>
      </c>
      <c r="C141" s="36" t="s">
        <v>36</v>
      </c>
      <c r="D141" s="36" t="s">
        <v>39</v>
      </c>
      <c r="E141" s="36" t="s">
        <v>25</v>
      </c>
      <c r="F141" s="36" t="s">
        <v>25</v>
      </c>
      <c r="G141" s="36" t="s">
        <v>25</v>
      </c>
      <c r="H141" s="36" t="s">
        <v>25</v>
      </c>
      <c r="I141" s="56">
        <v>44562</v>
      </c>
      <c r="J141" s="57">
        <f ca="1">EFEITO!$J$141*EFEITO!$Y$141</f>
        <v>30321.625724214988</v>
      </c>
      <c r="K141" s="57">
        <f>EFEITO!$L$141*EFEITO!$Z$141</f>
        <v>0</v>
      </c>
      <c r="L141" s="57">
        <f>EFEITO!$N$141*EFEITO!$AA$141</f>
        <v>0</v>
      </c>
      <c r="M141" s="57">
        <f ca="1">$J$141-EFEITO!$K$141*EFEITO!$Y$141</f>
        <v>0</v>
      </c>
      <c r="N141" s="57">
        <f>$K$141-EFEITO!$M$141*EFEITO!$Z$141</f>
        <v>0</v>
      </c>
      <c r="O141" s="57">
        <f>$L$141-EFEITO!$O$141*EFEITO!$AA$141</f>
        <v>0</v>
      </c>
      <c r="P141" s="40"/>
      <c r="Q141" s="40"/>
      <c r="R141" s="40"/>
      <c r="S141" s="40"/>
      <c r="T141" s="40"/>
      <c r="U141" s="40"/>
      <c r="V141" s="40"/>
      <c r="W141" s="40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6" t="s">
        <v>28</v>
      </c>
      <c r="B142" s="36" t="s">
        <v>35</v>
      </c>
      <c r="C142" s="36" t="s">
        <v>36</v>
      </c>
      <c r="D142" s="36" t="s">
        <v>39</v>
      </c>
      <c r="E142" s="36" t="s">
        <v>25</v>
      </c>
      <c r="F142" s="36" t="s">
        <v>25</v>
      </c>
      <c r="G142" s="36" t="s">
        <v>25</v>
      </c>
      <c r="H142" s="36" t="s">
        <v>25</v>
      </c>
      <c r="I142" s="56">
        <v>44562</v>
      </c>
      <c r="J142" s="57">
        <f ca="1">EFEITO!$J$142*EFEITO!$Y$142</f>
        <v>2872.5750686098409</v>
      </c>
      <c r="K142" s="57">
        <f>EFEITO!$L$142*EFEITO!$Z$142</f>
        <v>0</v>
      </c>
      <c r="L142" s="57">
        <f>EFEITO!$N$142*EFEITO!$AA$142</f>
        <v>0</v>
      </c>
      <c r="M142" s="57">
        <f ca="1">$J$142-EFEITO!$K$142*EFEITO!$Y$142</f>
        <v>0</v>
      </c>
      <c r="N142" s="57">
        <f>$K$142-EFEITO!$M$142*EFEITO!$Z$142</f>
        <v>0</v>
      </c>
      <c r="O142" s="57">
        <f>$L$142-EFEITO!$O$142*EFEITO!$AA$142</f>
        <v>0</v>
      </c>
      <c r="P142" s="40"/>
      <c r="Q142" s="40"/>
      <c r="R142" s="40"/>
      <c r="S142" s="40"/>
      <c r="T142" s="40"/>
      <c r="U142" s="40"/>
      <c r="V142" s="40"/>
      <c r="W142" s="40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6" t="s">
        <v>21</v>
      </c>
      <c r="B143" s="36" t="s">
        <v>35</v>
      </c>
      <c r="C143" s="36" t="s">
        <v>36</v>
      </c>
      <c r="D143" s="36" t="s">
        <v>39</v>
      </c>
      <c r="E143" s="36" t="s">
        <v>25</v>
      </c>
      <c r="F143" s="36" t="s">
        <v>25</v>
      </c>
      <c r="G143" s="36" t="s">
        <v>25</v>
      </c>
      <c r="H143" s="36" t="s">
        <v>25</v>
      </c>
      <c r="I143" s="56">
        <v>44593</v>
      </c>
      <c r="J143" s="57">
        <f ca="1">EFEITO!$J$143*EFEITO!$Y$143</f>
        <v>30321.625724214988</v>
      </c>
      <c r="K143" s="57">
        <f>EFEITO!$L$143*EFEITO!$Z$143</f>
        <v>0</v>
      </c>
      <c r="L143" s="57">
        <f>EFEITO!$N$143*EFEITO!$AA$143</f>
        <v>0</v>
      </c>
      <c r="M143" s="57">
        <f ca="1">$J$143-EFEITO!$K$143*EFEITO!$Y$143</f>
        <v>0</v>
      </c>
      <c r="N143" s="57">
        <f>$K$143-EFEITO!$M$143*EFEITO!$Z$143</f>
        <v>0</v>
      </c>
      <c r="O143" s="57">
        <f>$L$143-EFEITO!$O$143*EFEITO!$AA$143</f>
        <v>0</v>
      </c>
      <c r="P143" s="40"/>
      <c r="Q143" s="40"/>
      <c r="R143" s="40"/>
      <c r="S143" s="40"/>
      <c r="T143" s="40"/>
      <c r="U143" s="40"/>
      <c r="V143" s="40"/>
      <c r="W143" s="40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6" t="s">
        <v>28</v>
      </c>
      <c r="B144" s="36" t="s">
        <v>35</v>
      </c>
      <c r="C144" s="36" t="s">
        <v>36</v>
      </c>
      <c r="D144" s="36" t="s">
        <v>39</v>
      </c>
      <c r="E144" s="36" t="s">
        <v>25</v>
      </c>
      <c r="F144" s="36" t="s">
        <v>25</v>
      </c>
      <c r="G144" s="36" t="s">
        <v>25</v>
      </c>
      <c r="H144" s="36" t="s">
        <v>25</v>
      </c>
      <c r="I144" s="56">
        <v>44593</v>
      </c>
      <c r="J144" s="57">
        <f ca="1">EFEITO!$J$144*EFEITO!$Y$144</f>
        <v>2553.4000609865252</v>
      </c>
      <c r="K144" s="57">
        <f>EFEITO!$L$144*EFEITO!$Z$144</f>
        <v>0</v>
      </c>
      <c r="L144" s="57">
        <f>EFEITO!$N$144*EFEITO!$AA$144</f>
        <v>0</v>
      </c>
      <c r="M144" s="57">
        <f ca="1">$J$144-EFEITO!$K$144*EFEITO!$Y$144</f>
        <v>0</v>
      </c>
      <c r="N144" s="57">
        <f>$K$144-EFEITO!$M$144*EFEITO!$Z$144</f>
        <v>0</v>
      </c>
      <c r="O144" s="57">
        <f>$L$144-EFEITO!$O$144*EFEITO!$AA$144</f>
        <v>0</v>
      </c>
      <c r="P144" s="40"/>
      <c r="Q144" s="40"/>
      <c r="R144" s="40"/>
      <c r="S144" s="40"/>
      <c r="T144" s="40"/>
      <c r="U144" s="40"/>
      <c r="V144" s="40"/>
      <c r="W144" s="40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6" t="s">
        <v>21</v>
      </c>
      <c r="B145" s="36" t="s">
        <v>35</v>
      </c>
      <c r="C145" s="36" t="s">
        <v>36</v>
      </c>
      <c r="D145" s="36" t="s">
        <v>39</v>
      </c>
      <c r="E145" s="36" t="s">
        <v>25</v>
      </c>
      <c r="F145" s="36" t="s">
        <v>25</v>
      </c>
      <c r="G145" s="36" t="s">
        <v>25</v>
      </c>
      <c r="H145" s="36" t="s">
        <v>25</v>
      </c>
      <c r="I145" s="56">
        <v>44621</v>
      </c>
      <c r="J145" s="57">
        <f ca="1">EFEITO!$J$145*EFEITO!$Y$145</f>
        <v>32683.520780627525</v>
      </c>
      <c r="K145" s="57">
        <f>EFEITO!$L$145*EFEITO!$Z$145</f>
        <v>0</v>
      </c>
      <c r="L145" s="57">
        <f>EFEITO!$N$145*EFEITO!$AA$145</f>
        <v>0</v>
      </c>
      <c r="M145" s="57">
        <f ca="1">$J$145-EFEITO!$K$145*EFEITO!$Y$145</f>
        <v>0</v>
      </c>
      <c r="N145" s="57">
        <f>$K$145-EFEITO!$M$145*EFEITO!$Z$145</f>
        <v>0</v>
      </c>
      <c r="O145" s="57">
        <f>$L$145-EFEITO!$O$145*EFEITO!$AA$145</f>
        <v>0</v>
      </c>
      <c r="P145" s="40"/>
      <c r="Q145" s="40"/>
      <c r="R145" s="40"/>
      <c r="S145" s="40"/>
      <c r="T145" s="40"/>
      <c r="U145" s="40"/>
      <c r="V145" s="40"/>
      <c r="W145" s="40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6" t="s">
        <v>28</v>
      </c>
      <c r="B146" s="36" t="s">
        <v>35</v>
      </c>
      <c r="C146" s="36" t="s">
        <v>36</v>
      </c>
      <c r="D146" s="36" t="s">
        <v>39</v>
      </c>
      <c r="E146" s="36" t="s">
        <v>25</v>
      </c>
      <c r="F146" s="36" t="s">
        <v>25</v>
      </c>
      <c r="G146" s="36" t="s">
        <v>25</v>
      </c>
      <c r="H146" s="36" t="s">
        <v>25</v>
      </c>
      <c r="I146" s="56">
        <v>44621</v>
      </c>
      <c r="J146" s="57">
        <f ca="1">EFEITO!$J$146*EFEITO!$Y$146</f>
        <v>2830.0184009267323</v>
      </c>
      <c r="K146" s="57">
        <f>EFEITO!$L$146*EFEITO!$Z$146</f>
        <v>0</v>
      </c>
      <c r="L146" s="57">
        <f>EFEITO!$N$146*EFEITO!$AA$146</f>
        <v>0</v>
      </c>
      <c r="M146" s="57">
        <f ca="1">$J$146-EFEITO!$K$146*EFEITO!$Y$146</f>
        <v>0</v>
      </c>
      <c r="N146" s="57">
        <f>$K$146-EFEITO!$M$146*EFEITO!$Z$146</f>
        <v>0</v>
      </c>
      <c r="O146" s="57">
        <f>$L$146-EFEITO!$O$146*EFEITO!$AA$146</f>
        <v>0</v>
      </c>
      <c r="P146" s="40"/>
      <c r="Q146" s="40"/>
      <c r="R146" s="40"/>
      <c r="S146" s="40"/>
      <c r="T146" s="40"/>
      <c r="U146" s="40"/>
      <c r="V146" s="40"/>
      <c r="W146" s="40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6" t="s">
        <v>21</v>
      </c>
      <c r="B147" s="36" t="s">
        <v>35</v>
      </c>
      <c r="C147" s="36" t="s">
        <v>36</v>
      </c>
      <c r="D147" s="36" t="s">
        <v>39</v>
      </c>
      <c r="E147" s="36" t="s">
        <v>25</v>
      </c>
      <c r="F147" s="36" t="s">
        <v>25</v>
      </c>
      <c r="G147" s="36" t="s">
        <v>25</v>
      </c>
      <c r="H147" s="36" t="s">
        <v>25</v>
      </c>
      <c r="I147" s="56">
        <v>44652</v>
      </c>
      <c r="J147" s="57">
        <f ca="1">EFEITO!$J$147*EFEITO!$Y$147</f>
        <v>29768.389044334574</v>
      </c>
      <c r="K147" s="57">
        <f>EFEITO!$L$147*EFEITO!$Z$147</f>
        <v>0</v>
      </c>
      <c r="L147" s="57">
        <f>EFEITO!$N$147*EFEITO!$AA$147</f>
        <v>0</v>
      </c>
      <c r="M147" s="57">
        <f ca="1">$J$147-EFEITO!$K$147*EFEITO!$Y$147</f>
        <v>0</v>
      </c>
      <c r="N147" s="57">
        <f>$K$147-EFEITO!$M$147*EFEITO!$Z$147</f>
        <v>0</v>
      </c>
      <c r="O147" s="57">
        <f>$L$147-EFEITO!$O$147*EFEITO!$AA$147</f>
        <v>0</v>
      </c>
      <c r="P147" s="40"/>
      <c r="Q147" s="40"/>
      <c r="R147" s="40"/>
      <c r="S147" s="40"/>
      <c r="T147" s="40"/>
      <c r="U147" s="40"/>
      <c r="V147" s="40"/>
      <c r="W147" s="40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6" t="s">
        <v>28</v>
      </c>
      <c r="B148" s="36" t="s">
        <v>35</v>
      </c>
      <c r="C148" s="36" t="s">
        <v>36</v>
      </c>
      <c r="D148" s="36" t="s">
        <v>39</v>
      </c>
      <c r="E148" s="36" t="s">
        <v>25</v>
      </c>
      <c r="F148" s="36" t="s">
        <v>25</v>
      </c>
      <c r="G148" s="36" t="s">
        <v>25</v>
      </c>
      <c r="H148" s="36" t="s">
        <v>25</v>
      </c>
      <c r="I148" s="56">
        <v>44652</v>
      </c>
      <c r="J148" s="57">
        <f ca="1">EFEITO!$J$148*EFEITO!$Y$148</f>
        <v>2553.4000609865252</v>
      </c>
      <c r="K148" s="57">
        <f>EFEITO!$L$148*EFEITO!$Z$148</f>
        <v>0</v>
      </c>
      <c r="L148" s="57">
        <f>EFEITO!$N$148*EFEITO!$AA$148</f>
        <v>0</v>
      </c>
      <c r="M148" s="57">
        <f ca="1">$J$148-EFEITO!$K$148*EFEITO!$Y$148</f>
        <v>0</v>
      </c>
      <c r="N148" s="57">
        <f>$K$148-EFEITO!$M$148*EFEITO!$Z$148</f>
        <v>0</v>
      </c>
      <c r="O148" s="57">
        <f>$L$148-EFEITO!$O$148*EFEITO!$AA$148</f>
        <v>0</v>
      </c>
      <c r="P148" s="40"/>
      <c r="Q148" s="40"/>
      <c r="R148" s="40"/>
      <c r="S148" s="40"/>
      <c r="T148" s="40"/>
      <c r="U148" s="40"/>
      <c r="V148" s="40"/>
      <c r="W148" s="40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6" t="s">
        <v>21</v>
      </c>
      <c r="B149" s="36" t="s">
        <v>35</v>
      </c>
      <c r="C149" s="36" t="s">
        <v>36</v>
      </c>
      <c r="D149" s="36" t="s">
        <v>39</v>
      </c>
      <c r="E149" s="36" t="s">
        <v>25</v>
      </c>
      <c r="F149" s="36" t="s">
        <v>25</v>
      </c>
      <c r="G149" s="36" t="s">
        <v>25</v>
      </c>
      <c r="H149" s="36" t="s">
        <v>25</v>
      </c>
      <c r="I149" s="56">
        <v>44682</v>
      </c>
      <c r="J149" s="57">
        <f ca="1">EFEITO!$J$149*EFEITO!$Y$149</f>
        <v>29364.100701345043</v>
      </c>
      <c r="K149" s="57">
        <f>EFEITO!$L$149*EFEITO!$Z$149</f>
        <v>0</v>
      </c>
      <c r="L149" s="57">
        <f>EFEITO!$N$149*EFEITO!$AA$149</f>
        <v>0</v>
      </c>
      <c r="M149" s="57">
        <f ca="1">$J$149-EFEITO!$K$149*EFEITO!$Y$149</f>
        <v>0</v>
      </c>
      <c r="N149" s="57">
        <f>$K$149-EFEITO!$M$149*EFEITO!$Z$149</f>
        <v>0</v>
      </c>
      <c r="O149" s="57">
        <f>$L$149-EFEITO!$O$149*EFEITO!$AA$149</f>
        <v>0</v>
      </c>
      <c r="P149" s="40"/>
      <c r="Q149" s="40"/>
      <c r="R149" s="40"/>
      <c r="S149" s="40"/>
      <c r="T149" s="40"/>
      <c r="U149" s="40"/>
      <c r="V149" s="40"/>
      <c r="W149" s="40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6" t="s">
        <v>28</v>
      </c>
      <c r="B150" s="36" t="s">
        <v>35</v>
      </c>
      <c r="C150" s="36" t="s">
        <v>36</v>
      </c>
      <c r="D150" s="36" t="s">
        <v>39</v>
      </c>
      <c r="E150" s="36" t="s">
        <v>25</v>
      </c>
      <c r="F150" s="36" t="s">
        <v>25</v>
      </c>
      <c r="G150" s="36" t="s">
        <v>25</v>
      </c>
      <c r="H150" s="36" t="s">
        <v>25</v>
      </c>
      <c r="I150" s="56">
        <v>44682</v>
      </c>
      <c r="J150" s="57">
        <f ca="1">EFEITO!$J$150*EFEITO!$Y$150</f>
        <v>2553.4000609865252</v>
      </c>
      <c r="K150" s="57">
        <f>EFEITO!$L$150*EFEITO!$Z$150</f>
        <v>0</v>
      </c>
      <c r="L150" s="57">
        <f>EFEITO!$N$150*EFEITO!$AA$150</f>
        <v>0</v>
      </c>
      <c r="M150" s="57">
        <f ca="1">$J$150-EFEITO!$K$150*EFEITO!$Y$150</f>
        <v>0</v>
      </c>
      <c r="N150" s="57">
        <f>$K$150-EFEITO!$M$150*EFEITO!$Z$150</f>
        <v>0</v>
      </c>
      <c r="O150" s="57">
        <f>$L$150-EFEITO!$O$150*EFEITO!$AA$150</f>
        <v>0</v>
      </c>
      <c r="P150" s="40"/>
      <c r="Q150" s="40"/>
      <c r="R150" s="40"/>
      <c r="S150" s="40"/>
      <c r="T150" s="40"/>
      <c r="U150" s="40"/>
      <c r="V150" s="40"/>
      <c r="W150" s="40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6" t="s">
        <v>21</v>
      </c>
      <c r="B151" s="36" t="s">
        <v>35</v>
      </c>
      <c r="C151" s="36" t="s">
        <v>36</v>
      </c>
      <c r="D151" s="36" t="s">
        <v>39</v>
      </c>
      <c r="E151" s="36" t="s">
        <v>25</v>
      </c>
      <c r="F151" s="36" t="s">
        <v>25</v>
      </c>
      <c r="G151" s="36" t="s">
        <v>25</v>
      </c>
      <c r="H151" s="36" t="s">
        <v>25</v>
      </c>
      <c r="I151" s="56">
        <v>44713</v>
      </c>
      <c r="J151" s="57">
        <f ca="1">EFEITO!$J$151*EFEITO!$Y$151</f>
        <v>31066.367408669394</v>
      </c>
      <c r="K151" s="57">
        <f>EFEITO!$L$151*EFEITO!$Z$151</f>
        <v>0</v>
      </c>
      <c r="L151" s="57">
        <f>EFEITO!$N$151*EFEITO!$AA$151</f>
        <v>0</v>
      </c>
      <c r="M151" s="57">
        <f ca="1">$J$151-EFEITO!$K$151*EFEITO!$Y$151</f>
        <v>0</v>
      </c>
      <c r="N151" s="57">
        <f>$K$151-EFEITO!$M$151*EFEITO!$Z$151</f>
        <v>0</v>
      </c>
      <c r="O151" s="57">
        <f>$L$151-EFEITO!$O$151*EFEITO!$AA$151</f>
        <v>0</v>
      </c>
      <c r="P151" s="40"/>
      <c r="Q151" s="40"/>
      <c r="R151" s="40"/>
      <c r="S151" s="40"/>
      <c r="T151" s="40"/>
      <c r="U151" s="40"/>
      <c r="V151" s="40"/>
      <c r="W151" s="40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6" t="s">
        <v>28</v>
      </c>
      <c r="B152" s="36" t="s">
        <v>35</v>
      </c>
      <c r="C152" s="36" t="s">
        <v>36</v>
      </c>
      <c r="D152" s="36" t="s">
        <v>39</v>
      </c>
      <c r="E152" s="36" t="s">
        <v>25</v>
      </c>
      <c r="F152" s="36" t="s">
        <v>25</v>
      </c>
      <c r="G152" s="36" t="s">
        <v>25</v>
      </c>
      <c r="H152" s="36" t="s">
        <v>25</v>
      </c>
      <c r="I152" s="56">
        <v>44713</v>
      </c>
      <c r="J152" s="57">
        <f ca="1">EFEITO!$J$152*EFEITO!$Y$152</f>
        <v>3723.7084222720164</v>
      </c>
      <c r="K152" s="57">
        <f>EFEITO!$L$152*EFEITO!$Z$152</f>
        <v>0</v>
      </c>
      <c r="L152" s="57">
        <f>EFEITO!$N$152*EFEITO!$AA$152</f>
        <v>0</v>
      </c>
      <c r="M152" s="57">
        <f ca="1">$J$152-EFEITO!$K$152*EFEITO!$Y$152</f>
        <v>0</v>
      </c>
      <c r="N152" s="57">
        <f>$K$152-EFEITO!$M$152*EFEITO!$Z$152</f>
        <v>0</v>
      </c>
      <c r="O152" s="57">
        <f>$L$152-EFEITO!$O$152*EFEITO!$AA$152</f>
        <v>0</v>
      </c>
      <c r="P152" s="40"/>
      <c r="Q152" s="40"/>
      <c r="R152" s="40"/>
      <c r="S152" s="40"/>
      <c r="T152" s="40"/>
      <c r="U152" s="40"/>
      <c r="V152" s="40"/>
      <c r="W152" s="40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6" t="s">
        <v>21</v>
      </c>
      <c r="B153" s="36" t="s">
        <v>35</v>
      </c>
      <c r="C153" s="36" t="s">
        <v>36</v>
      </c>
      <c r="D153" s="36" t="s">
        <v>39</v>
      </c>
      <c r="E153" s="36" t="s">
        <v>25</v>
      </c>
      <c r="F153" s="36" t="s">
        <v>25</v>
      </c>
      <c r="G153" s="36" t="s">
        <v>25</v>
      </c>
      <c r="H153" s="36" t="s">
        <v>25</v>
      </c>
      <c r="I153" s="56">
        <v>44743</v>
      </c>
      <c r="J153" s="57">
        <f ca="1">EFEITO!$J$153*EFEITO!$Y$153</f>
        <v>30747.192401046075</v>
      </c>
      <c r="K153" s="57">
        <f>EFEITO!$L$153*EFEITO!$Z$153</f>
        <v>0</v>
      </c>
      <c r="L153" s="57">
        <f>EFEITO!$N$153*EFEITO!$AA$153</f>
        <v>0</v>
      </c>
      <c r="M153" s="57">
        <f ca="1">$J$153-EFEITO!$K$153*EFEITO!$Y$153</f>
        <v>0</v>
      </c>
      <c r="N153" s="57">
        <f>$K$153-EFEITO!$M$153*EFEITO!$Z$153</f>
        <v>0</v>
      </c>
      <c r="O153" s="57">
        <f>$L$153-EFEITO!$O$153*EFEITO!$AA$153</f>
        <v>0</v>
      </c>
      <c r="P153" s="40"/>
      <c r="Q153" s="40"/>
      <c r="R153" s="40"/>
      <c r="S153" s="40"/>
      <c r="T153" s="40"/>
      <c r="U153" s="40"/>
      <c r="V153" s="40"/>
      <c r="W153" s="40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6" t="s">
        <v>21</v>
      </c>
      <c r="B154" s="36" t="s">
        <v>35</v>
      </c>
      <c r="C154" s="36" t="s">
        <v>36</v>
      </c>
      <c r="D154" s="36" t="s">
        <v>39</v>
      </c>
      <c r="E154" s="36" t="s">
        <v>25</v>
      </c>
      <c r="F154" s="36" t="s">
        <v>25</v>
      </c>
      <c r="G154" s="36" t="s">
        <v>25</v>
      </c>
      <c r="H154" s="36" t="s">
        <v>25</v>
      </c>
      <c r="I154" s="56">
        <v>44774</v>
      </c>
      <c r="J154" s="57">
        <f ca="1">EFEITO!$J$154*EFEITO!$Y$154</f>
        <v>30236.512388848772</v>
      </c>
      <c r="K154" s="57">
        <f>EFEITO!$L$154*EFEITO!$Z$154</f>
        <v>0</v>
      </c>
      <c r="L154" s="57">
        <f>EFEITO!$N$154*EFEITO!$AA$154</f>
        <v>0</v>
      </c>
      <c r="M154" s="57">
        <f ca="1">$J$154-EFEITO!$K$154*EFEITO!$Y$154</f>
        <v>0</v>
      </c>
      <c r="N154" s="57">
        <f>$K$154-EFEITO!$M$154*EFEITO!$Z$154</f>
        <v>0</v>
      </c>
      <c r="O154" s="57">
        <f>$L$154-EFEITO!$O$154*EFEITO!$AA$154</f>
        <v>0</v>
      </c>
      <c r="P154" s="40"/>
      <c r="Q154" s="40"/>
      <c r="R154" s="40"/>
      <c r="S154" s="40"/>
      <c r="T154" s="40"/>
      <c r="U154" s="40"/>
      <c r="V154" s="40"/>
      <c r="W154" s="40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6" t="s">
        <v>28</v>
      </c>
      <c r="B155" s="36" t="s">
        <v>35</v>
      </c>
      <c r="C155" s="36" t="s">
        <v>36</v>
      </c>
      <c r="D155" s="36" t="s">
        <v>39</v>
      </c>
      <c r="E155" s="36" t="s">
        <v>25</v>
      </c>
      <c r="F155" s="36" t="s">
        <v>25</v>
      </c>
      <c r="G155" s="36" t="s">
        <v>25</v>
      </c>
      <c r="H155" s="36" t="s">
        <v>25</v>
      </c>
      <c r="I155" s="56">
        <v>44774</v>
      </c>
      <c r="J155" s="57">
        <f ca="1">EFEITO!$J$155*EFEITO!$Y$155</f>
        <v>3787.5434237966792</v>
      </c>
      <c r="K155" s="57">
        <f>EFEITO!$L$155*EFEITO!$Z$155</f>
        <v>0</v>
      </c>
      <c r="L155" s="57">
        <f>EFEITO!$N$155*EFEITO!$AA$155</f>
        <v>0</v>
      </c>
      <c r="M155" s="57">
        <f ca="1">$J$155-EFEITO!$K$155*EFEITO!$Y$155</f>
        <v>0</v>
      </c>
      <c r="N155" s="57">
        <f>$K$155-EFEITO!$M$155*EFEITO!$Z$155</f>
        <v>0</v>
      </c>
      <c r="O155" s="57">
        <f>$L$155-EFEITO!$O$155*EFEITO!$AA$155</f>
        <v>0</v>
      </c>
      <c r="P155" s="40"/>
      <c r="Q155" s="40"/>
      <c r="R155" s="40"/>
      <c r="S155" s="40"/>
      <c r="T155" s="40"/>
      <c r="U155" s="40"/>
      <c r="V155" s="40"/>
      <c r="W155" s="40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6" t="s">
        <v>21</v>
      </c>
      <c r="B156" s="36" t="s">
        <v>35</v>
      </c>
      <c r="C156" s="36" t="s">
        <v>36</v>
      </c>
      <c r="D156" s="36" t="s">
        <v>39</v>
      </c>
      <c r="E156" s="36" t="s">
        <v>25</v>
      </c>
      <c r="F156" s="36" t="s">
        <v>25</v>
      </c>
      <c r="G156" s="36" t="s">
        <v>25</v>
      </c>
      <c r="H156" s="36" t="s">
        <v>37</v>
      </c>
      <c r="I156" s="56">
        <v>44440</v>
      </c>
      <c r="J156" s="57">
        <f>EFEITO!$J$156*EFEITO!$Y$156</f>
        <v>0</v>
      </c>
      <c r="K156" s="57">
        <f ca="1">EFEITO!$L$156*EFEITO!$Z$156</f>
        <v>50061.569823965176</v>
      </c>
      <c r="L156" s="57">
        <f>EFEITO!$N$156*EFEITO!$AA$156</f>
        <v>6004.6720857127621</v>
      </c>
      <c r="M156" s="57">
        <f>$J$156-EFEITO!$K$156*EFEITO!$Y$156</f>
        <v>0</v>
      </c>
      <c r="N156" s="57">
        <f ca="1">$K$156-EFEITO!$M$156*EFEITO!$Z$156</f>
        <v>0</v>
      </c>
      <c r="O156" s="57">
        <f>$L$156-EFEITO!$O$156*EFEITO!$AA$156</f>
        <v>0</v>
      </c>
      <c r="P156" s="40"/>
      <c r="Q156" s="40"/>
      <c r="R156" s="40"/>
      <c r="S156" s="40"/>
      <c r="T156" s="40"/>
      <c r="U156" s="40"/>
      <c r="V156" s="40"/>
      <c r="W156" s="40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6" t="s">
        <v>28</v>
      </c>
      <c r="B157" s="36" t="s">
        <v>35</v>
      </c>
      <c r="C157" s="36" t="s">
        <v>36</v>
      </c>
      <c r="D157" s="36" t="s">
        <v>39</v>
      </c>
      <c r="E157" s="36" t="s">
        <v>25</v>
      </c>
      <c r="F157" s="36" t="s">
        <v>25</v>
      </c>
      <c r="G157" s="36" t="s">
        <v>25</v>
      </c>
      <c r="H157" s="36" t="s">
        <v>37</v>
      </c>
      <c r="I157" s="56">
        <v>44440</v>
      </c>
      <c r="J157" s="57">
        <f>EFEITO!$J$157*EFEITO!$Y$157</f>
        <v>0</v>
      </c>
      <c r="K157" s="57">
        <f ca="1">EFEITO!$L$157*EFEITO!$Z$157</f>
        <v>6482.3662592134824</v>
      </c>
      <c r="L157" s="57">
        <f>EFEITO!$N$157*EFEITO!$AA$157</f>
        <v>777.53222407803446</v>
      </c>
      <c r="M157" s="57">
        <f>$J$157-EFEITO!$K$157*EFEITO!$Y$157</f>
        <v>0</v>
      </c>
      <c r="N157" s="57">
        <f ca="1">$K$157-EFEITO!$M$157*EFEITO!$Z$157</f>
        <v>0</v>
      </c>
      <c r="O157" s="57">
        <f>$L$157-EFEITO!$O$157*EFEITO!$AA$157</f>
        <v>0</v>
      </c>
      <c r="P157" s="40"/>
      <c r="Q157" s="40"/>
      <c r="R157" s="40"/>
      <c r="S157" s="40"/>
      <c r="T157" s="40"/>
      <c r="U157" s="40"/>
      <c r="V157" s="40"/>
      <c r="W157" s="40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6" t="s">
        <v>21</v>
      </c>
      <c r="B158" s="36" t="s">
        <v>35</v>
      </c>
      <c r="C158" s="36" t="s">
        <v>36</v>
      </c>
      <c r="D158" s="36" t="s">
        <v>39</v>
      </c>
      <c r="E158" s="36" t="s">
        <v>25</v>
      </c>
      <c r="F158" s="36" t="s">
        <v>25</v>
      </c>
      <c r="G158" s="36" t="s">
        <v>25</v>
      </c>
      <c r="H158" s="36" t="s">
        <v>37</v>
      </c>
      <c r="I158" s="56">
        <v>44470</v>
      </c>
      <c r="J158" s="57">
        <f>EFEITO!$J$158*EFEITO!$Y$158</f>
        <v>0</v>
      </c>
      <c r="K158" s="57">
        <f ca="1">EFEITO!$L$158*EFEITO!$Z$158</f>
        <v>52067.491687593101</v>
      </c>
      <c r="L158" s="57">
        <f>EFEITO!$N$158*EFEITO!$AA$158</f>
        <v>6245.273869935706</v>
      </c>
      <c r="M158" s="57">
        <f>$J$158-EFEITO!$K$158*EFEITO!$Y$158</f>
        <v>0</v>
      </c>
      <c r="N158" s="57">
        <f ca="1">$K$158-EFEITO!$M$158*EFEITO!$Z$158</f>
        <v>0</v>
      </c>
      <c r="O158" s="57">
        <f>$L$158-EFEITO!$O$158*EFEITO!$AA$158</f>
        <v>0</v>
      </c>
      <c r="P158" s="40"/>
      <c r="Q158" s="40"/>
      <c r="R158" s="40"/>
      <c r="S158" s="40"/>
      <c r="T158" s="40"/>
      <c r="U158" s="40"/>
      <c r="V158" s="40"/>
      <c r="W158" s="40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6" t="s">
        <v>28</v>
      </c>
      <c r="B159" s="36" t="s">
        <v>35</v>
      </c>
      <c r="C159" s="36" t="s">
        <v>36</v>
      </c>
      <c r="D159" s="36" t="s">
        <v>39</v>
      </c>
      <c r="E159" s="36" t="s">
        <v>25</v>
      </c>
      <c r="F159" s="36" t="s">
        <v>25</v>
      </c>
      <c r="G159" s="36" t="s">
        <v>25</v>
      </c>
      <c r="H159" s="36" t="s">
        <v>37</v>
      </c>
      <c r="I159" s="56">
        <v>44470</v>
      </c>
      <c r="J159" s="57">
        <f>EFEITO!$J$159*EFEITO!$Y$159</f>
        <v>0</v>
      </c>
      <c r="K159" s="57">
        <f ca="1">EFEITO!$L$159*EFEITO!$Z$159</f>
        <v>6248.370302171511</v>
      </c>
      <c r="L159" s="57">
        <f>EFEITO!$N$159*EFEITO!$AA$159</f>
        <v>749.46540563106385</v>
      </c>
      <c r="M159" s="57">
        <f>$J$159-EFEITO!$K$159*EFEITO!$Y$159</f>
        <v>0</v>
      </c>
      <c r="N159" s="57">
        <f ca="1">$K$159-EFEITO!$M$159*EFEITO!$Z$159</f>
        <v>0</v>
      </c>
      <c r="O159" s="57">
        <f>$L$159-EFEITO!$O$159*EFEITO!$AA$159</f>
        <v>0</v>
      </c>
      <c r="P159" s="40"/>
      <c r="Q159" s="40"/>
      <c r="R159" s="40"/>
      <c r="S159" s="40"/>
      <c r="T159" s="40"/>
      <c r="U159" s="40"/>
      <c r="V159" s="40"/>
      <c r="W159" s="40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6" t="s">
        <v>21</v>
      </c>
      <c r="B160" s="36" t="s">
        <v>35</v>
      </c>
      <c r="C160" s="36" t="s">
        <v>36</v>
      </c>
      <c r="D160" s="36" t="s">
        <v>39</v>
      </c>
      <c r="E160" s="36" t="s">
        <v>25</v>
      </c>
      <c r="F160" s="36" t="s">
        <v>25</v>
      </c>
      <c r="G160" s="36" t="s">
        <v>25</v>
      </c>
      <c r="H160" s="36" t="s">
        <v>37</v>
      </c>
      <c r="I160" s="56">
        <v>44501</v>
      </c>
      <c r="J160" s="57">
        <f>EFEITO!$J$160*EFEITO!$Y$160</f>
        <v>0</v>
      </c>
      <c r="K160" s="57">
        <f ca="1">EFEITO!$L$160*EFEITO!$Z$160</f>
        <v>57118.752238520894</v>
      </c>
      <c r="L160" s="57">
        <f>EFEITO!$N$160*EFEITO!$AA$160</f>
        <v>6851.1510594540068</v>
      </c>
      <c r="M160" s="57">
        <f>$J$160-EFEITO!$K$160*EFEITO!$Y$160</f>
        <v>0</v>
      </c>
      <c r="N160" s="57">
        <f ca="1">$K$160-EFEITO!$M$160*EFEITO!$Z$160</f>
        <v>0</v>
      </c>
      <c r="O160" s="57">
        <f>$L$160-EFEITO!$O$160*EFEITO!$AA$160</f>
        <v>0</v>
      </c>
      <c r="P160" s="40"/>
      <c r="Q160" s="40"/>
      <c r="R160" s="40"/>
      <c r="S160" s="40"/>
      <c r="T160" s="40"/>
      <c r="U160" s="40"/>
      <c r="V160" s="40"/>
      <c r="W160" s="40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6" t="s">
        <v>28</v>
      </c>
      <c r="B161" s="36" t="s">
        <v>35</v>
      </c>
      <c r="C161" s="36" t="s">
        <v>36</v>
      </c>
      <c r="D161" s="36" t="s">
        <v>39</v>
      </c>
      <c r="E161" s="36" t="s">
        <v>25</v>
      </c>
      <c r="F161" s="36" t="s">
        <v>25</v>
      </c>
      <c r="G161" s="36" t="s">
        <v>25</v>
      </c>
      <c r="H161" s="36" t="s">
        <v>37</v>
      </c>
      <c r="I161" s="56">
        <v>44501</v>
      </c>
      <c r="J161" s="57">
        <f>EFEITO!$J$161*EFEITO!$Y$161</f>
        <v>0</v>
      </c>
      <c r="K161" s="57">
        <f ca="1">EFEITO!$L$161*EFEITO!$Z$161</f>
        <v>7543.8261802879369</v>
      </c>
      <c r="L161" s="57">
        <f>EFEITO!$N$161*EFEITO!$AA$161</f>
        <v>904.84982080124905</v>
      </c>
      <c r="M161" s="57">
        <f>$J$161-EFEITO!$K$161*EFEITO!$Y$161</f>
        <v>0</v>
      </c>
      <c r="N161" s="57">
        <f ca="1">$K$161-EFEITO!$M$161*EFEITO!$Z$161</f>
        <v>0</v>
      </c>
      <c r="O161" s="57">
        <f>$L$161-EFEITO!$O$161*EFEITO!$AA$161</f>
        <v>0</v>
      </c>
      <c r="P161" s="40"/>
      <c r="Q161" s="40"/>
      <c r="R161" s="40"/>
      <c r="S161" s="40"/>
      <c r="T161" s="40"/>
      <c r="U161" s="40"/>
      <c r="V161" s="40"/>
      <c r="W161" s="40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6" t="s">
        <v>21</v>
      </c>
      <c r="B162" s="36" t="s">
        <v>35</v>
      </c>
      <c r="C162" s="36" t="s">
        <v>36</v>
      </c>
      <c r="D162" s="36" t="s">
        <v>39</v>
      </c>
      <c r="E162" s="36" t="s">
        <v>25</v>
      </c>
      <c r="F162" s="36" t="s">
        <v>25</v>
      </c>
      <c r="G162" s="36" t="s">
        <v>25</v>
      </c>
      <c r="H162" s="36" t="s">
        <v>37</v>
      </c>
      <c r="I162" s="56">
        <v>44531</v>
      </c>
      <c r="J162" s="57">
        <f>EFEITO!$J$162*EFEITO!$Y$162</f>
        <v>0</v>
      </c>
      <c r="K162" s="57">
        <f ca="1">EFEITO!$L$162*EFEITO!$Z$162</f>
        <v>62307.358242495073</v>
      </c>
      <c r="L162" s="57">
        <f>EFEITO!$N$162*EFEITO!$AA$162</f>
        <v>7473.5022511042262</v>
      </c>
      <c r="M162" s="57">
        <f>$J$162-EFEITO!$K$162*EFEITO!$Y$162</f>
        <v>0</v>
      </c>
      <c r="N162" s="57">
        <f ca="1">$K$162-EFEITO!$M$162*EFEITO!$Z$162</f>
        <v>0</v>
      </c>
      <c r="O162" s="57">
        <f>$L$162-EFEITO!$O$162*EFEITO!$AA$162</f>
        <v>0</v>
      </c>
      <c r="P162" s="40"/>
      <c r="Q162" s="40"/>
      <c r="R162" s="40"/>
      <c r="S162" s="40"/>
      <c r="T162" s="40"/>
      <c r="U162" s="40"/>
      <c r="V162" s="40"/>
      <c r="W162" s="40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6" t="s">
        <v>28</v>
      </c>
      <c r="B163" s="36" t="s">
        <v>35</v>
      </c>
      <c r="C163" s="36" t="s">
        <v>36</v>
      </c>
      <c r="D163" s="36" t="s">
        <v>39</v>
      </c>
      <c r="E163" s="36" t="s">
        <v>25</v>
      </c>
      <c r="F163" s="36" t="s">
        <v>25</v>
      </c>
      <c r="G163" s="36" t="s">
        <v>25</v>
      </c>
      <c r="H163" s="36" t="s">
        <v>37</v>
      </c>
      <c r="I163" s="56">
        <v>44531</v>
      </c>
      <c r="J163" s="57">
        <f>EFEITO!$J$163*EFEITO!$Y$163</f>
        <v>0</v>
      </c>
      <c r="K163" s="57">
        <f ca="1">EFEITO!$L$163*EFEITO!$Z$163</f>
        <v>7835.4733151518458</v>
      </c>
      <c r="L163" s="57">
        <f>EFEITO!$N$163*EFEITO!$AA$163</f>
        <v>939.83165248877776</v>
      </c>
      <c r="M163" s="57">
        <f>$J$163-EFEITO!$K$163*EFEITO!$Y$163</f>
        <v>0</v>
      </c>
      <c r="N163" s="57">
        <f ca="1">$K$163-EFEITO!$M$163*EFEITO!$Z$163</f>
        <v>0</v>
      </c>
      <c r="O163" s="57">
        <f>$L$163-EFEITO!$O$163*EFEITO!$AA$163</f>
        <v>0</v>
      </c>
      <c r="P163" s="40"/>
      <c r="Q163" s="40"/>
      <c r="R163" s="40"/>
      <c r="S163" s="40"/>
      <c r="T163" s="40"/>
      <c r="U163" s="40"/>
      <c r="V163" s="40"/>
      <c r="W163" s="40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6" t="s">
        <v>21</v>
      </c>
      <c r="B164" s="36" t="s">
        <v>35</v>
      </c>
      <c r="C164" s="36" t="s">
        <v>36</v>
      </c>
      <c r="D164" s="36" t="s">
        <v>39</v>
      </c>
      <c r="E164" s="36" t="s">
        <v>25</v>
      </c>
      <c r="F164" s="36" t="s">
        <v>25</v>
      </c>
      <c r="G164" s="36" t="s">
        <v>25</v>
      </c>
      <c r="H164" s="36" t="s">
        <v>37</v>
      </c>
      <c r="I164" s="56">
        <v>44562</v>
      </c>
      <c r="J164" s="57">
        <f>EFEITO!$J$164*EFEITO!$Y$164</f>
        <v>0</v>
      </c>
      <c r="K164" s="57">
        <f ca="1">EFEITO!$L$164*EFEITO!$Z$164</f>
        <v>65028.832960265834</v>
      </c>
      <c r="L164" s="57">
        <f>EFEITO!$N$164*EFEITO!$AA$164</f>
        <v>7799.9315526070359</v>
      </c>
      <c r="M164" s="57">
        <f>$J$164-EFEITO!$K$164*EFEITO!$Y$164</f>
        <v>0</v>
      </c>
      <c r="N164" s="57">
        <f ca="1">$K$164-EFEITO!$M$164*EFEITO!$Z$164</f>
        <v>0</v>
      </c>
      <c r="O164" s="57">
        <f>$L$164-EFEITO!$O$164*EFEITO!$AA$164</f>
        <v>0</v>
      </c>
      <c r="P164" s="40"/>
      <c r="Q164" s="40"/>
      <c r="R164" s="40"/>
      <c r="S164" s="40"/>
      <c r="T164" s="40"/>
      <c r="U164" s="40"/>
      <c r="V164" s="40"/>
      <c r="W164" s="40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6" t="s">
        <v>28</v>
      </c>
      <c r="B165" s="36" t="s">
        <v>35</v>
      </c>
      <c r="C165" s="36" t="s">
        <v>36</v>
      </c>
      <c r="D165" s="36" t="s">
        <v>39</v>
      </c>
      <c r="E165" s="36" t="s">
        <v>25</v>
      </c>
      <c r="F165" s="36" t="s">
        <v>25</v>
      </c>
      <c r="G165" s="36" t="s">
        <v>25</v>
      </c>
      <c r="H165" s="36" t="s">
        <v>37</v>
      </c>
      <c r="I165" s="56">
        <v>44562</v>
      </c>
      <c r="J165" s="57">
        <f>EFEITO!$J$165*EFEITO!$Y$165</f>
        <v>0</v>
      </c>
      <c r="K165" s="57">
        <f ca="1">EFEITO!$L$165*EFEITO!$Z$165</f>
        <v>10987.636243710011</v>
      </c>
      <c r="L165" s="57">
        <f>EFEITO!$N$165*EFEITO!$AA$165</f>
        <v>1317.920170553404</v>
      </c>
      <c r="M165" s="57">
        <f>$J$165-EFEITO!$K$165*EFEITO!$Y$165</f>
        <v>0</v>
      </c>
      <c r="N165" s="57">
        <f ca="1">$K$165-EFEITO!$M$165*EFEITO!$Z$165</f>
        <v>0</v>
      </c>
      <c r="O165" s="57">
        <f>$L$165-EFEITO!$O$165*EFEITO!$AA$165</f>
        <v>0</v>
      </c>
      <c r="P165" s="40"/>
      <c r="Q165" s="40"/>
      <c r="R165" s="40"/>
      <c r="S165" s="40"/>
      <c r="T165" s="40"/>
      <c r="U165" s="40"/>
      <c r="V165" s="40"/>
      <c r="W165" s="40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6" t="s">
        <v>21</v>
      </c>
      <c r="B166" s="36" t="s">
        <v>35</v>
      </c>
      <c r="C166" s="36" t="s">
        <v>36</v>
      </c>
      <c r="D166" s="36" t="s">
        <v>39</v>
      </c>
      <c r="E166" s="36" t="s">
        <v>25</v>
      </c>
      <c r="F166" s="36" t="s">
        <v>25</v>
      </c>
      <c r="G166" s="36" t="s">
        <v>25</v>
      </c>
      <c r="H166" s="36" t="s">
        <v>37</v>
      </c>
      <c r="I166" s="56">
        <v>44593</v>
      </c>
      <c r="J166" s="57">
        <f>EFEITO!$J$166*EFEITO!$Y$166</f>
        <v>0</v>
      </c>
      <c r="K166" s="57">
        <f ca="1">EFEITO!$L$166*EFEITO!$Z$166</f>
        <v>56235.332719543592</v>
      </c>
      <c r="L166" s="57">
        <f>EFEITO!$N$166*EFEITO!$AA$166</f>
        <v>6745.1886506795745</v>
      </c>
      <c r="M166" s="57">
        <f>$J$166-EFEITO!$K$166*EFEITO!$Y$166</f>
        <v>0</v>
      </c>
      <c r="N166" s="57">
        <f ca="1">$K$166-EFEITO!$M$166*EFEITO!$Z$166</f>
        <v>0</v>
      </c>
      <c r="O166" s="57">
        <f>$L$166-EFEITO!$O$166*EFEITO!$AA$166</f>
        <v>0</v>
      </c>
      <c r="P166" s="40"/>
      <c r="Q166" s="40"/>
      <c r="R166" s="40"/>
      <c r="S166" s="40"/>
      <c r="T166" s="40"/>
      <c r="U166" s="40"/>
      <c r="V166" s="40"/>
      <c r="W166" s="40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6" t="s">
        <v>28</v>
      </c>
      <c r="B167" s="36" t="s">
        <v>35</v>
      </c>
      <c r="C167" s="36" t="s">
        <v>36</v>
      </c>
      <c r="D167" s="36" t="s">
        <v>39</v>
      </c>
      <c r="E167" s="36" t="s">
        <v>25</v>
      </c>
      <c r="F167" s="36" t="s">
        <v>25</v>
      </c>
      <c r="G167" s="36" t="s">
        <v>25</v>
      </c>
      <c r="H167" s="36" t="s">
        <v>37</v>
      </c>
      <c r="I167" s="56">
        <v>44593</v>
      </c>
      <c r="J167" s="57">
        <f>EFEITO!$J$167*EFEITO!$Y$167</f>
        <v>0</v>
      </c>
      <c r="K167" s="57">
        <f ca="1">EFEITO!$L$167*EFEITO!$Z$167</f>
        <v>9434.4456882719896</v>
      </c>
      <c r="L167" s="57">
        <f>EFEITO!$N$167*EFEITO!$AA$167</f>
        <v>1131.621578543077</v>
      </c>
      <c r="M167" s="57">
        <f>$J$167-EFEITO!$K$167*EFEITO!$Y$167</f>
        <v>0</v>
      </c>
      <c r="N167" s="57">
        <f ca="1">$K$167-EFEITO!$M$167*EFEITO!$Z$167</f>
        <v>0</v>
      </c>
      <c r="O167" s="57">
        <f>$L$167-EFEITO!$O$167*EFEITO!$AA$167</f>
        <v>0</v>
      </c>
      <c r="P167" s="40"/>
      <c r="Q167" s="40"/>
      <c r="R167" s="40"/>
      <c r="S167" s="40"/>
      <c r="T167" s="40"/>
      <c r="U167" s="40"/>
      <c r="V167" s="40"/>
      <c r="W167" s="40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6" t="s">
        <v>21</v>
      </c>
      <c r="B168" s="36" t="s">
        <v>35</v>
      </c>
      <c r="C168" s="36" t="s">
        <v>36</v>
      </c>
      <c r="D168" s="36" t="s">
        <v>39</v>
      </c>
      <c r="E168" s="36" t="s">
        <v>25</v>
      </c>
      <c r="F168" s="36" t="s">
        <v>25</v>
      </c>
      <c r="G168" s="36" t="s">
        <v>25</v>
      </c>
      <c r="H168" s="36" t="s">
        <v>37</v>
      </c>
      <c r="I168" s="56">
        <v>44621</v>
      </c>
      <c r="J168" s="57">
        <f>EFEITO!$J$168*EFEITO!$Y$168</f>
        <v>0</v>
      </c>
      <c r="K168" s="57">
        <f ca="1">EFEITO!$L$168*EFEITO!$Z$168</f>
        <v>60367.565671074655</v>
      </c>
      <c r="L168" s="57">
        <f>EFEITO!$N$168*EFEITO!$AA$168</f>
        <v>7240.8323938336853</v>
      </c>
      <c r="M168" s="57">
        <f>$J$168-EFEITO!$K$168*EFEITO!$Y$168</f>
        <v>0</v>
      </c>
      <c r="N168" s="57">
        <f ca="1">$K$168-EFEITO!$M$168*EFEITO!$Z$168</f>
        <v>0</v>
      </c>
      <c r="O168" s="57">
        <f>$L$168-EFEITO!$O$168*EFEITO!$AA$168</f>
        <v>0</v>
      </c>
      <c r="P168" s="40"/>
      <c r="Q168" s="40"/>
      <c r="R168" s="40"/>
      <c r="S168" s="40"/>
      <c r="T168" s="40"/>
      <c r="U168" s="40"/>
      <c r="V168" s="40"/>
      <c r="W168" s="40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6" t="s">
        <v>28</v>
      </c>
      <c r="B169" s="36" t="s">
        <v>35</v>
      </c>
      <c r="C169" s="36" t="s">
        <v>36</v>
      </c>
      <c r="D169" s="36" t="s">
        <v>39</v>
      </c>
      <c r="E169" s="36" t="s">
        <v>25</v>
      </c>
      <c r="F169" s="36" t="s">
        <v>25</v>
      </c>
      <c r="G169" s="36" t="s">
        <v>25</v>
      </c>
      <c r="H169" s="36" t="s">
        <v>37</v>
      </c>
      <c r="I169" s="56">
        <v>44621</v>
      </c>
      <c r="J169" s="57">
        <f>EFEITO!$J$169*EFEITO!$Y$169</f>
        <v>0</v>
      </c>
      <c r="K169" s="57">
        <f ca="1">EFEITO!$L$169*EFEITO!$Z$169</f>
        <v>7613.3467182496834</v>
      </c>
      <c r="L169" s="57">
        <f>EFEITO!$N$169*EFEITO!$AA$169</f>
        <v>913.1885132383926</v>
      </c>
      <c r="M169" s="57">
        <f>$J$169-EFEITO!$K$169*EFEITO!$Y$169</f>
        <v>0</v>
      </c>
      <c r="N169" s="57">
        <f ca="1">$K$169-EFEITO!$M$169*EFEITO!$Z$169</f>
        <v>0</v>
      </c>
      <c r="O169" s="57">
        <f>$L$169-EFEITO!$O$169*EFEITO!$AA$169</f>
        <v>0</v>
      </c>
      <c r="P169" s="40"/>
      <c r="Q169" s="40"/>
      <c r="R169" s="40"/>
      <c r="S169" s="40"/>
      <c r="T169" s="40"/>
      <c r="U169" s="40"/>
      <c r="V169" s="40"/>
      <c r="W169" s="40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6" t="s">
        <v>21</v>
      </c>
      <c r="B170" s="36" t="s">
        <v>35</v>
      </c>
      <c r="C170" s="36" t="s">
        <v>36</v>
      </c>
      <c r="D170" s="36" t="s">
        <v>39</v>
      </c>
      <c r="E170" s="36" t="s">
        <v>25</v>
      </c>
      <c r="F170" s="36" t="s">
        <v>25</v>
      </c>
      <c r="G170" s="36" t="s">
        <v>25</v>
      </c>
      <c r="H170" s="36" t="s">
        <v>37</v>
      </c>
      <c r="I170" s="56">
        <v>44652</v>
      </c>
      <c r="J170" s="57">
        <f>EFEITO!$J$170*EFEITO!$Y$170</f>
        <v>0</v>
      </c>
      <c r="K170" s="57">
        <f ca="1">EFEITO!$L$170*EFEITO!$Z$170</f>
        <v>47226.488373427652</v>
      </c>
      <c r="L170" s="57">
        <f>EFEITO!$N$170*EFEITO!$AA$170</f>
        <v>5664.6161404712047</v>
      </c>
      <c r="M170" s="57">
        <f>$J$170-EFEITO!$K$170*EFEITO!$Y$170</f>
        <v>0</v>
      </c>
      <c r="N170" s="57">
        <f ca="1">$K$170-EFEITO!$M$170*EFEITO!$Z$170</f>
        <v>0</v>
      </c>
      <c r="O170" s="57">
        <f>$L$170-EFEITO!$O$170*EFEITO!$AA$170</f>
        <v>0</v>
      </c>
      <c r="P170" s="40"/>
      <c r="Q170" s="40"/>
      <c r="R170" s="40"/>
      <c r="S170" s="40"/>
      <c r="T170" s="40"/>
      <c r="U170" s="40"/>
      <c r="V170" s="40"/>
      <c r="W170" s="40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6" t="s">
        <v>28</v>
      </c>
      <c r="B171" s="36" t="s">
        <v>35</v>
      </c>
      <c r="C171" s="36" t="s">
        <v>36</v>
      </c>
      <c r="D171" s="36" t="s">
        <v>39</v>
      </c>
      <c r="E171" s="36" t="s">
        <v>25</v>
      </c>
      <c r="F171" s="36" t="s">
        <v>25</v>
      </c>
      <c r="G171" s="36" t="s">
        <v>25</v>
      </c>
      <c r="H171" s="36" t="s">
        <v>37</v>
      </c>
      <c r="I171" s="56">
        <v>44652</v>
      </c>
      <c r="J171" s="57">
        <f>EFEITO!$J$171*EFEITO!$Y$171</f>
        <v>0</v>
      </c>
      <c r="K171" s="57">
        <f ca="1">EFEITO!$L$171*EFEITO!$Z$171</f>
        <v>6280.5871368367098</v>
      </c>
      <c r="L171" s="57">
        <f>EFEITO!$N$171*EFEITO!$AA$171</f>
        <v>753.32967773608152</v>
      </c>
      <c r="M171" s="57">
        <f>$J$171-EFEITO!$K$171*EFEITO!$Y$171</f>
        <v>0</v>
      </c>
      <c r="N171" s="57">
        <f ca="1">$K$171-EFEITO!$M$171*EFEITO!$Z$171</f>
        <v>0</v>
      </c>
      <c r="O171" s="57">
        <f>$L$171-EFEITO!$O$171*EFEITO!$AA$171</f>
        <v>0</v>
      </c>
      <c r="P171" s="40"/>
      <c r="Q171" s="40"/>
      <c r="R171" s="40"/>
      <c r="S171" s="40"/>
      <c r="T171" s="40"/>
      <c r="U171" s="40"/>
      <c r="V171" s="40"/>
      <c r="W171" s="40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6" t="s">
        <v>21</v>
      </c>
      <c r="B172" s="36" t="s">
        <v>35</v>
      </c>
      <c r="C172" s="36" t="s">
        <v>36</v>
      </c>
      <c r="D172" s="36" t="s">
        <v>39</v>
      </c>
      <c r="E172" s="36" t="s">
        <v>25</v>
      </c>
      <c r="F172" s="36" t="s">
        <v>25</v>
      </c>
      <c r="G172" s="36" t="s">
        <v>25</v>
      </c>
      <c r="H172" s="36" t="s">
        <v>37</v>
      </c>
      <c r="I172" s="56">
        <v>44682</v>
      </c>
      <c r="J172" s="57">
        <f>EFEITO!$J$172*EFEITO!$Y$172</f>
        <v>0</v>
      </c>
      <c r="K172" s="57">
        <f ca="1">EFEITO!$L$172*EFEITO!$Z$172</f>
        <v>41451.196853971436</v>
      </c>
      <c r="L172" s="57">
        <f>EFEITO!$N$172*EFEITO!$AA$172</f>
        <v>4971.8945199611908</v>
      </c>
      <c r="M172" s="57">
        <f>$J$172-EFEITO!$K$172*EFEITO!$Y$172</f>
        <v>0</v>
      </c>
      <c r="N172" s="57">
        <f ca="1">$K$172-EFEITO!$M$172*EFEITO!$Z$172</f>
        <v>0</v>
      </c>
      <c r="O172" s="57">
        <f>$L$172-EFEITO!$O$172*EFEITO!$AA$172</f>
        <v>0</v>
      </c>
      <c r="P172" s="40"/>
      <c r="Q172" s="40"/>
      <c r="R172" s="40"/>
      <c r="S172" s="40"/>
      <c r="T172" s="40"/>
      <c r="U172" s="40"/>
      <c r="V172" s="40"/>
      <c r="W172" s="40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6" t="s">
        <v>28</v>
      </c>
      <c r="B173" s="36" t="s">
        <v>35</v>
      </c>
      <c r="C173" s="36" t="s">
        <v>36</v>
      </c>
      <c r="D173" s="36" t="s">
        <v>39</v>
      </c>
      <c r="E173" s="36" t="s">
        <v>25</v>
      </c>
      <c r="F173" s="36" t="s">
        <v>25</v>
      </c>
      <c r="G173" s="36" t="s">
        <v>25</v>
      </c>
      <c r="H173" s="36" t="s">
        <v>37</v>
      </c>
      <c r="I173" s="56">
        <v>44682</v>
      </c>
      <c r="J173" s="57">
        <f>EFEITO!$J$173*EFEITO!$Y$173</f>
        <v>0</v>
      </c>
      <c r="K173" s="57">
        <f ca="1">EFEITO!$L$173*EFEITO!$Z$173</f>
        <v>5132.6504490293519</v>
      </c>
      <c r="L173" s="57">
        <f>EFEITO!$N$173*EFEITO!$AA$173</f>
        <v>615.63956115202996</v>
      </c>
      <c r="M173" s="57">
        <f>$J$173-EFEITO!$K$173*EFEITO!$Y$173</f>
        <v>0</v>
      </c>
      <c r="N173" s="57">
        <f ca="1">$K$173-EFEITO!$M$173*EFEITO!$Z$173</f>
        <v>0</v>
      </c>
      <c r="O173" s="57">
        <f>$L$173-EFEITO!$O$173*EFEITO!$AA$173</f>
        <v>0</v>
      </c>
      <c r="P173" s="40"/>
      <c r="Q173" s="40"/>
      <c r="R173" s="40"/>
      <c r="S173" s="40"/>
      <c r="T173" s="40"/>
      <c r="U173" s="40"/>
      <c r="V173" s="40"/>
      <c r="W173" s="40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6" t="s">
        <v>21</v>
      </c>
      <c r="B174" s="36" t="s">
        <v>35</v>
      </c>
      <c r="C174" s="36" t="s">
        <v>36</v>
      </c>
      <c r="D174" s="36" t="s">
        <v>39</v>
      </c>
      <c r="E174" s="36" t="s">
        <v>25</v>
      </c>
      <c r="F174" s="36" t="s">
        <v>25</v>
      </c>
      <c r="G174" s="36" t="s">
        <v>25</v>
      </c>
      <c r="H174" s="36" t="s">
        <v>37</v>
      </c>
      <c r="I174" s="56">
        <v>44713</v>
      </c>
      <c r="J174" s="57">
        <f>EFEITO!$J$174*EFEITO!$Y$174</f>
        <v>0</v>
      </c>
      <c r="K174" s="57">
        <f ca="1">EFEITO!$L$174*EFEITO!$Z$174</f>
        <v>35324.911398952259</v>
      </c>
      <c r="L174" s="57">
        <f>EFEITO!$N$174*EFEITO!$AA$174</f>
        <v>4237.0726717807192</v>
      </c>
      <c r="M174" s="57">
        <f>$J$174-EFEITO!$K$174*EFEITO!$Y$174</f>
        <v>0</v>
      </c>
      <c r="N174" s="57">
        <f ca="1">$K$174-EFEITO!$M$174*EFEITO!$Z$174</f>
        <v>0</v>
      </c>
      <c r="O174" s="57">
        <f>$L$174-EFEITO!$O$174*EFEITO!$AA$174</f>
        <v>0</v>
      </c>
      <c r="P174" s="40"/>
      <c r="Q174" s="40"/>
      <c r="R174" s="40"/>
      <c r="S174" s="40"/>
      <c r="T174" s="40"/>
      <c r="U174" s="40"/>
      <c r="V174" s="40"/>
      <c r="W174" s="40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6" t="s">
        <v>28</v>
      </c>
      <c r="B175" s="36" t="s">
        <v>35</v>
      </c>
      <c r="C175" s="36" t="s">
        <v>36</v>
      </c>
      <c r="D175" s="36" t="s">
        <v>39</v>
      </c>
      <c r="E175" s="36" t="s">
        <v>25</v>
      </c>
      <c r="F175" s="36" t="s">
        <v>25</v>
      </c>
      <c r="G175" s="36" t="s">
        <v>25</v>
      </c>
      <c r="H175" s="36" t="s">
        <v>37</v>
      </c>
      <c r="I175" s="56">
        <v>44713</v>
      </c>
      <c r="J175" s="57">
        <f>EFEITO!$J$175*EFEITO!$Y$175</f>
        <v>0</v>
      </c>
      <c r="K175" s="57">
        <f ca="1">EFEITO!$L$175*EFEITO!$Z$175</f>
        <v>5997.4181163583808</v>
      </c>
      <c r="L175" s="57">
        <f>EFEITO!$N$175*EFEITO!$AA$175</f>
        <v>719.36475976039958</v>
      </c>
      <c r="M175" s="57">
        <f>$J$175-EFEITO!$K$175*EFEITO!$Y$175</f>
        <v>0</v>
      </c>
      <c r="N175" s="57">
        <f ca="1">$K$175-EFEITO!$M$175*EFEITO!$Z$175</f>
        <v>0</v>
      </c>
      <c r="O175" s="57">
        <f>$L$175-EFEITO!$O$175*EFEITO!$AA$175</f>
        <v>0</v>
      </c>
      <c r="P175" s="40"/>
      <c r="Q175" s="40"/>
      <c r="R175" s="40"/>
      <c r="S175" s="40"/>
      <c r="T175" s="40"/>
      <c r="U175" s="40"/>
      <c r="V175" s="40"/>
      <c r="W175" s="40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6" t="s">
        <v>21</v>
      </c>
      <c r="B176" s="36" t="s">
        <v>35</v>
      </c>
      <c r="C176" s="36" t="s">
        <v>36</v>
      </c>
      <c r="D176" s="36" t="s">
        <v>39</v>
      </c>
      <c r="E176" s="36" t="s">
        <v>25</v>
      </c>
      <c r="F176" s="36" t="s">
        <v>25</v>
      </c>
      <c r="G176" s="36" t="s">
        <v>25</v>
      </c>
      <c r="H176" s="36" t="s">
        <v>37</v>
      </c>
      <c r="I176" s="56">
        <v>44743</v>
      </c>
      <c r="J176" s="57">
        <f>EFEITO!$J$176*EFEITO!$Y$176</f>
        <v>0</v>
      </c>
      <c r="K176" s="57">
        <f ca="1">EFEITO!$L$176*EFEITO!$Z$176</f>
        <v>34556.794235618829</v>
      </c>
      <c r="L176" s="57">
        <f>EFEITO!$N$176*EFEITO!$AA$176</f>
        <v>4144.9402894874029</v>
      </c>
      <c r="M176" s="57">
        <f>$J$176-EFEITO!$K$176*EFEITO!$Y$176</f>
        <v>0</v>
      </c>
      <c r="N176" s="57">
        <f ca="1">$K$176-EFEITO!$M$176*EFEITO!$Z$176</f>
        <v>0</v>
      </c>
      <c r="O176" s="57">
        <f>$L$176-EFEITO!$O$176*EFEITO!$AA$176</f>
        <v>0</v>
      </c>
      <c r="P176" s="40"/>
      <c r="Q176" s="40"/>
      <c r="R176" s="40"/>
      <c r="S176" s="40"/>
      <c r="T176" s="40"/>
      <c r="U176" s="40"/>
      <c r="V176" s="40"/>
      <c r="W176" s="40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6" t="s">
        <v>21</v>
      </c>
      <c r="B177" s="36" t="s">
        <v>35</v>
      </c>
      <c r="C177" s="36" t="s">
        <v>36</v>
      </c>
      <c r="D177" s="36" t="s">
        <v>39</v>
      </c>
      <c r="E177" s="36" t="s">
        <v>25</v>
      </c>
      <c r="F177" s="36" t="s">
        <v>25</v>
      </c>
      <c r="G177" s="36" t="s">
        <v>25</v>
      </c>
      <c r="H177" s="36" t="s">
        <v>37</v>
      </c>
      <c r="I177" s="56">
        <v>44774</v>
      </c>
      <c r="J177" s="57">
        <f>EFEITO!$J$177*EFEITO!$Y$177</f>
        <v>0</v>
      </c>
      <c r="K177" s="57">
        <f ca="1">EFEITO!$L$177*EFEITO!$Z$177</f>
        <v>37625.871643198327</v>
      </c>
      <c r="L177" s="57">
        <f>EFEITO!$N$177*EFEITO!$AA$177</f>
        <v>4513.0630531759316</v>
      </c>
      <c r="M177" s="57">
        <f>$J$177-EFEITO!$K$177*EFEITO!$Y$177</f>
        <v>0</v>
      </c>
      <c r="N177" s="57">
        <f ca="1">$K$177-EFEITO!$M$177*EFEITO!$Z$177</f>
        <v>0</v>
      </c>
      <c r="O177" s="57">
        <f>$L$177-EFEITO!$O$177*EFEITO!$AA$177</f>
        <v>0</v>
      </c>
      <c r="P177" s="40"/>
      <c r="Q177" s="40"/>
      <c r="R177" s="40"/>
      <c r="S177" s="40"/>
      <c r="T177" s="40"/>
      <c r="U177" s="40"/>
      <c r="V177" s="40"/>
      <c r="W177" s="40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6" t="s">
        <v>28</v>
      </c>
      <c r="B178" s="36" t="s">
        <v>35</v>
      </c>
      <c r="C178" s="36" t="s">
        <v>36</v>
      </c>
      <c r="D178" s="36" t="s">
        <v>39</v>
      </c>
      <c r="E178" s="36" t="s">
        <v>25</v>
      </c>
      <c r="F178" s="36" t="s">
        <v>25</v>
      </c>
      <c r="G178" s="36" t="s">
        <v>25</v>
      </c>
      <c r="H178" s="36" t="s">
        <v>37</v>
      </c>
      <c r="I178" s="56">
        <v>44774</v>
      </c>
      <c r="J178" s="57">
        <f>EFEITO!$J$178*EFEITO!$Y$178</f>
        <v>0</v>
      </c>
      <c r="K178" s="57">
        <f ca="1">EFEITO!$L$178*EFEITO!$Z$178</f>
        <v>7060.5736603099504</v>
      </c>
      <c r="L178" s="57">
        <f>EFEITO!$N$178*EFEITO!$AA$178</f>
        <v>846.88573922598357</v>
      </c>
      <c r="M178" s="57">
        <f>$J$178-EFEITO!$K$178*EFEITO!$Y$178</f>
        <v>0</v>
      </c>
      <c r="N178" s="57">
        <f ca="1">$K$178-EFEITO!$M$178*EFEITO!$Z$178</f>
        <v>0</v>
      </c>
      <c r="O178" s="57">
        <f>$L$178-EFEITO!$O$178*EFEITO!$AA$178</f>
        <v>0</v>
      </c>
      <c r="P178" s="40"/>
      <c r="Q178" s="40"/>
      <c r="R178" s="40"/>
      <c r="S178" s="40"/>
      <c r="T178" s="40"/>
      <c r="U178" s="40"/>
      <c r="V178" s="40"/>
      <c r="W178" s="40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6" t="s">
        <v>21</v>
      </c>
      <c r="B179" s="36" t="s">
        <v>35</v>
      </c>
      <c r="C179" s="36" t="s">
        <v>36</v>
      </c>
      <c r="D179" s="36" t="s">
        <v>34</v>
      </c>
      <c r="E179" s="36" t="s">
        <v>25</v>
      </c>
      <c r="F179" s="36" t="s">
        <v>54</v>
      </c>
      <c r="G179" s="36" t="s">
        <v>25</v>
      </c>
      <c r="H179" s="36" t="s">
        <v>38</v>
      </c>
      <c r="I179" s="56">
        <v>44440</v>
      </c>
      <c r="J179" s="57">
        <f>EFEITO!$J$179*EFEITO!$Y$179</f>
        <v>0</v>
      </c>
      <c r="K179" s="57">
        <f ca="1">EFEITO!$L$179*EFEITO!$Z$179</f>
        <v>61.974231030349237</v>
      </c>
      <c r="L179" s="57">
        <f>EFEITO!$N$179*EFEITO!$AA$179</f>
        <v>0</v>
      </c>
      <c r="M179" s="57">
        <f>$J$179-EFEITO!$K$179*EFEITO!$Y$179</f>
        <v>0</v>
      </c>
      <c r="N179" s="57">
        <f ca="1">$K$179-EFEITO!$M$179*EFEITO!$Z$179</f>
        <v>0</v>
      </c>
      <c r="O179" s="57">
        <f>$L$179-EFEITO!$O$179*EFEITO!$AA$179</f>
        <v>0</v>
      </c>
      <c r="P179" s="40"/>
      <c r="Q179" s="40"/>
      <c r="R179" s="40"/>
      <c r="S179" s="40"/>
      <c r="T179" s="40"/>
      <c r="U179" s="40"/>
      <c r="V179" s="40"/>
      <c r="W179" s="40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6" t="s">
        <v>21</v>
      </c>
      <c r="B180" s="36" t="s">
        <v>35</v>
      </c>
      <c r="C180" s="36" t="s">
        <v>36</v>
      </c>
      <c r="D180" s="36" t="s">
        <v>34</v>
      </c>
      <c r="E180" s="36" t="s">
        <v>25</v>
      </c>
      <c r="F180" s="36" t="s">
        <v>54</v>
      </c>
      <c r="G180" s="36" t="s">
        <v>25</v>
      </c>
      <c r="H180" s="36" t="s">
        <v>38</v>
      </c>
      <c r="I180" s="56">
        <v>44470</v>
      </c>
      <c r="J180" s="57">
        <f>EFEITO!$J$180*EFEITO!$Y$180</f>
        <v>0</v>
      </c>
      <c r="K180" s="57">
        <f ca="1">EFEITO!$L$180*EFEITO!$Z$180</f>
        <v>5.6178648169935821</v>
      </c>
      <c r="L180" s="57">
        <f>EFEITO!$N$180*EFEITO!$AA$180</f>
        <v>0</v>
      </c>
      <c r="M180" s="57">
        <f>$J$180-EFEITO!$K$180*EFEITO!$Y$180</f>
        <v>0</v>
      </c>
      <c r="N180" s="57">
        <f ca="1">$K$180-EFEITO!$M$180*EFEITO!$Z$180</f>
        <v>0</v>
      </c>
      <c r="O180" s="57">
        <f>$L$180-EFEITO!$O$180*EFEITO!$AA$180</f>
        <v>0</v>
      </c>
      <c r="P180" s="40"/>
      <c r="Q180" s="40"/>
      <c r="R180" s="40"/>
      <c r="S180" s="40"/>
      <c r="T180" s="40"/>
      <c r="U180" s="40"/>
      <c r="V180" s="40"/>
      <c r="W180" s="40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6" t="s">
        <v>21</v>
      </c>
      <c r="B181" s="36" t="s">
        <v>35</v>
      </c>
      <c r="C181" s="36" t="s">
        <v>36</v>
      </c>
      <c r="D181" s="36" t="s">
        <v>34</v>
      </c>
      <c r="E181" s="36" t="s">
        <v>25</v>
      </c>
      <c r="F181" s="36" t="s">
        <v>54</v>
      </c>
      <c r="G181" s="36" t="s">
        <v>25</v>
      </c>
      <c r="H181" s="36" t="s">
        <v>38</v>
      </c>
      <c r="I181" s="56">
        <v>44501</v>
      </c>
      <c r="J181" s="57">
        <f>EFEITO!$J$181*EFEITO!$Y$181</f>
        <v>0</v>
      </c>
      <c r="K181" s="57">
        <f ca="1">EFEITO!$L$181*EFEITO!$Z$181</f>
        <v>27.941225715451385</v>
      </c>
      <c r="L181" s="57">
        <f>EFEITO!$N$181*EFEITO!$AA$181</f>
        <v>0</v>
      </c>
      <c r="M181" s="57">
        <f>$J$181-EFEITO!$K$181*EFEITO!$Y$181</f>
        <v>0</v>
      </c>
      <c r="N181" s="57">
        <f ca="1">$K$181-EFEITO!$M$181*EFEITO!$Z$181</f>
        <v>0</v>
      </c>
      <c r="O181" s="57">
        <f>$L$181-EFEITO!$O$181*EFEITO!$AA$181</f>
        <v>0</v>
      </c>
      <c r="P181" s="40"/>
      <c r="Q181" s="40"/>
      <c r="R181" s="40"/>
      <c r="S181" s="40"/>
      <c r="T181" s="40"/>
      <c r="U181" s="40"/>
      <c r="V181" s="40"/>
      <c r="W181" s="40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6" t="s">
        <v>21</v>
      </c>
      <c r="B182" s="36" t="s">
        <v>35</v>
      </c>
      <c r="C182" s="36" t="s">
        <v>36</v>
      </c>
      <c r="D182" s="36" t="s">
        <v>34</v>
      </c>
      <c r="E182" s="36" t="s">
        <v>25</v>
      </c>
      <c r="F182" s="36" t="s">
        <v>54</v>
      </c>
      <c r="G182" s="36" t="s">
        <v>25</v>
      </c>
      <c r="H182" s="36" t="s">
        <v>38</v>
      </c>
      <c r="I182" s="56">
        <v>44531</v>
      </c>
      <c r="J182" s="57">
        <f>EFEITO!$J$182*EFEITO!$Y$182</f>
        <v>0</v>
      </c>
      <c r="K182" s="57">
        <f ca="1">EFEITO!$L$182*EFEITO!$Z$182</f>
        <v>14.158204125779958</v>
      </c>
      <c r="L182" s="57">
        <f>EFEITO!$N$182*EFEITO!$AA$182</f>
        <v>0</v>
      </c>
      <c r="M182" s="57">
        <f>$J$182-EFEITO!$K$182*EFEITO!$Y$182</f>
        <v>0</v>
      </c>
      <c r="N182" s="57">
        <f ca="1">$K$182-EFEITO!$M$182*EFEITO!$Z$182</f>
        <v>0</v>
      </c>
      <c r="O182" s="57">
        <f>$L$182-EFEITO!$O$182*EFEITO!$AA$182</f>
        <v>0</v>
      </c>
      <c r="P182" s="40"/>
      <c r="Q182" s="40"/>
      <c r="R182" s="40"/>
      <c r="S182" s="40"/>
      <c r="T182" s="40"/>
      <c r="U182" s="40"/>
      <c r="V182" s="40"/>
      <c r="W182" s="40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6" t="s">
        <v>21</v>
      </c>
      <c r="B183" s="36" t="s">
        <v>35</v>
      </c>
      <c r="C183" s="36" t="s">
        <v>36</v>
      </c>
      <c r="D183" s="36" t="s">
        <v>34</v>
      </c>
      <c r="E183" s="36" t="s">
        <v>25</v>
      </c>
      <c r="F183" s="36" t="s">
        <v>54</v>
      </c>
      <c r="G183" s="36" t="s">
        <v>25</v>
      </c>
      <c r="H183" s="36" t="s">
        <v>38</v>
      </c>
      <c r="I183" s="56">
        <v>44562</v>
      </c>
      <c r="J183" s="57">
        <f>EFEITO!$J$183*EFEITO!$Y$183</f>
        <v>0</v>
      </c>
      <c r="K183" s="57">
        <f ca="1">EFEITO!$L$183*EFEITO!$Z$183</f>
        <v>47.677801759687185</v>
      </c>
      <c r="L183" s="57">
        <f>EFEITO!$N$183*EFEITO!$AA$183</f>
        <v>0</v>
      </c>
      <c r="M183" s="57">
        <f>$J$183-EFEITO!$K$183*EFEITO!$Y$183</f>
        <v>0</v>
      </c>
      <c r="N183" s="57">
        <f ca="1">$K$183-EFEITO!$M$183*EFEITO!$Z$183</f>
        <v>0</v>
      </c>
      <c r="O183" s="57">
        <f>$L$183-EFEITO!$O$183*EFEITO!$AA$183</f>
        <v>0</v>
      </c>
      <c r="P183" s="40"/>
      <c r="Q183" s="40"/>
      <c r="R183" s="40"/>
      <c r="S183" s="40"/>
      <c r="T183" s="40"/>
      <c r="U183" s="40"/>
      <c r="V183" s="40"/>
      <c r="W183" s="40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6" t="s">
        <v>21</v>
      </c>
      <c r="B184" s="36" t="s">
        <v>35</v>
      </c>
      <c r="C184" s="36" t="s">
        <v>36</v>
      </c>
      <c r="D184" s="36" t="s">
        <v>34</v>
      </c>
      <c r="E184" s="36" t="s">
        <v>25</v>
      </c>
      <c r="F184" s="36" t="s">
        <v>54</v>
      </c>
      <c r="G184" s="36" t="s">
        <v>25</v>
      </c>
      <c r="H184" s="36" t="s">
        <v>38</v>
      </c>
      <c r="I184" s="56">
        <v>44593</v>
      </c>
      <c r="J184" s="57">
        <f>EFEITO!$J$184*EFEITO!$Y$184</f>
        <v>0</v>
      </c>
      <c r="K184" s="57">
        <f ca="1">EFEITO!$L$184*EFEITO!$Z$184</f>
        <v>35.168426147857886</v>
      </c>
      <c r="L184" s="57">
        <f>EFEITO!$N$184*EFEITO!$AA$184</f>
        <v>0</v>
      </c>
      <c r="M184" s="57">
        <f>$J$184-EFEITO!$K$184*EFEITO!$Y$184</f>
        <v>0</v>
      </c>
      <c r="N184" s="57">
        <f ca="1">$K$184-EFEITO!$M$184*EFEITO!$Z$184</f>
        <v>0</v>
      </c>
      <c r="O184" s="57">
        <f>$L$184-EFEITO!$O$184*EFEITO!$AA$184</f>
        <v>0</v>
      </c>
      <c r="P184" s="40"/>
      <c r="Q184" s="40"/>
      <c r="R184" s="40"/>
      <c r="S184" s="40"/>
      <c r="T184" s="40"/>
      <c r="U184" s="40"/>
      <c r="V184" s="40"/>
      <c r="W184" s="40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6" t="s">
        <v>21</v>
      </c>
      <c r="B185" s="36" t="s">
        <v>35</v>
      </c>
      <c r="C185" s="36" t="s">
        <v>36</v>
      </c>
      <c r="D185" s="36" t="s">
        <v>34</v>
      </c>
      <c r="E185" s="36" t="s">
        <v>25</v>
      </c>
      <c r="F185" s="36" t="s">
        <v>54</v>
      </c>
      <c r="G185" s="36" t="s">
        <v>25</v>
      </c>
      <c r="H185" s="36" t="s">
        <v>38</v>
      </c>
      <c r="I185" s="56">
        <v>44621</v>
      </c>
      <c r="J185" s="57">
        <f>EFEITO!$J$185*EFEITO!$Y$185</f>
        <v>0</v>
      </c>
      <c r="K185" s="57">
        <f ca="1">EFEITO!$L$185*EFEITO!$Z$185</f>
        <v>7.1580878599654607</v>
      </c>
      <c r="L185" s="57">
        <f>EFEITO!$N$185*EFEITO!$AA$185</f>
        <v>0</v>
      </c>
      <c r="M185" s="57">
        <f>$J$185-EFEITO!$K$185*EFEITO!$Y$185</f>
        <v>0</v>
      </c>
      <c r="N185" s="57">
        <f ca="1">$K$185-EFEITO!$M$185*EFEITO!$Z$185</f>
        <v>0</v>
      </c>
      <c r="O185" s="57">
        <f>$L$185-EFEITO!$O$185*EFEITO!$AA$185</f>
        <v>0</v>
      </c>
      <c r="P185" s="40"/>
      <c r="Q185" s="40"/>
      <c r="R185" s="40"/>
      <c r="S185" s="40"/>
      <c r="T185" s="40"/>
      <c r="U185" s="40"/>
      <c r="V185" s="40"/>
      <c r="W185" s="40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6" t="s">
        <v>21</v>
      </c>
      <c r="B186" s="36" t="s">
        <v>35</v>
      </c>
      <c r="C186" s="36" t="s">
        <v>36</v>
      </c>
      <c r="D186" s="36" t="s">
        <v>34</v>
      </c>
      <c r="E186" s="36" t="s">
        <v>25</v>
      </c>
      <c r="F186" s="36" t="s">
        <v>54</v>
      </c>
      <c r="G186" s="36" t="s">
        <v>25</v>
      </c>
      <c r="H186" s="36" t="s">
        <v>38</v>
      </c>
      <c r="I186" s="56">
        <v>44652</v>
      </c>
      <c r="J186" s="57">
        <f>EFEITO!$J$186*EFEITO!$Y$186</f>
        <v>0</v>
      </c>
      <c r="K186" s="57">
        <f ca="1">EFEITO!$L$186*EFEITO!$Z$186</f>
        <v>22.116023181134668</v>
      </c>
      <c r="L186" s="57">
        <f>EFEITO!$N$186*EFEITO!$AA$186</f>
        <v>0</v>
      </c>
      <c r="M186" s="57">
        <f>$J$186-EFEITO!$K$186*EFEITO!$Y$186</f>
        <v>0</v>
      </c>
      <c r="N186" s="57">
        <f ca="1">$K$186-EFEITO!$M$186*EFEITO!$Z$186</f>
        <v>0</v>
      </c>
      <c r="O186" s="57">
        <f>$L$186-EFEITO!$O$186*EFEITO!$AA$186</f>
        <v>0</v>
      </c>
      <c r="P186" s="40"/>
      <c r="Q186" s="40"/>
      <c r="R186" s="40"/>
      <c r="S186" s="40"/>
      <c r="T186" s="40"/>
      <c r="U186" s="40"/>
      <c r="V186" s="40"/>
      <c r="W186" s="40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6" t="s">
        <v>21</v>
      </c>
      <c r="B187" s="36" t="s">
        <v>35</v>
      </c>
      <c r="C187" s="36" t="s">
        <v>36</v>
      </c>
      <c r="D187" s="36" t="s">
        <v>34</v>
      </c>
      <c r="E187" s="36" t="s">
        <v>25</v>
      </c>
      <c r="F187" s="36" t="s">
        <v>54</v>
      </c>
      <c r="G187" s="36" t="s">
        <v>25</v>
      </c>
      <c r="H187" s="36" t="s">
        <v>38</v>
      </c>
      <c r="I187" s="56">
        <v>44682</v>
      </c>
      <c r="J187" s="57">
        <f>EFEITO!$J$187*EFEITO!$Y$187</f>
        <v>0</v>
      </c>
      <c r="K187" s="57">
        <f ca="1">EFEITO!$L$187*EFEITO!$Z$187</f>
        <v>139.91346629458005</v>
      </c>
      <c r="L187" s="57">
        <f>EFEITO!$N$187*EFEITO!$AA$187</f>
        <v>0</v>
      </c>
      <c r="M187" s="57">
        <f>$J$187-EFEITO!$K$187*EFEITO!$Y$187</f>
        <v>0</v>
      </c>
      <c r="N187" s="57">
        <f ca="1">$K$187-EFEITO!$M$187*EFEITO!$Z$187</f>
        <v>0</v>
      </c>
      <c r="O187" s="57">
        <f>$L$187-EFEITO!$O$187*EFEITO!$AA$187</f>
        <v>0</v>
      </c>
      <c r="P187" s="40"/>
      <c r="Q187" s="40"/>
      <c r="R187" s="40"/>
      <c r="S187" s="40"/>
      <c r="T187" s="40"/>
      <c r="U187" s="40"/>
      <c r="V187" s="40"/>
      <c r="W187" s="40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6" t="s">
        <v>21</v>
      </c>
      <c r="B188" s="36" t="s">
        <v>35</v>
      </c>
      <c r="C188" s="36" t="s">
        <v>36</v>
      </c>
      <c r="D188" s="36" t="s">
        <v>34</v>
      </c>
      <c r="E188" s="36" t="s">
        <v>25</v>
      </c>
      <c r="F188" s="36" t="s">
        <v>54</v>
      </c>
      <c r="G188" s="36" t="s">
        <v>25</v>
      </c>
      <c r="H188" s="36" t="s">
        <v>38</v>
      </c>
      <c r="I188" s="56">
        <v>44713</v>
      </c>
      <c r="J188" s="57">
        <f>EFEITO!$J$188*EFEITO!$Y$188</f>
        <v>0</v>
      </c>
      <c r="K188" s="57">
        <f ca="1">EFEITO!$L$188*EFEITO!$Z$188</f>
        <v>89.875963847262881</v>
      </c>
      <c r="L188" s="57">
        <f>EFEITO!$N$188*EFEITO!$AA$188</f>
        <v>0</v>
      </c>
      <c r="M188" s="57">
        <f>$J$188-EFEITO!$K$188*EFEITO!$Y$188</f>
        <v>0</v>
      </c>
      <c r="N188" s="57">
        <f ca="1">$K$188-EFEITO!$M$188*EFEITO!$Z$188</f>
        <v>0</v>
      </c>
      <c r="O188" s="57">
        <f>$L$188-EFEITO!$O$188*EFEITO!$AA$188</f>
        <v>0</v>
      </c>
      <c r="P188" s="40"/>
      <c r="Q188" s="40"/>
      <c r="R188" s="40"/>
      <c r="S188" s="40"/>
      <c r="T188" s="40"/>
      <c r="U188" s="40"/>
      <c r="V188" s="40"/>
      <c r="W188" s="40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6" t="s">
        <v>21</v>
      </c>
      <c r="B189" s="36" t="s">
        <v>35</v>
      </c>
      <c r="C189" s="36" t="s">
        <v>36</v>
      </c>
      <c r="D189" s="36" t="s">
        <v>34</v>
      </c>
      <c r="E189" s="36" t="s">
        <v>25</v>
      </c>
      <c r="F189" s="36" t="s">
        <v>54</v>
      </c>
      <c r="G189" s="36" t="s">
        <v>25</v>
      </c>
      <c r="H189" s="36" t="s">
        <v>38</v>
      </c>
      <c r="I189" s="56">
        <v>44743</v>
      </c>
      <c r="J189" s="57">
        <f>EFEITO!$J$189*EFEITO!$Y$189</f>
        <v>0</v>
      </c>
      <c r="K189" s="57">
        <f ca="1">EFEITO!$L$189*EFEITO!$Z$189</f>
        <v>97.152530402841563</v>
      </c>
      <c r="L189" s="57">
        <f>EFEITO!$N$189*EFEITO!$AA$189</f>
        <v>0</v>
      </c>
      <c r="M189" s="57">
        <f>$J$189-EFEITO!$K$189*EFEITO!$Y$189</f>
        <v>0</v>
      </c>
      <c r="N189" s="57">
        <f ca="1">$K$189-EFEITO!$M$189*EFEITO!$Z$189</f>
        <v>0</v>
      </c>
      <c r="O189" s="57">
        <f>$L$189-EFEITO!$O$189*EFEITO!$AA$189</f>
        <v>0</v>
      </c>
      <c r="P189" s="40"/>
      <c r="Q189" s="40"/>
      <c r="R189" s="40"/>
      <c r="S189" s="40"/>
      <c r="T189" s="40"/>
      <c r="U189" s="40"/>
      <c r="V189" s="40"/>
      <c r="W189" s="40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6" t="s">
        <v>21</v>
      </c>
      <c r="B190" s="36" t="s">
        <v>35</v>
      </c>
      <c r="C190" s="36" t="s">
        <v>36</v>
      </c>
      <c r="D190" s="36" t="s">
        <v>34</v>
      </c>
      <c r="E190" s="36" t="s">
        <v>25</v>
      </c>
      <c r="F190" s="36" t="s">
        <v>54</v>
      </c>
      <c r="G190" s="36" t="s">
        <v>25</v>
      </c>
      <c r="H190" s="36" t="s">
        <v>38</v>
      </c>
      <c r="I190" s="56">
        <v>44774</v>
      </c>
      <c r="J190" s="57">
        <f>EFEITO!$J$190*EFEITO!$Y$190</f>
        <v>0</v>
      </c>
      <c r="K190" s="57">
        <f ca="1">EFEITO!$L$190*EFEITO!$Z$190</f>
        <v>96.125715040860314</v>
      </c>
      <c r="L190" s="57">
        <f>EFEITO!$N$190*EFEITO!$AA$190</f>
        <v>0</v>
      </c>
      <c r="M190" s="57">
        <f>$J$190-EFEITO!$K$190*EFEITO!$Y$190</f>
        <v>0</v>
      </c>
      <c r="N190" s="57">
        <f ca="1">$K$190-EFEITO!$M$190*EFEITO!$Z$190</f>
        <v>0</v>
      </c>
      <c r="O190" s="57">
        <f>$L$190-EFEITO!$O$190*EFEITO!$AA$190</f>
        <v>0</v>
      </c>
      <c r="P190" s="40"/>
      <c r="Q190" s="40"/>
      <c r="R190" s="40"/>
      <c r="S190" s="40"/>
      <c r="T190" s="40"/>
      <c r="U190" s="40"/>
      <c r="V190" s="40"/>
      <c r="W190" s="40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6" t="s">
        <v>21</v>
      </c>
      <c r="B191" s="36" t="s">
        <v>35</v>
      </c>
      <c r="C191" s="36" t="s">
        <v>36</v>
      </c>
      <c r="D191" s="36" t="s">
        <v>34</v>
      </c>
      <c r="E191" s="36" t="s">
        <v>25</v>
      </c>
      <c r="F191" s="36" t="s">
        <v>54</v>
      </c>
      <c r="G191" s="36" t="s">
        <v>25</v>
      </c>
      <c r="H191" s="36" t="s">
        <v>25</v>
      </c>
      <c r="I191" s="56">
        <v>44440</v>
      </c>
      <c r="J191" s="57">
        <f ca="1">EFEITO!$J$191*EFEITO!$Y$191</f>
        <v>4979.1301189237247</v>
      </c>
      <c r="K191" s="57">
        <f>EFEITO!$L$191*EFEITO!$Z$191</f>
        <v>0</v>
      </c>
      <c r="L191" s="57">
        <f>EFEITO!$N$191*EFEITO!$AA$191</f>
        <v>0</v>
      </c>
      <c r="M191" s="57">
        <f ca="1">$J$191-EFEITO!$K$191*EFEITO!$Y$191</f>
        <v>0</v>
      </c>
      <c r="N191" s="57">
        <f>$K$191-EFEITO!$M$191*EFEITO!$Z$191</f>
        <v>0</v>
      </c>
      <c r="O191" s="57">
        <f>$L$191-EFEITO!$O$191*EFEITO!$AA$191</f>
        <v>0</v>
      </c>
      <c r="P191" s="40"/>
      <c r="Q191" s="40"/>
      <c r="R191" s="40"/>
      <c r="S191" s="40"/>
      <c r="T191" s="40"/>
      <c r="U191" s="40"/>
      <c r="V191" s="40"/>
      <c r="W191" s="40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6" t="s">
        <v>21</v>
      </c>
      <c r="B192" s="36" t="s">
        <v>35</v>
      </c>
      <c r="C192" s="36" t="s">
        <v>36</v>
      </c>
      <c r="D192" s="36" t="s">
        <v>34</v>
      </c>
      <c r="E192" s="36" t="s">
        <v>25</v>
      </c>
      <c r="F192" s="36" t="s">
        <v>54</v>
      </c>
      <c r="G192" s="36" t="s">
        <v>25</v>
      </c>
      <c r="H192" s="36" t="s">
        <v>25</v>
      </c>
      <c r="I192" s="56">
        <v>44470</v>
      </c>
      <c r="J192" s="57">
        <f ca="1">EFEITO!$J$192*EFEITO!$Y$192</f>
        <v>2808.740067085178</v>
      </c>
      <c r="K192" s="57">
        <f>EFEITO!$L$192*EFEITO!$Z$192</f>
        <v>0</v>
      </c>
      <c r="L192" s="57">
        <f>EFEITO!$N$192*EFEITO!$AA$192</f>
        <v>0</v>
      </c>
      <c r="M192" s="57">
        <f ca="1">$J$192-EFEITO!$K$192*EFEITO!$Y$192</f>
        <v>0</v>
      </c>
      <c r="N192" s="57">
        <f>$K$192-EFEITO!$M$192*EFEITO!$Z$192</f>
        <v>0</v>
      </c>
      <c r="O192" s="57">
        <f>$L$192-EFEITO!$O$192*EFEITO!$AA$192</f>
        <v>0</v>
      </c>
      <c r="P192" s="40"/>
      <c r="Q192" s="40"/>
      <c r="R192" s="40"/>
      <c r="S192" s="40"/>
      <c r="T192" s="40"/>
      <c r="U192" s="40"/>
      <c r="V192" s="40"/>
      <c r="W192" s="40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6" t="s">
        <v>21</v>
      </c>
      <c r="B193" s="36" t="s">
        <v>35</v>
      </c>
      <c r="C193" s="36" t="s">
        <v>36</v>
      </c>
      <c r="D193" s="36" t="s">
        <v>34</v>
      </c>
      <c r="E193" s="36" t="s">
        <v>25</v>
      </c>
      <c r="F193" s="36" t="s">
        <v>54</v>
      </c>
      <c r="G193" s="36" t="s">
        <v>25</v>
      </c>
      <c r="H193" s="36" t="s">
        <v>25</v>
      </c>
      <c r="I193" s="56">
        <v>44501</v>
      </c>
      <c r="J193" s="57">
        <f ca="1">EFEITO!$J$193*EFEITO!$Y$193</f>
        <v>7830.4268536920108</v>
      </c>
      <c r="K193" s="57">
        <f>EFEITO!$L$193*EFEITO!$Z$193</f>
        <v>0</v>
      </c>
      <c r="L193" s="57">
        <f>EFEITO!$N$193*EFEITO!$AA$193</f>
        <v>0</v>
      </c>
      <c r="M193" s="57">
        <f ca="1">$J$193-EFEITO!$K$193*EFEITO!$Y$193</f>
        <v>0</v>
      </c>
      <c r="N193" s="57">
        <f>$K$193-EFEITO!$M$193*EFEITO!$Z$193</f>
        <v>0</v>
      </c>
      <c r="O193" s="57">
        <f>$L$193-EFEITO!$O$193*EFEITO!$AA$193</f>
        <v>0</v>
      </c>
      <c r="P193" s="40"/>
      <c r="Q193" s="40"/>
      <c r="R193" s="40"/>
      <c r="S193" s="40"/>
      <c r="T193" s="40"/>
      <c r="U193" s="40"/>
      <c r="V193" s="40"/>
      <c r="W193" s="40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6" t="s">
        <v>21</v>
      </c>
      <c r="B194" s="36" t="s">
        <v>35</v>
      </c>
      <c r="C194" s="36" t="s">
        <v>36</v>
      </c>
      <c r="D194" s="36" t="s">
        <v>34</v>
      </c>
      <c r="E194" s="36" t="s">
        <v>25</v>
      </c>
      <c r="F194" s="36" t="s">
        <v>54</v>
      </c>
      <c r="G194" s="36" t="s">
        <v>25</v>
      </c>
      <c r="H194" s="36" t="s">
        <v>25</v>
      </c>
      <c r="I194" s="56">
        <v>44531</v>
      </c>
      <c r="J194" s="57">
        <f ca="1">EFEITO!$J$194*EFEITO!$Y$194</f>
        <v>5553.6451326456927</v>
      </c>
      <c r="K194" s="57">
        <f>EFEITO!$L$194*EFEITO!$Z$194</f>
        <v>0</v>
      </c>
      <c r="L194" s="57">
        <f>EFEITO!$N$194*EFEITO!$AA$194</f>
        <v>0</v>
      </c>
      <c r="M194" s="57">
        <f ca="1">$J$194-EFEITO!$K$194*EFEITO!$Y$194</f>
        <v>0</v>
      </c>
      <c r="N194" s="57">
        <f>$K$194-EFEITO!$M$194*EFEITO!$Z$194</f>
        <v>0</v>
      </c>
      <c r="O194" s="57">
        <f>$L$194-EFEITO!$O$194*EFEITO!$AA$194</f>
        <v>0</v>
      </c>
      <c r="P194" s="40"/>
      <c r="Q194" s="40"/>
      <c r="R194" s="40"/>
      <c r="S194" s="40"/>
      <c r="T194" s="40"/>
      <c r="U194" s="40"/>
      <c r="V194" s="40"/>
      <c r="W194" s="40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6" t="s">
        <v>21</v>
      </c>
      <c r="B195" s="36" t="s">
        <v>35</v>
      </c>
      <c r="C195" s="36" t="s">
        <v>36</v>
      </c>
      <c r="D195" s="36" t="s">
        <v>34</v>
      </c>
      <c r="E195" s="36" t="s">
        <v>25</v>
      </c>
      <c r="F195" s="36" t="s">
        <v>54</v>
      </c>
      <c r="G195" s="36" t="s">
        <v>25</v>
      </c>
      <c r="H195" s="36" t="s">
        <v>25</v>
      </c>
      <c r="I195" s="56">
        <v>44562</v>
      </c>
      <c r="J195" s="57">
        <f ca="1">EFEITO!$J$195*EFEITO!$Y$195</f>
        <v>8426.2202012555335</v>
      </c>
      <c r="K195" s="57">
        <f>EFEITO!$L$195*EFEITO!$Z$195</f>
        <v>0</v>
      </c>
      <c r="L195" s="57">
        <f>EFEITO!$N$195*EFEITO!$AA$195</f>
        <v>0</v>
      </c>
      <c r="M195" s="57">
        <f ca="1">$J$195-EFEITO!$K$195*EFEITO!$Y$195</f>
        <v>0</v>
      </c>
      <c r="N195" s="57">
        <f>$K$195-EFEITO!$M$195*EFEITO!$Z$195</f>
        <v>0</v>
      </c>
      <c r="O195" s="57">
        <f>$L$195-EFEITO!$O$195*EFEITO!$AA$195</f>
        <v>0</v>
      </c>
      <c r="P195" s="40"/>
      <c r="Q195" s="40"/>
      <c r="R195" s="40"/>
      <c r="S195" s="40"/>
      <c r="T195" s="40"/>
      <c r="U195" s="40"/>
      <c r="V195" s="40"/>
      <c r="W195" s="40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6" t="s">
        <v>21</v>
      </c>
      <c r="B196" s="36" t="s">
        <v>35</v>
      </c>
      <c r="C196" s="36" t="s">
        <v>36</v>
      </c>
      <c r="D196" s="36" t="s">
        <v>34</v>
      </c>
      <c r="E196" s="36" t="s">
        <v>25</v>
      </c>
      <c r="F196" s="36" t="s">
        <v>54</v>
      </c>
      <c r="G196" s="36" t="s">
        <v>25</v>
      </c>
      <c r="H196" s="36" t="s">
        <v>25</v>
      </c>
      <c r="I196" s="56">
        <v>44593</v>
      </c>
      <c r="J196" s="57">
        <f ca="1">EFEITO!$J$196*EFEITO!$Y$196</f>
        <v>8085.7668597906641</v>
      </c>
      <c r="K196" s="57">
        <f>EFEITO!$L$196*EFEITO!$Z$196</f>
        <v>0</v>
      </c>
      <c r="L196" s="57">
        <f>EFEITO!$N$196*EFEITO!$AA$196</f>
        <v>0</v>
      </c>
      <c r="M196" s="57">
        <f ca="1">$J$196-EFEITO!$K$196*EFEITO!$Y$196</f>
        <v>0</v>
      </c>
      <c r="N196" s="57">
        <f>$K$196-EFEITO!$M$196*EFEITO!$Z$196</f>
        <v>0</v>
      </c>
      <c r="O196" s="57">
        <f>$L$196-EFEITO!$O$196*EFEITO!$AA$196</f>
        <v>0</v>
      </c>
      <c r="P196" s="40"/>
      <c r="Q196" s="40"/>
      <c r="R196" s="40"/>
      <c r="S196" s="40"/>
      <c r="T196" s="40"/>
      <c r="U196" s="40"/>
      <c r="V196" s="40"/>
      <c r="W196" s="40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6" t="s">
        <v>21</v>
      </c>
      <c r="B197" s="36" t="s">
        <v>35</v>
      </c>
      <c r="C197" s="36" t="s">
        <v>36</v>
      </c>
      <c r="D197" s="36" t="s">
        <v>34</v>
      </c>
      <c r="E197" s="36" t="s">
        <v>25</v>
      </c>
      <c r="F197" s="36" t="s">
        <v>54</v>
      </c>
      <c r="G197" s="36" t="s">
        <v>25</v>
      </c>
      <c r="H197" s="36" t="s">
        <v>25</v>
      </c>
      <c r="I197" s="56">
        <v>44621</v>
      </c>
      <c r="J197" s="57">
        <f ca="1">EFEITO!$J$197*EFEITO!$Y$197</f>
        <v>3702.4300884304616</v>
      </c>
      <c r="K197" s="57">
        <f>EFEITO!$L$197*EFEITO!$Z$197</f>
        <v>0</v>
      </c>
      <c r="L197" s="57">
        <f>EFEITO!$N$197*EFEITO!$AA$197</f>
        <v>0</v>
      </c>
      <c r="M197" s="57">
        <f ca="1">$J$197-EFEITO!$K$197*EFEITO!$Y$197</f>
        <v>0</v>
      </c>
      <c r="N197" s="57">
        <f>$K$197-EFEITO!$M$197*EFEITO!$Z$197</f>
        <v>0</v>
      </c>
      <c r="O197" s="57">
        <f>$L$197-EFEITO!$O$197*EFEITO!$AA$197</f>
        <v>0</v>
      </c>
      <c r="P197" s="40"/>
      <c r="Q197" s="40"/>
      <c r="R197" s="40"/>
      <c r="S197" s="40"/>
      <c r="T197" s="40"/>
      <c r="U197" s="40"/>
      <c r="V197" s="40"/>
      <c r="W197" s="40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6" t="s">
        <v>21</v>
      </c>
      <c r="B198" s="36" t="s">
        <v>35</v>
      </c>
      <c r="C198" s="36" t="s">
        <v>36</v>
      </c>
      <c r="D198" s="36" t="s">
        <v>34</v>
      </c>
      <c r="E198" s="36" t="s">
        <v>25</v>
      </c>
      <c r="F198" s="36" t="s">
        <v>54</v>
      </c>
      <c r="G198" s="36" t="s">
        <v>25</v>
      </c>
      <c r="H198" s="36" t="s">
        <v>25</v>
      </c>
      <c r="I198" s="56">
        <v>44652</v>
      </c>
      <c r="J198" s="57">
        <f ca="1">EFEITO!$J$198*EFEITO!$Y$198</f>
        <v>5042.965120448388</v>
      </c>
      <c r="K198" s="57">
        <f>EFEITO!$L$198*EFEITO!$Z$198</f>
        <v>0</v>
      </c>
      <c r="L198" s="57">
        <f>EFEITO!$N$198*EFEITO!$AA$198</f>
        <v>0</v>
      </c>
      <c r="M198" s="57">
        <f ca="1">$J$198-EFEITO!$K$198*EFEITO!$Y$198</f>
        <v>0</v>
      </c>
      <c r="N198" s="57">
        <f>$K$198-EFEITO!$M$198*EFEITO!$Z$198</f>
        <v>0</v>
      </c>
      <c r="O198" s="57">
        <f>$L$198-EFEITO!$O$198*EFEITO!$AA$198</f>
        <v>0</v>
      </c>
      <c r="P198" s="40"/>
      <c r="Q198" s="40"/>
      <c r="R198" s="40"/>
      <c r="S198" s="40"/>
      <c r="T198" s="40"/>
      <c r="U198" s="40"/>
      <c r="V198" s="40"/>
      <c r="W198" s="40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6" t="s">
        <v>21</v>
      </c>
      <c r="B199" s="36" t="s">
        <v>35</v>
      </c>
      <c r="C199" s="36" t="s">
        <v>36</v>
      </c>
      <c r="D199" s="36" t="s">
        <v>34</v>
      </c>
      <c r="E199" s="36" t="s">
        <v>25</v>
      </c>
      <c r="F199" s="36" t="s">
        <v>54</v>
      </c>
      <c r="G199" s="36" t="s">
        <v>25</v>
      </c>
      <c r="H199" s="36" t="s">
        <v>25</v>
      </c>
      <c r="I199" s="56">
        <v>44682</v>
      </c>
      <c r="J199" s="57">
        <f ca="1">EFEITO!$J$199*EFEITO!$Y$199</f>
        <v>8936.9002134528382</v>
      </c>
      <c r="K199" s="57">
        <f>EFEITO!$L$199*EFEITO!$Z$199</f>
        <v>0</v>
      </c>
      <c r="L199" s="57">
        <f>EFEITO!$N$199*EFEITO!$AA$199</f>
        <v>0</v>
      </c>
      <c r="M199" s="57">
        <f ca="1">$J$199-EFEITO!$K$199*EFEITO!$Y$199</f>
        <v>0</v>
      </c>
      <c r="N199" s="57">
        <f>$K$199-EFEITO!$M$199*EFEITO!$Z$199</f>
        <v>0</v>
      </c>
      <c r="O199" s="57">
        <f>$L$199-EFEITO!$O$199*EFEITO!$AA$199</f>
        <v>0</v>
      </c>
      <c r="P199" s="40"/>
      <c r="Q199" s="40"/>
      <c r="R199" s="40"/>
      <c r="S199" s="40"/>
      <c r="T199" s="40"/>
      <c r="U199" s="40"/>
      <c r="V199" s="40"/>
      <c r="W199" s="40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6" t="s">
        <v>21</v>
      </c>
      <c r="B200" s="36" t="s">
        <v>35</v>
      </c>
      <c r="C200" s="36" t="s">
        <v>36</v>
      </c>
      <c r="D200" s="36" t="s">
        <v>34</v>
      </c>
      <c r="E200" s="36" t="s">
        <v>25</v>
      </c>
      <c r="F200" s="36" t="s">
        <v>54</v>
      </c>
      <c r="G200" s="36" t="s">
        <v>25</v>
      </c>
      <c r="H200" s="36" t="s">
        <v>25</v>
      </c>
      <c r="I200" s="56">
        <v>44713</v>
      </c>
      <c r="J200" s="57">
        <f ca="1">EFEITO!$J$200*EFEITO!$Y$200</f>
        <v>8319.8285320477626</v>
      </c>
      <c r="K200" s="57">
        <f>EFEITO!$L$200*EFEITO!$Z$200</f>
        <v>0</v>
      </c>
      <c r="L200" s="57">
        <f>EFEITO!$N$200*EFEITO!$AA$200</f>
        <v>0</v>
      </c>
      <c r="M200" s="57">
        <f ca="1">$J$200-EFEITO!$K$200*EFEITO!$Y$200</f>
        <v>0</v>
      </c>
      <c r="N200" s="57">
        <f>$K$200-EFEITO!$M$200*EFEITO!$Z$200</f>
        <v>0</v>
      </c>
      <c r="O200" s="57">
        <f>$L$200-EFEITO!$O$200*EFEITO!$AA$200</f>
        <v>0</v>
      </c>
      <c r="P200" s="40"/>
      <c r="Q200" s="40"/>
      <c r="R200" s="40"/>
      <c r="S200" s="40"/>
      <c r="T200" s="40"/>
      <c r="U200" s="40"/>
      <c r="V200" s="40"/>
      <c r="W200" s="40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6" t="s">
        <v>21</v>
      </c>
      <c r="B201" s="36" t="s">
        <v>35</v>
      </c>
      <c r="C201" s="36" t="s">
        <v>36</v>
      </c>
      <c r="D201" s="36" t="s">
        <v>34</v>
      </c>
      <c r="E201" s="36" t="s">
        <v>25</v>
      </c>
      <c r="F201" s="36" t="s">
        <v>54</v>
      </c>
      <c r="G201" s="36" t="s">
        <v>25</v>
      </c>
      <c r="H201" s="36" t="s">
        <v>25</v>
      </c>
      <c r="I201" s="56">
        <v>44743</v>
      </c>
      <c r="J201" s="57">
        <f ca="1">EFEITO!$J$201*EFEITO!$Y$201</f>
        <v>5468.5317972794755</v>
      </c>
      <c r="K201" s="57">
        <f>EFEITO!$L$201*EFEITO!$Z$201</f>
        <v>0</v>
      </c>
      <c r="L201" s="57">
        <f>EFEITO!$N$201*EFEITO!$AA$201</f>
        <v>0</v>
      </c>
      <c r="M201" s="57">
        <f ca="1">$J$201-EFEITO!$K$201*EFEITO!$Y$201</f>
        <v>0</v>
      </c>
      <c r="N201" s="57">
        <f>$K$201-EFEITO!$M$201*EFEITO!$Z$201</f>
        <v>0</v>
      </c>
      <c r="O201" s="57">
        <f>$L$201-EFEITO!$O$201*EFEITO!$AA$201</f>
        <v>0</v>
      </c>
      <c r="P201" s="40"/>
      <c r="Q201" s="40"/>
      <c r="R201" s="40"/>
      <c r="S201" s="40"/>
      <c r="T201" s="40"/>
      <c r="U201" s="40"/>
      <c r="V201" s="40"/>
      <c r="W201" s="40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6" t="s">
        <v>21</v>
      </c>
      <c r="B202" s="36" t="s">
        <v>35</v>
      </c>
      <c r="C202" s="36" t="s">
        <v>36</v>
      </c>
      <c r="D202" s="36" t="s">
        <v>34</v>
      </c>
      <c r="E202" s="36" t="s">
        <v>25</v>
      </c>
      <c r="F202" s="36" t="s">
        <v>54</v>
      </c>
      <c r="G202" s="36" t="s">
        <v>25</v>
      </c>
      <c r="H202" s="36" t="s">
        <v>25</v>
      </c>
      <c r="I202" s="56">
        <v>44774</v>
      </c>
      <c r="J202" s="57">
        <f ca="1">EFEITO!$J$202*EFEITO!$Y$202</f>
        <v>12554.216966517082</v>
      </c>
      <c r="K202" s="57">
        <f>EFEITO!$L$202*EFEITO!$Z$202</f>
        <v>0</v>
      </c>
      <c r="L202" s="57">
        <f>EFEITO!$N$202*EFEITO!$AA$202</f>
        <v>0</v>
      </c>
      <c r="M202" s="57">
        <f ca="1">$J$202-EFEITO!$K$202*EFEITO!$Y$202</f>
        <v>0</v>
      </c>
      <c r="N202" s="57">
        <f>$K$202-EFEITO!$M$202*EFEITO!$Z$202</f>
        <v>0</v>
      </c>
      <c r="O202" s="57">
        <f>$L$202-EFEITO!$O$202*EFEITO!$AA$202</f>
        <v>0</v>
      </c>
      <c r="P202" s="40"/>
      <c r="Q202" s="40"/>
      <c r="R202" s="40"/>
      <c r="S202" s="40"/>
      <c r="T202" s="40"/>
      <c r="U202" s="40"/>
      <c r="V202" s="40"/>
      <c r="W202" s="40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6" t="s">
        <v>21</v>
      </c>
      <c r="B203" s="36" t="s">
        <v>35</v>
      </c>
      <c r="C203" s="36" t="s">
        <v>36</v>
      </c>
      <c r="D203" s="36" t="s">
        <v>34</v>
      </c>
      <c r="E203" s="36" t="s">
        <v>25</v>
      </c>
      <c r="F203" s="36" t="s">
        <v>54</v>
      </c>
      <c r="G203" s="36" t="s">
        <v>25</v>
      </c>
      <c r="H203" s="36" t="s">
        <v>37</v>
      </c>
      <c r="I203" s="56">
        <v>44531</v>
      </c>
      <c r="J203" s="57">
        <f>EFEITO!$J$203*EFEITO!$Y$203</f>
        <v>0</v>
      </c>
      <c r="K203" s="57">
        <f ca="1">EFEITO!$L$203*EFEITO!$Z$203</f>
        <v>43.270463575047032</v>
      </c>
      <c r="L203" s="57">
        <f>EFEITO!$N$203*EFEITO!$AA$203</f>
        <v>0</v>
      </c>
      <c r="M203" s="57">
        <f>$J$203-EFEITO!$K$203*EFEITO!$Y$203</f>
        <v>0</v>
      </c>
      <c r="N203" s="57">
        <f ca="1">$K$203-EFEITO!$M$203*EFEITO!$Z$203</f>
        <v>0</v>
      </c>
      <c r="O203" s="57">
        <f>$L$203-EFEITO!$O$203*EFEITO!$AA$203</f>
        <v>0</v>
      </c>
      <c r="P203" s="40"/>
      <c r="Q203" s="40"/>
      <c r="R203" s="40"/>
      <c r="S203" s="40"/>
      <c r="T203" s="40"/>
      <c r="U203" s="40"/>
      <c r="V203" s="40"/>
      <c r="W203" s="40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6" t="s">
        <v>21</v>
      </c>
      <c r="B204" s="36" t="s">
        <v>35</v>
      </c>
      <c r="C204" s="36" t="s">
        <v>36</v>
      </c>
      <c r="D204" s="36" t="s">
        <v>34</v>
      </c>
      <c r="E204" s="36" t="s">
        <v>25</v>
      </c>
      <c r="F204" s="36" t="s">
        <v>54</v>
      </c>
      <c r="G204" s="36" t="s">
        <v>25</v>
      </c>
      <c r="H204" s="36" t="s">
        <v>37</v>
      </c>
      <c r="I204" s="56">
        <v>44562</v>
      </c>
      <c r="J204" s="57">
        <f>EFEITO!$J$204*EFEITO!$Y$204</f>
        <v>0</v>
      </c>
      <c r="K204" s="57">
        <f ca="1">EFEITO!$L$204*EFEITO!$Z$204</f>
        <v>410.26809908192746</v>
      </c>
      <c r="L204" s="57">
        <f>EFEITO!$N$204*EFEITO!$AA$204</f>
        <v>0</v>
      </c>
      <c r="M204" s="57">
        <f>$J$204-EFEITO!$K$204*EFEITO!$Y$204</f>
        <v>0</v>
      </c>
      <c r="N204" s="57">
        <f ca="1">$K$204-EFEITO!$M$204*EFEITO!$Z$204</f>
        <v>0</v>
      </c>
      <c r="O204" s="57">
        <f>$L$204-EFEITO!$O$204*EFEITO!$AA$204</f>
        <v>0</v>
      </c>
      <c r="P204" s="40"/>
      <c r="Q204" s="40"/>
      <c r="R204" s="40"/>
      <c r="S204" s="40"/>
      <c r="T204" s="40"/>
      <c r="U204" s="40"/>
      <c r="V204" s="40"/>
      <c r="W204" s="40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6" t="s">
        <v>21</v>
      </c>
      <c r="B205" s="36" t="s">
        <v>35</v>
      </c>
      <c r="C205" s="36" t="s">
        <v>36</v>
      </c>
      <c r="D205" s="36" t="s">
        <v>34</v>
      </c>
      <c r="E205" s="36" t="s">
        <v>25</v>
      </c>
      <c r="F205" s="36" t="s">
        <v>54</v>
      </c>
      <c r="G205" s="36" t="s">
        <v>25</v>
      </c>
      <c r="H205" s="36" t="s">
        <v>37</v>
      </c>
      <c r="I205" s="56">
        <v>44621</v>
      </c>
      <c r="J205" s="57">
        <f>EFEITO!$J$205*EFEITO!$Y$205</f>
        <v>0</v>
      </c>
      <c r="K205" s="57">
        <f ca="1">EFEITO!$L$205*EFEITO!$Z$205</f>
        <v>83.335707626016514</v>
      </c>
      <c r="L205" s="57">
        <f>EFEITO!$N$205*EFEITO!$AA$205</f>
        <v>0</v>
      </c>
      <c r="M205" s="57">
        <f>$J$205-EFEITO!$K$205*EFEITO!$Y$205</f>
        <v>0</v>
      </c>
      <c r="N205" s="57">
        <f ca="1">$K$205-EFEITO!$M$205*EFEITO!$Z$205</f>
        <v>0</v>
      </c>
      <c r="O205" s="57">
        <f>$L$205-EFEITO!$O$205*EFEITO!$AA$205</f>
        <v>0</v>
      </c>
      <c r="P205" s="40"/>
      <c r="Q205" s="40"/>
      <c r="R205" s="40"/>
      <c r="S205" s="40"/>
      <c r="T205" s="40"/>
      <c r="U205" s="40"/>
      <c r="V205" s="40"/>
      <c r="W205" s="40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6" t="s">
        <v>21</v>
      </c>
      <c r="B206" s="36" t="s">
        <v>35</v>
      </c>
      <c r="C206" s="36" t="s">
        <v>36</v>
      </c>
      <c r="D206" s="36" t="s">
        <v>34</v>
      </c>
      <c r="E206" s="36" t="s">
        <v>25</v>
      </c>
      <c r="F206" s="36" t="s">
        <v>54</v>
      </c>
      <c r="G206" s="36" t="s">
        <v>25</v>
      </c>
      <c r="H206" s="36" t="s">
        <v>37</v>
      </c>
      <c r="I206" s="56">
        <v>44682</v>
      </c>
      <c r="J206" s="57">
        <f>EFEITO!$J$206*EFEITO!$Y$206</f>
        <v>0</v>
      </c>
      <c r="K206" s="57">
        <f ca="1">EFEITO!$L$206*EFEITO!$Z$206</f>
        <v>838.16490554628149</v>
      </c>
      <c r="L206" s="57">
        <f>EFEITO!$N$206*EFEITO!$AA$206</f>
        <v>0</v>
      </c>
      <c r="M206" s="57">
        <f>$J$206-EFEITO!$K$206*EFEITO!$Y$206</f>
        <v>0</v>
      </c>
      <c r="N206" s="57">
        <f ca="1">$K$206-EFEITO!$M$206*EFEITO!$Z$206</f>
        <v>0</v>
      </c>
      <c r="O206" s="57">
        <f>$L$206-EFEITO!$O$206*EFEITO!$AA$206</f>
        <v>0</v>
      </c>
      <c r="P206" s="40"/>
      <c r="Q206" s="40"/>
      <c r="R206" s="40"/>
      <c r="S206" s="40"/>
      <c r="T206" s="40"/>
      <c r="U206" s="40"/>
      <c r="V206" s="40"/>
      <c r="W206" s="40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6" t="s">
        <v>21</v>
      </c>
      <c r="B207" s="36" t="s">
        <v>35</v>
      </c>
      <c r="C207" s="36" t="s">
        <v>36</v>
      </c>
      <c r="D207" s="36" t="s">
        <v>34</v>
      </c>
      <c r="E207" s="36" t="s">
        <v>25</v>
      </c>
      <c r="F207" s="36" t="s">
        <v>54</v>
      </c>
      <c r="G207" s="36" t="s">
        <v>25</v>
      </c>
      <c r="H207" s="36" t="s">
        <v>37</v>
      </c>
      <c r="I207" s="56">
        <v>44743</v>
      </c>
      <c r="J207" s="57">
        <f>EFEITO!$J$207*EFEITO!$Y$207</f>
        <v>0</v>
      </c>
      <c r="K207" s="57">
        <f ca="1">EFEITO!$L$207*EFEITO!$Z$207</f>
        <v>182.69751287242082</v>
      </c>
      <c r="L207" s="57">
        <f>EFEITO!$N$207*EFEITO!$AA$207</f>
        <v>0</v>
      </c>
      <c r="M207" s="57">
        <f>$J$207-EFEITO!$K$207*EFEITO!$Y$207</f>
        <v>0</v>
      </c>
      <c r="N207" s="57">
        <f ca="1">$K$207-EFEITO!$M$207*EFEITO!$Z$207</f>
        <v>0</v>
      </c>
      <c r="O207" s="57">
        <f>$L$207-EFEITO!$O$207*EFEITO!$AA$207</f>
        <v>0</v>
      </c>
      <c r="P207" s="40"/>
      <c r="Q207" s="40"/>
      <c r="R207" s="40"/>
      <c r="S207" s="40"/>
      <c r="T207" s="40"/>
      <c r="U207" s="40"/>
      <c r="V207" s="40"/>
      <c r="W207" s="40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6" t="s">
        <v>21</v>
      </c>
      <c r="B208" s="36" t="s">
        <v>35</v>
      </c>
      <c r="C208" s="36" t="s">
        <v>36</v>
      </c>
      <c r="D208" s="36" t="s">
        <v>34</v>
      </c>
      <c r="E208" s="36" t="s">
        <v>25</v>
      </c>
      <c r="F208" s="36" t="s">
        <v>54</v>
      </c>
      <c r="G208" s="36" t="s">
        <v>25</v>
      </c>
      <c r="H208" s="36" t="s">
        <v>37</v>
      </c>
      <c r="I208" s="56">
        <v>44774</v>
      </c>
      <c r="J208" s="57">
        <f>EFEITO!$J$208*EFEITO!$Y$208</f>
        <v>0</v>
      </c>
      <c r="K208" s="57">
        <f ca="1">EFEITO!$L$208*EFEITO!$Z$208</f>
        <v>96.156585722326739</v>
      </c>
      <c r="L208" s="57">
        <f>EFEITO!$N$208*EFEITO!$AA$208</f>
        <v>0</v>
      </c>
      <c r="M208" s="57">
        <f>$J$208-EFEITO!$K$208*EFEITO!$Y$208</f>
        <v>0</v>
      </c>
      <c r="N208" s="57">
        <f ca="1">$K$208-EFEITO!$M$208*EFEITO!$Z$208</f>
        <v>0</v>
      </c>
      <c r="O208" s="57">
        <f>$L$208-EFEITO!$O$208*EFEITO!$AA$208</f>
        <v>0</v>
      </c>
      <c r="P208" s="40"/>
      <c r="Q208" s="40"/>
      <c r="R208" s="40"/>
      <c r="S208" s="40"/>
      <c r="T208" s="40"/>
      <c r="U208" s="40"/>
      <c r="V208" s="40"/>
      <c r="W208" s="40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6" t="s">
        <v>21</v>
      </c>
      <c r="B209" s="36" t="s">
        <v>35</v>
      </c>
      <c r="C209" s="36" t="s">
        <v>36</v>
      </c>
      <c r="D209" s="36" t="s">
        <v>34</v>
      </c>
      <c r="E209" s="36" t="s">
        <v>25</v>
      </c>
      <c r="F209" s="36" t="s">
        <v>25</v>
      </c>
      <c r="G209" s="36" t="s">
        <v>25</v>
      </c>
      <c r="H209" s="36" t="s">
        <v>38</v>
      </c>
      <c r="I209" s="56">
        <v>44440</v>
      </c>
      <c r="J209" s="57">
        <f>EFEITO!$J$209*EFEITO!$Y$209</f>
        <v>0</v>
      </c>
      <c r="K209" s="57">
        <f ca="1">EFEITO!$L$209*EFEITO!$Z$209</f>
        <v>334786.18201318762</v>
      </c>
      <c r="L209" s="57">
        <f>EFEITO!$N$209*EFEITO!$AA$209</f>
        <v>661795.64747081546</v>
      </c>
      <c r="M209" s="57">
        <f>$J$209-EFEITO!$K$209*EFEITO!$Y$209</f>
        <v>0</v>
      </c>
      <c r="N209" s="57">
        <f ca="1">$K$209-EFEITO!$M$209*EFEITO!$Z$209</f>
        <v>0</v>
      </c>
      <c r="O209" s="57">
        <f>$L$209-EFEITO!$O$209*EFEITO!$AA$209</f>
        <v>0</v>
      </c>
      <c r="P209" s="40"/>
      <c r="Q209" s="40"/>
      <c r="R209" s="40"/>
      <c r="S209" s="40"/>
      <c r="T209" s="40"/>
      <c r="U209" s="40"/>
      <c r="V209" s="40"/>
      <c r="W209" s="40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6" t="s">
        <v>28</v>
      </c>
      <c r="B210" s="36" t="s">
        <v>35</v>
      </c>
      <c r="C210" s="36" t="s">
        <v>36</v>
      </c>
      <c r="D210" s="36" t="s">
        <v>34</v>
      </c>
      <c r="E210" s="36" t="s">
        <v>25</v>
      </c>
      <c r="F210" s="36" t="s">
        <v>25</v>
      </c>
      <c r="G210" s="36" t="s">
        <v>25</v>
      </c>
      <c r="H210" s="36" t="s">
        <v>38</v>
      </c>
      <c r="I210" s="56">
        <v>44440</v>
      </c>
      <c r="J210" s="57">
        <f>EFEITO!$J$210*EFEITO!$Y$210</f>
        <v>0</v>
      </c>
      <c r="K210" s="57">
        <f ca="1">EFEITO!$L$210*EFEITO!$Z$210</f>
        <v>2621.2352768273008</v>
      </c>
      <c r="L210" s="57">
        <f>EFEITO!$N$210*EFEITO!$AA$210</f>
        <v>5181.5821273439924</v>
      </c>
      <c r="M210" s="57">
        <f>$J$210-EFEITO!$K$210*EFEITO!$Y$210</f>
        <v>0</v>
      </c>
      <c r="N210" s="57">
        <f ca="1">$K$210-EFEITO!$M$210*EFEITO!$Z$210</f>
        <v>0</v>
      </c>
      <c r="O210" s="57">
        <f>$L$210-EFEITO!$O$210*EFEITO!$AA$210</f>
        <v>0</v>
      </c>
      <c r="P210" s="40"/>
      <c r="Q210" s="40"/>
      <c r="R210" s="40"/>
      <c r="S210" s="40"/>
      <c r="T210" s="40"/>
      <c r="U210" s="40"/>
      <c r="V210" s="40"/>
      <c r="W210" s="40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6" t="s">
        <v>21</v>
      </c>
      <c r="B211" s="36" t="s">
        <v>35</v>
      </c>
      <c r="C211" s="36" t="s">
        <v>36</v>
      </c>
      <c r="D211" s="36" t="s">
        <v>34</v>
      </c>
      <c r="E211" s="36" t="s">
        <v>25</v>
      </c>
      <c r="F211" s="36" t="s">
        <v>25</v>
      </c>
      <c r="G211" s="36" t="s">
        <v>25</v>
      </c>
      <c r="H211" s="36" t="s">
        <v>38</v>
      </c>
      <c r="I211" s="56">
        <v>44470</v>
      </c>
      <c r="J211" s="57">
        <f>EFEITO!$J$211*EFEITO!$Y$211</f>
        <v>0</v>
      </c>
      <c r="K211" s="57">
        <f ca="1">EFEITO!$L$211*EFEITO!$Z$211</f>
        <v>326833.68527153478</v>
      </c>
      <c r="L211" s="57">
        <f>EFEITO!$N$211*EFEITO!$AA$211</f>
        <v>646075.38178211881</v>
      </c>
      <c r="M211" s="57">
        <f>$J$211-EFEITO!$K$211*EFEITO!$Y$211</f>
        <v>0</v>
      </c>
      <c r="N211" s="57">
        <f ca="1">$K$211-EFEITO!$M$211*EFEITO!$Z$211</f>
        <v>0</v>
      </c>
      <c r="O211" s="57">
        <f>$L$211-EFEITO!$O$211*EFEITO!$AA$211</f>
        <v>0</v>
      </c>
      <c r="P211" s="40"/>
      <c r="Q211" s="40"/>
      <c r="R211" s="40"/>
      <c r="S211" s="40"/>
      <c r="T211" s="40"/>
      <c r="U211" s="40"/>
      <c r="V211" s="40"/>
      <c r="W211" s="40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6" t="s">
        <v>28</v>
      </c>
      <c r="B212" s="36" t="s">
        <v>35</v>
      </c>
      <c r="C212" s="36" t="s">
        <v>36</v>
      </c>
      <c r="D212" s="36" t="s">
        <v>34</v>
      </c>
      <c r="E212" s="36" t="s">
        <v>25</v>
      </c>
      <c r="F212" s="36" t="s">
        <v>25</v>
      </c>
      <c r="G212" s="36" t="s">
        <v>25</v>
      </c>
      <c r="H212" s="36" t="s">
        <v>38</v>
      </c>
      <c r="I212" s="56">
        <v>44470</v>
      </c>
      <c r="J212" s="57">
        <f>EFEITO!$J$212*EFEITO!$Y$212</f>
        <v>0</v>
      </c>
      <c r="K212" s="57">
        <f ca="1">EFEITO!$L$212*EFEITO!$Z$212</f>
        <v>4948.2156220800016</v>
      </c>
      <c r="L212" s="57">
        <f>EFEITO!$N$212*EFEITO!$AA$212</f>
        <v>9781.4896115116371</v>
      </c>
      <c r="M212" s="57">
        <f>$J$212-EFEITO!$K$212*EFEITO!$Y$212</f>
        <v>0</v>
      </c>
      <c r="N212" s="57">
        <f ca="1">$K$212-EFEITO!$M$212*EFEITO!$Z$212</f>
        <v>0</v>
      </c>
      <c r="O212" s="57">
        <f>$L$212-EFEITO!$O$212*EFEITO!$AA$212</f>
        <v>0</v>
      </c>
      <c r="P212" s="40"/>
      <c r="Q212" s="40"/>
      <c r="R212" s="40"/>
      <c r="S212" s="40"/>
      <c r="T212" s="40"/>
      <c r="U212" s="40"/>
      <c r="V212" s="40"/>
      <c r="W212" s="40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6" t="s">
        <v>21</v>
      </c>
      <c r="B213" s="36" t="s">
        <v>35</v>
      </c>
      <c r="C213" s="36" t="s">
        <v>36</v>
      </c>
      <c r="D213" s="36" t="s">
        <v>34</v>
      </c>
      <c r="E213" s="36" t="s">
        <v>25</v>
      </c>
      <c r="F213" s="36" t="s">
        <v>25</v>
      </c>
      <c r="G213" s="36" t="s">
        <v>25</v>
      </c>
      <c r="H213" s="36" t="s">
        <v>38</v>
      </c>
      <c r="I213" s="56">
        <v>44501</v>
      </c>
      <c r="J213" s="57">
        <f>EFEITO!$J$213*EFEITO!$Y$213</f>
        <v>0</v>
      </c>
      <c r="K213" s="57">
        <f ca="1">EFEITO!$L$213*EFEITO!$Z$213</f>
        <v>324666.69318453327</v>
      </c>
      <c r="L213" s="57">
        <f>EFEITO!$N$213*EFEITO!$AA$213</f>
        <v>641791.73446233536</v>
      </c>
      <c r="M213" s="57">
        <f>$J$213-EFEITO!$K$213*EFEITO!$Y$213</f>
        <v>0</v>
      </c>
      <c r="N213" s="57">
        <f ca="1">$K$213-EFEITO!$M$213*EFEITO!$Z$213</f>
        <v>0</v>
      </c>
      <c r="O213" s="57">
        <f>$L$213-EFEITO!$O$213*EFEITO!$AA$213</f>
        <v>0</v>
      </c>
      <c r="P213" s="40"/>
      <c r="Q213" s="40"/>
      <c r="R213" s="40"/>
      <c r="S213" s="40"/>
      <c r="T213" s="40"/>
      <c r="U213" s="40"/>
      <c r="V213" s="40"/>
      <c r="W213" s="40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6" t="s">
        <v>28</v>
      </c>
      <c r="B214" s="36" t="s">
        <v>35</v>
      </c>
      <c r="C214" s="36" t="s">
        <v>36</v>
      </c>
      <c r="D214" s="36" t="s">
        <v>34</v>
      </c>
      <c r="E214" s="36" t="s">
        <v>25</v>
      </c>
      <c r="F214" s="36" t="s">
        <v>25</v>
      </c>
      <c r="G214" s="36" t="s">
        <v>25</v>
      </c>
      <c r="H214" s="36" t="s">
        <v>38</v>
      </c>
      <c r="I214" s="56">
        <v>44501</v>
      </c>
      <c r="J214" s="57">
        <f>EFEITO!$J$214*EFEITO!$Y$214</f>
        <v>0</v>
      </c>
      <c r="K214" s="57">
        <f ca="1">EFEITO!$L$214*EFEITO!$Z$214</f>
        <v>4689.1478186867007</v>
      </c>
      <c r="L214" s="57">
        <f>EFEITO!$N$214*EFEITO!$AA$214</f>
        <v>9269.3718662256069</v>
      </c>
      <c r="M214" s="57">
        <f>$J$214-EFEITO!$K$214*EFEITO!$Y$214</f>
        <v>0</v>
      </c>
      <c r="N214" s="57">
        <f ca="1">$K$214-EFEITO!$M$214*EFEITO!$Z$214</f>
        <v>0</v>
      </c>
      <c r="O214" s="57">
        <f>$L$214-EFEITO!$O$214*EFEITO!$AA$214</f>
        <v>0</v>
      </c>
      <c r="P214" s="40"/>
      <c r="Q214" s="40"/>
      <c r="R214" s="40"/>
      <c r="S214" s="40"/>
      <c r="T214" s="40"/>
      <c r="U214" s="40"/>
      <c r="V214" s="40"/>
      <c r="W214" s="40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6" t="s">
        <v>21</v>
      </c>
      <c r="B215" s="36" t="s">
        <v>35</v>
      </c>
      <c r="C215" s="36" t="s">
        <v>36</v>
      </c>
      <c r="D215" s="36" t="s">
        <v>34</v>
      </c>
      <c r="E215" s="36" t="s">
        <v>25</v>
      </c>
      <c r="F215" s="36" t="s">
        <v>25</v>
      </c>
      <c r="G215" s="36" t="s">
        <v>25</v>
      </c>
      <c r="H215" s="36" t="s">
        <v>38</v>
      </c>
      <c r="I215" s="56">
        <v>44531</v>
      </c>
      <c r="J215" s="57">
        <f>EFEITO!$J$215*EFEITO!$Y$215</f>
        <v>0</v>
      </c>
      <c r="K215" s="57">
        <f ca="1">EFEITO!$L$215*EFEITO!$Z$215</f>
        <v>287244.46215934458</v>
      </c>
      <c r="L215" s="57">
        <f>EFEITO!$N$215*EFEITO!$AA$215</f>
        <v>567816.54987678514</v>
      </c>
      <c r="M215" s="57">
        <f>$J$215-EFEITO!$K$215*EFEITO!$Y$215</f>
        <v>0</v>
      </c>
      <c r="N215" s="57">
        <f ca="1">$K$215-EFEITO!$M$215*EFEITO!$Z$215</f>
        <v>0</v>
      </c>
      <c r="O215" s="57">
        <f>$L$215-EFEITO!$O$215*EFEITO!$AA$215</f>
        <v>0</v>
      </c>
      <c r="P215" s="40"/>
      <c r="Q215" s="40"/>
      <c r="R215" s="40"/>
      <c r="S215" s="40"/>
      <c r="T215" s="40"/>
      <c r="U215" s="40"/>
      <c r="V215" s="40"/>
      <c r="W215" s="40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6" t="s">
        <v>28</v>
      </c>
      <c r="B216" s="36" t="s">
        <v>35</v>
      </c>
      <c r="C216" s="36" t="s">
        <v>36</v>
      </c>
      <c r="D216" s="36" t="s">
        <v>34</v>
      </c>
      <c r="E216" s="36" t="s">
        <v>25</v>
      </c>
      <c r="F216" s="36" t="s">
        <v>25</v>
      </c>
      <c r="G216" s="36" t="s">
        <v>25</v>
      </c>
      <c r="H216" s="36" t="s">
        <v>38</v>
      </c>
      <c r="I216" s="56">
        <v>44531</v>
      </c>
      <c r="J216" s="57">
        <f>EFEITO!$J$216*EFEITO!$Y$216</f>
        <v>0</v>
      </c>
      <c r="K216" s="57">
        <f ca="1">EFEITO!$L$216*EFEITO!$Z$216</f>
        <v>1830.3479834657801</v>
      </c>
      <c r="L216" s="57">
        <f>EFEITO!$N$216*EFEITO!$AA$216</f>
        <v>3618.17898675078</v>
      </c>
      <c r="M216" s="57">
        <f>$J$216-EFEITO!$K$216*EFEITO!$Y$216</f>
        <v>0</v>
      </c>
      <c r="N216" s="57">
        <f ca="1">$K$216-EFEITO!$M$216*EFEITO!$Z$216</f>
        <v>0</v>
      </c>
      <c r="O216" s="57">
        <f>$L$216-EFEITO!$O$216*EFEITO!$AA$216</f>
        <v>0</v>
      </c>
      <c r="P216" s="40"/>
      <c r="Q216" s="40"/>
      <c r="R216" s="40"/>
      <c r="S216" s="40"/>
      <c r="T216" s="40"/>
      <c r="U216" s="40"/>
      <c r="V216" s="40"/>
      <c r="W216" s="40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6" t="s">
        <v>21</v>
      </c>
      <c r="B217" s="36" t="s">
        <v>35</v>
      </c>
      <c r="C217" s="36" t="s">
        <v>36</v>
      </c>
      <c r="D217" s="36" t="s">
        <v>34</v>
      </c>
      <c r="E217" s="36" t="s">
        <v>25</v>
      </c>
      <c r="F217" s="36" t="s">
        <v>25</v>
      </c>
      <c r="G217" s="36" t="s">
        <v>25</v>
      </c>
      <c r="H217" s="36" t="s">
        <v>38</v>
      </c>
      <c r="I217" s="56">
        <v>44562</v>
      </c>
      <c r="J217" s="57">
        <f>EFEITO!$J$217*EFEITO!$Y$217</f>
        <v>0</v>
      </c>
      <c r="K217" s="57">
        <f ca="1">EFEITO!$L$217*EFEITO!$Z$217</f>
        <v>309281.79014846875</v>
      </c>
      <c r="L217" s="57">
        <f>EFEITO!$N$217*EFEITO!$AA$217</f>
        <v>611379.30284761905</v>
      </c>
      <c r="M217" s="57">
        <f>$J$217-EFEITO!$K$217*EFEITO!$Y$217</f>
        <v>0</v>
      </c>
      <c r="N217" s="57">
        <f ca="1">$K$217-EFEITO!$M$217*EFEITO!$Z$217</f>
        <v>0</v>
      </c>
      <c r="O217" s="57">
        <f>$L$217-EFEITO!$O$217*EFEITO!$AA$217</f>
        <v>0</v>
      </c>
      <c r="P217" s="40"/>
      <c r="Q217" s="40"/>
      <c r="R217" s="40"/>
      <c r="S217" s="40"/>
      <c r="T217" s="40"/>
      <c r="U217" s="40"/>
      <c r="V217" s="40"/>
      <c r="W217" s="40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6" t="s">
        <v>28</v>
      </c>
      <c r="B218" s="36" t="s">
        <v>35</v>
      </c>
      <c r="C218" s="36" t="s">
        <v>36</v>
      </c>
      <c r="D218" s="36" t="s">
        <v>34</v>
      </c>
      <c r="E218" s="36" t="s">
        <v>25</v>
      </c>
      <c r="F218" s="36" t="s">
        <v>25</v>
      </c>
      <c r="G218" s="36" t="s">
        <v>25</v>
      </c>
      <c r="H218" s="36" t="s">
        <v>38</v>
      </c>
      <c r="I218" s="56">
        <v>44562</v>
      </c>
      <c r="J218" s="57">
        <f>EFEITO!$J$218*EFEITO!$Y$218</f>
        <v>0</v>
      </c>
      <c r="K218" s="57">
        <f ca="1">EFEITO!$L$218*EFEITO!$Z$218</f>
        <v>2429.6609122846767</v>
      </c>
      <c r="L218" s="57">
        <f>EFEITO!$N$218*EFEITO!$AA$218</f>
        <v>4802.8834610522581</v>
      </c>
      <c r="M218" s="57">
        <f>$J$218-EFEITO!$K$218*EFEITO!$Y$218</f>
        <v>0</v>
      </c>
      <c r="N218" s="57">
        <f ca="1">$K$218-EFEITO!$M$218*EFEITO!$Z$218</f>
        <v>0</v>
      </c>
      <c r="O218" s="57">
        <f>$L$218-EFEITO!$O$218*EFEITO!$AA$218</f>
        <v>0</v>
      </c>
      <c r="P218" s="40"/>
      <c r="Q218" s="40"/>
      <c r="R218" s="40"/>
      <c r="S218" s="40"/>
      <c r="T218" s="40"/>
      <c r="U218" s="40"/>
      <c r="V218" s="40"/>
      <c r="W218" s="40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6" t="s">
        <v>21</v>
      </c>
      <c r="B219" s="36" t="s">
        <v>35</v>
      </c>
      <c r="C219" s="36" t="s">
        <v>36</v>
      </c>
      <c r="D219" s="36" t="s">
        <v>34</v>
      </c>
      <c r="E219" s="36" t="s">
        <v>25</v>
      </c>
      <c r="F219" s="36" t="s">
        <v>25</v>
      </c>
      <c r="G219" s="36" t="s">
        <v>25</v>
      </c>
      <c r="H219" s="36" t="s">
        <v>38</v>
      </c>
      <c r="I219" s="56">
        <v>44593</v>
      </c>
      <c r="J219" s="57">
        <f>EFEITO!$J$219*EFEITO!$Y$219</f>
        <v>0</v>
      </c>
      <c r="K219" s="57">
        <f ca="1">EFEITO!$L$219*EFEITO!$Z$219</f>
        <v>322510.91570856032</v>
      </c>
      <c r="L219" s="57">
        <f>EFEITO!$N$219*EFEITO!$AA$219</f>
        <v>637530.25586147036</v>
      </c>
      <c r="M219" s="57">
        <f>$J$219-EFEITO!$K$219*EFEITO!$Y$219</f>
        <v>0</v>
      </c>
      <c r="N219" s="57">
        <f ca="1">$K$219-EFEITO!$M$219*EFEITO!$Z$219</f>
        <v>0</v>
      </c>
      <c r="O219" s="57">
        <f>$L$219-EFEITO!$O$219*EFEITO!$AA$219</f>
        <v>0</v>
      </c>
      <c r="P219" s="40"/>
      <c r="Q219" s="40"/>
      <c r="R219" s="40"/>
      <c r="S219" s="40"/>
      <c r="T219" s="40"/>
      <c r="U219" s="40"/>
      <c r="V219" s="40"/>
      <c r="W219" s="40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6" t="s">
        <v>28</v>
      </c>
      <c r="B220" s="36" t="s">
        <v>35</v>
      </c>
      <c r="C220" s="36" t="s">
        <v>36</v>
      </c>
      <c r="D220" s="36" t="s">
        <v>34</v>
      </c>
      <c r="E220" s="36" t="s">
        <v>25</v>
      </c>
      <c r="F220" s="36" t="s">
        <v>25</v>
      </c>
      <c r="G220" s="36" t="s">
        <v>25</v>
      </c>
      <c r="H220" s="36" t="s">
        <v>38</v>
      </c>
      <c r="I220" s="56">
        <v>44593</v>
      </c>
      <c r="J220" s="57">
        <f>EFEITO!$J$220*EFEITO!$Y$220</f>
        <v>0</v>
      </c>
      <c r="K220" s="57">
        <f ca="1">EFEITO!$L$220*EFEITO!$Z$220</f>
        <v>3303.8861408124303</v>
      </c>
      <c r="L220" s="57">
        <f>EFEITO!$N$220*EFEITO!$AA$220</f>
        <v>6531.0266229646468</v>
      </c>
      <c r="M220" s="57">
        <f>$J$220-EFEITO!$K$220*EFEITO!$Y$220</f>
        <v>0</v>
      </c>
      <c r="N220" s="57">
        <f ca="1">$K$220-EFEITO!$M$220*EFEITO!$Z$220</f>
        <v>0</v>
      </c>
      <c r="O220" s="57">
        <f>$L$220-EFEITO!$O$220*EFEITO!$AA$220</f>
        <v>0</v>
      </c>
      <c r="P220" s="40"/>
      <c r="Q220" s="40"/>
      <c r="R220" s="40"/>
      <c r="S220" s="40"/>
      <c r="T220" s="40"/>
      <c r="U220" s="40"/>
      <c r="V220" s="40"/>
      <c r="W220" s="40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6" t="s">
        <v>21</v>
      </c>
      <c r="B221" s="36" t="s">
        <v>35</v>
      </c>
      <c r="C221" s="36" t="s">
        <v>36</v>
      </c>
      <c r="D221" s="36" t="s">
        <v>34</v>
      </c>
      <c r="E221" s="36" t="s">
        <v>25</v>
      </c>
      <c r="F221" s="36" t="s">
        <v>25</v>
      </c>
      <c r="G221" s="36" t="s">
        <v>25</v>
      </c>
      <c r="H221" s="36" t="s">
        <v>38</v>
      </c>
      <c r="I221" s="56">
        <v>44621</v>
      </c>
      <c r="J221" s="57">
        <f>EFEITO!$J$221*EFEITO!$Y$221</f>
        <v>0</v>
      </c>
      <c r="K221" s="57">
        <f ca="1">EFEITO!$L$221*EFEITO!$Z$221</f>
        <v>341579.35547897243</v>
      </c>
      <c r="L221" s="57">
        <f>EFEITO!$N$221*EFEITO!$AA$221</f>
        <v>675224.19641849434</v>
      </c>
      <c r="M221" s="57">
        <f>$J$221-EFEITO!$K$221*EFEITO!$Y$221</f>
        <v>0</v>
      </c>
      <c r="N221" s="57">
        <f ca="1">$K$221-EFEITO!$M$221*EFEITO!$Z$221</f>
        <v>0</v>
      </c>
      <c r="O221" s="57">
        <f>$L$221-EFEITO!$O$221*EFEITO!$AA$221</f>
        <v>0</v>
      </c>
      <c r="P221" s="40"/>
      <c r="Q221" s="40"/>
      <c r="R221" s="40"/>
      <c r="S221" s="40"/>
      <c r="T221" s="40"/>
      <c r="U221" s="40"/>
      <c r="V221" s="40"/>
      <c r="W221" s="40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6" t="s">
        <v>28</v>
      </c>
      <c r="B222" s="36" t="s">
        <v>35</v>
      </c>
      <c r="C222" s="36" t="s">
        <v>36</v>
      </c>
      <c r="D222" s="36" t="s">
        <v>34</v>
      </c>
      <c r="E222" s="36" t="s">
        <v>25</v>
      </c>
      <c r="F222" s="36" t="s">
        <v>25</v>
      </c>
      <c r="G222" s="36" t="s">
        <v>25</v>
      </c>
      <c r="H222" s="36" t="s">
        <v>38</v>
      </c>
      <c r="I222" s="56">
        <v>44621</v>
      </c>
      <c r="J222" s="57">
        <f>EFEITO!$J$222*EFEITO!$Y$222</f>
        <v>0</v>
      </c>
      <c r="K222" s="57">
        <f ca="1">EFEITO!$L$222*EFEITO!$Z$222</f>
        <v>5571.3981817119429</v>
      </c>
      <c r="L222" s="57">
        <f>EFEITO!$N$222*EFEITO!$AA$222</f>
        <v>11013.378882042805</v>
      </c>
      <c r="M222" s="57">
        <f>$J$222-EFEITO!$K$222*EFEITO!$Y$222</f>
        <v>0</v>
      </c>
      <c r="N222" s="57">
        <f ca="1">$K$222-EFEITO!$M$222*EFEITO!$Z$222</f>
        <v>0</v>
      </c>
      <c r="O222" s="57">
        <f>$L$222-EFEITO!$O$222*EFEITO!$AA$222</f>
        <v>0</v>
      </c>
      <c r="P222" s="40"/>
      <c r="Q222" s="40"/>
      <c r="R222" s="40"/>
      <c r="S222" s="40"/>
      <c r="T222" s="40"/>
      <c r="U222" s="40"/>
      <c r="V222" s="40"/>
      <c r="W222" s="40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6" t="s">
        <v>21</v>
      </c>
      <c r="B223" s="36" t="s">
        <v>35</v>
      </c>
      <c r="C223" s="36" t="s">
        <v>36</v>
      </c>
      <c r="D223" s="36" t="s">
        <v>34</v>
      </c>
      <c r="E223" s="36" t="s">
        <v>25</v>
      </c>
      <c r="F223" s="36" t="s">
        <v>25</v>
      </c>
      <c r="G223" s="36" t="s">
        <v>25</v>
      </c>
      <c r="H223" s="36" t="s">
        <v>38</v>
      </c>
      <c r="I223" s="56">
        <v>44652</v>
      </c>
      <c r="J223" s="57">
        <f>EFEITO!$J$223*EFEITO!$Y$223</f>
        <v>0</v>
      </c>
      <c r="K223" s="57">
        <f ca="1">EFEITO!$L$223*EFEITO!$Z$223</f>
        <v>298838.41512240295</v>
      </c>
      <c r="L223" s="57">
        <f>EFEITO!$N$223*EFEITO!$AA$223</f>
        <v>590735.14096616034</v>
      </c>
      <c r="M223" s="57">
        <f>$J$223-EFEITO!$K$223*EFEITO!$Y$223</f>
        <v>0</v>
      </c>
      <c r="N223" s="57">
        <f ca="1">$K$223-EFEITO!$M$223*EFEITO!$Z$223</f>
        <v>0</v>
      </c>
      <c r="O223" s="57">
        <f>$L$223-EFEITO!$O$223*EFEITO!$AA$223</f>
        <v>0</v>
      </c>
      <c r="P223" s="40"/>
      <c r="Q223" s="40"/>
      <c r="R223" s="40"/>
      <c r="S223" s="40"/>
      <c r="T223" s="40"/>
      <c r="U223" s="40"/>
      <c r="V223" s="40"/>
      <c r="W223" s="40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6" t="s">
        <v>28</v>
      </c>
      <c r="B224" s="36" t="s">
        <v>35</v>
      </c>
      <c r="C224" s="36" t="s">
        <v>36</v>
      </c>
      <c r="D224" s="36" t="s">
        <v>34</v>
      </c>
      <c r="E224" s="36" t="s">
        <v>25</v>
      </c>
      <c r="F224" s="36" t="s">
        <v>25</v>
      </c>
      <c r="G224" s="36" t="s">
        <v>25</v>
      </c>
      <c r="H224" s="36" t="s">
        <v>38</v>
      </c>
      <c r="I224" s="56">
        <v>44652</v>
      </c>
      <c r="J224" s="57">
        <f>EFEITO!$J$224*EFEITO!$Y$224</f>
        <v>0</v>
      </c>
      <c r="K224" s="57">
        <f ca="1">EFEITO!$L$224*EFEITO!$Z$224</f>
        <v>5280.9500447066648</v>
      </c>
      <c r="L224" s="57">
        <f>EFEITO!$N$224*EFEITO!$AA$224</f>
        <v>10439.229400334123</v>
      </c>
      <c r="M224" s="57">
        <f>$J$224-EFEITO!$K$224*EFEITO!$Y$224</f>
        <v>0</v>
      </c>
      <c r="N224" s="57">
        <f ca="1">$K$224-EFEITO!$M$224*EFEITO!$Z$224</f>
        <v>0</v>
      </c>
      <c r="O224" s="57">
        <f>$L$224-EFEITO!$O$224*EFEITO!$AA$224</f>
        <v>0</v>
      </c>
      <c r="P224" s="40"/>
      <c r="Q224" s="40"/>
      <c r="R224" s="40"/>
      <c r="S224" s="40"/>
      <c r="T224" s="40"/>
      <c r="U224" s="40"/>
      <c r="V224" s="40"/>
      <c r="W224" s="40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6" t="s">
        <v>21</v>
      </c>
      <c r="B225" s="36" t="s">
        <v>35</v>
      </c>
      <c r="C225" s="36" t="s">
        <v>36</v>
      </c>
      <c r="D225" s="36" t="s">
        <v>34</v>
      </c>
      <c r="E225" s="36" t="s">
        <v>25</v>
      </c>
      <c r="F225" s="36" t="s">
        <v>25</v>
      </c>
      <c r="G225" s="36" t="s">
        <v>25</v>
      </c>
      <c r="H225" s="36" t="s">
        <v>38</v>
      </c>
      <c r="I225" s="56">
        <v>44682</v>
      </c>
      <c r="J225" s="57">
        <f>EFEITO!$J$225*EFEITO!$Y$225</f>
        <v>0</v>
      </c>
      <c r="K225" s="57">
        <f ca="1">EFEITO!$L$225*EFEITO!$Z$225</f>
        <v>312149.95264060335</v>
      </c>
      <c r="L225" s="57">
        <f>EFEITO!$N$225*EFEITO!$AA$225</f>
        <v>617049.00355664943</v>
      </c>
      <c r="M225" s="57">
        <f>$J$225-EFEITO!$K$225*EFEITO!$Y$225</f>
        <v>0</v>
      </c>
      <c r="N225" s="57">
        <f ca="1">$K$225-EFEITO!$M$225*EFEITO!$Z$225</f>
        <v>0</v>
      </c>
      <c r="O225" s="57">
        <f>$L$225-EFEITO!$O$225*EFEITO!$AA$225</f>
        <v>0</v>
      </c>
      <c r="P225" s="40"/>
      <c r="Q225" s="40"/>
      <c r="R225" s="40"/>
      <c r="S225" s="40"/>
      <c r="T225" s="40"/>
      <c r="U225" s="40"/>
      <c r="V225" s="40"/>
      <c r="W225" s="40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6" t="s">
        <v>28</v>
      </c>
      <c r="B226" s="36" t="s">
        <v>35</v>
      </c>
      <c r="C226" s="36" t="s">
        <v>36</v>
      </c>
      <c r="D226" s="36" t="s">
        <v>34</v>
      </c>
      <c r="E226" s="36" t="s">
        <v>25</v>
      </c>
      <c r="F226" s="36" t="s">
        <v>25</v>
      </c>
      <c r="G226" s="36" t="s">
        <v>25</v>
      </c>
      <c r="H226" s="36" t="s">
        <v>38</v>
      </c>
      <c r="I226" s="56">
        <v>44682</v>
      </c>
      <c r="J226" s="57">
        <f>EFEITO!$J$226*EFEITO!$Y$226</f>
        <v>0</v>
      </c>
      <c r="K226" s="57">
        <f ca="1">EFEITO!$L$226*EFEITO!$Z$226</f>
        <v>4325.7532668260401</v>
      </c>
      <c r="L226" s="57">
        <f>EFEITO!$N$226*EFEITO!$AA$226</f>
        <v>8551.0240201770539</v>
      </c>
      <c r="M226" s="57">
        <f>$J$226-EFEITO!$K$226*EFEITO!$Y$226</f>
        <v>0</v>
      </c>
      <c r="N226" s="57">
        <f ca="1">$K$226-EFEITO!$M$226*EFEITO!$Z$226</f>
        <v>0</v>
      </c>
      <c r="O226" s="57">
        <f>$L$226-EFEITO!$O$226*EFEITO!$AA$226</f>
        <v>0</v>
      </c>
      <c r="P226" s="40"/>
      <c r="Q226" s="40"/>
      <c r="R226" s="40"/>
      <c r="S226" s="40"/>
      <c r="T226" s="40"/>
      <c r="U226" s="40"/>
      <c r="V226" s="40"/>
      <c r="W226" s="40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6" t="s">
        <v>21</v>
      </c>
      <c r="B227" s="36" t="s">
        <v>35</v>
      </c>
      <c r="C227" s="36" t="s">
        <v>36</v>
      </c>
      <c r="D227" s="36" t="s">
        <v>34</v>
      </c>
      <c r="E227" s="36" t="s">
        <v>25</v>
      </c>
      <c r="F227" s="36" t="s">
        <v>25</v>
      </c>
      <c r="G227" s="36" t="s">
        <v>25</v>
      </c>
      <c r="H227" s="36" t="s">
        <v>38</v>
      </c>
      <c r="I227" s="56">
        <v>44713</v>
      </c>
      <c r="J227" s="57">
        <f>EFEITO!$J$227*EFEITO!$Y$227</f>
        <v>0</v>
      </c>
      <c r="K227" s="57">
        <f ca="1">EFEITO!$L$227*EFEITO!$Z$227</f>
        <v>319260.53046439786</v>
      </c>
      <c r="L227" s="57">
        <f>EFEITO!$N$227*EFEITO!$AA$227</f>
        <v>631104.98826453788</v>
      </c>
      <c r="M227" s="57">
        <f>$J$227-EFEITO!$K$227*EFEITO!$Y$227</f>
        <v>0</v>
      </c>
      <c r="N227" s="57">
        <f ca="1">$K$227-EFEITO!$M$227*EFEITO!$Z$227</f>
        <v>0</v>
      </c>
      <c r="O227" s="57">
        <f>$L$227-EFEITO!$O$227*EFEITO!$AA$227</f>
        <v>0</v>
      </c>
      <c r="P227" s="40"/>
      <c r="Q227" s="40"/>
      <c r="R227" s="40"/>
      <c r="S227" s="40"/>
      <c r="T227" s="40"/>
      <c r="U227" s="40"/>
      <c r="V227" s="40"/>
      <c r="W227" s="40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6" t="s">
        <v>28</v>
      </c>
      <c r="B228" s="36" t="s">
        <v>35</v>
      </c>
      <c r="C228" s="36" t="s">
        <v>36</v>
      </c>
      <c r="D228" s="36" t="s">
        <v>34</v>
      </c>
      <c r="E228" s="36" t="s">
        <v>25</v>
      </c>
      <c r="F228" s="36" t="s">
        <v>25</v>
      </c>
      <c r="G228" s="36" t="s">
        <v>25</v>
      </c>
      <c r="H228" s="36" t="s">
        <v>38</v>
      </c>
      <c r="I228" s="56">
        <v>44713</v>
      </c>
      <c r="J228" s="57">
        <f>EFEITO!$J$228*EFEITO!$Y$228</f>
        <v>0</v>
      </c>
      <c r="K228" s="57">
        <f ca="1">EFEITO!$L$228*EFEITO!$Z$228</f>
        <v>4889.6732947842156</v>
      </c>
      <c r="L228" s="57">
        <f>EFEITO!$N$228*EFEITO!$AA$228</f>
        <v>9665.7648311034754</v>
      </c>
      <c r="M228" s="57">
        <f>$J$228-EFEITO!$K$228*EFEITO!$Y$228</f>
        <v>0</v>
      </c>
      <c r="N228" s="57">
        <f ca="1">$K$228-EFEITO!$M$228*EFEITO!$Z$228</f>
        <v>0</v>
      </c>
      <c r="O228" s="57">
        <f>$L$228-EFEITO!$O$228*EFEITO!$AA$228</f>
        <v>0</v>
      </c>
      <c r="P228" s="40"/>
      <c r="Q228" s="40"/>
      <c r="R228" s="40"/>
      <c r="S228" s="40"/>
      <c r="T228" s="40"/>
      <c r="U228" s="40"/>
      <c r="V228" s="40"/>
      <c r="W228" s="40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6" t="s">
        <v>21</v>
      </c>
      <c r="B229" s="36" t="s">
        <v>35</v>
      </c>
      <c r="C229" s="36" t="s">
        <v>36</v>
      </c>
      <c r="D229" s="36" t="s">
        <v>34</v>
      </c>
      <c r="E229" s="36" t="s">
        <v>25</v>
      </c>
      <c r="F229" s="36" t="s">
        <v>25</v>
      </c>
      <c r="G229" s="36" t="s">
        <v>25</v>
      </c>
      <c r="H229" s="36" t="s">
        <v>38</v>
      </c>
      <c r="I229" s="56">
        <v>44743</v>
      </c>
      <c r="J229" s="57">
        <f>EFEITO!$J$229*EFEITO!$Y$229</f>
        <v>0</v>
      </c>
      <c r="K229" s="57">
        <f ca="1">EFEITO!$L$229*EFEITO!$Z$229</f>
        <v>322372.01914994995</v>
      </c>
      <c r="L229" s="57">
        <f>EFEITO!$N$229*EFEITO!$AA$229</f>
        <v>637255.68915927177</v>
      </c>
      <c r="M229" s="57">
        <f>$J$229-EFEITO!$K$229*EFEITO!$Y$229</f>
        <v>0</v>
      </c>
      <c r="N229" s="57">
        <f ca="1">$K$229-EFEITO!$M$229*EFEITO!$Z$229</f>
        <v>0</v>
      </c>
      <c r="O229" s="57">
        <f>$L$229-EFEITO!$O$229*EFEITO!$AA$229</f>
        <v>0</v>
      </c>
      <c r="P229" s="40"/>
      <c r="Q229" s="40"/>
      <c r="R229" s="40"/>
      <c r="S229" s="40"/>
      <c r="T229" s="40"/>
      <c r="U229" s="40"/>
      <c r="V229" s="40"/>
      <c r="W229" s="40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6" t="s">
        <v>21</v>
      </c>
      <c r="B230" s="36" t="s">
        <v>35</v>
      </c>
      <c r="C230" s="36" t="s">
        <v>36</v>
      </c>
      <c r="D230" s="36" t="s">
        <v>34</v>
      </c>
      <c r="E230" s="36" t="s">
        <v>25</v>
      </c>
      <c r="F230" s="36" t="s">
        <v>25</v>
      </c>
      <c r="G230" s="36" t="s">
        <v>25</v>
      </c>
      <c r="H230" s="36" t="s">
        <v>38</v>
      </c>
      <c r="I230" s="56">
        <v>44774</v>
      </c>
      <c r="J230" s="57">
        <f>EFEITO!$J$230*EFEITO!$Y$230</f>
        <v>0</v>
      </c>
      <c r="K230" s="57">
        <f ca="1">EFEITO!$L$230*EFEITO!$Z$230</f>
        <v>336178.33707582252</v>
      </c>
      <c r="L230" s="57">
        <f>EFEITO!$N$230*EFEITO!$AA$230</f>
        <v>664547.61935781513</v>
      </c>
      <c r="M230" s="57">
        <f>$J$230-EFEITO!$K$230*EFEITO!$Y$230</f>
        <v>0</v>
      </c>
      <c r="N230" s="57">
        <f ca="1">$K$230-EFEITO!$M$230*EFEITO!$Z$230</f>
        <v>0</v>
      </c>
      <c r="O230" s="57">
        <f>$L$230-EFEITO!$O$230*EFEITO!$AA$230</f>
        <v>0</v>
      </c>
      <c r="P230" s="40"/>
      <c r="Q230" s="40"/>
      <c r="R230" s="40"/>
      <c r="S230" s="40"/>
      <c r="T230" s="40"/>
      <c r="U230" s="40"/>
      <c r="V230" s="40"/>
      <c r="W230" s="40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6" t="s">
        <v>27</v>
      </c>
      <c r="B231" s="36" t="s">
        <v>35</v>
      </c>
      <c r="C231" s="36" t="s">
        <v>36</v>
      </c>
      <c r="D231" s="36" t="s">
        <v>34</v>
      </c>
      <c r="E231" s="36" t="s">
        <v>25</v>
      </c>
      <c r="F231" s="36" t="s">
        <v>25</v>
      </c>
      <c r="G231" s="36" t="s">
        <v>25</v>
      </c>
      <c r="H231" s="36" t="s">
        <v>38</v>
      </c>
      <c r="I231" s="56">
        <v>44774</v>
      </c>
      <c r="J231" s="57">
        <f>EFEITO!$J$231*EFEITO!$Y$231</f>
        <v>0</v>
      </c>
      <c r="K231" s="57">
        <f ca="1">EFEITO!$L$231*EFEITO!$Z$231</f>
        <v>-3668.2066697304922</v>
      </c>
      <c r="L231" s="57">
        <f>EFEITO!$N$231*EFEITO!$AA$231</f>
        <v>-7251.2049136945225</v>
      </c>
      <c r="M231" s="57">
        <f>$J$231-EFEITO!$K$231*EFEITO!$Y$231</f>
        <v>0</v>
      </c>
      <c r="N231" s="57">
        <f ca="1">$K$231-EFEITO!$M$231*EFEITO!$Z$231</f>
        <v>0</v>
      </c>
      <c r="O231" s="57">
        <f>$L$231-EFEITO!$O$231*EFEITO!$AA$231</f>
        <v>0</v>
      </c>
      <c r="P231" s="40"/>
      <c r="Q231" s="40"/>
      <c r="R231" s="40"/>
      <c r="S231" s="40"/>
      <c r="T231" s="40"/>
      <c r="U231" s="40"/>
      <c r="V231" s="40"/>
      <c r="W231" s="40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6" t="s">
        <v>28</v>
      </c>
      <c r="B232" s="36" t="s">
        <v>35</v>
      </c>
      <c r="C232" s="36" t="s">
        <v>36</v>
      </c>
      <c r="D232" s="36" t="s">
        <v>34</v>
      </c>
      <c r="E232" s="36" t="s">
        <v>25</v>
      </c>
      <c r="F232" s="36" t="s">
        <v>25</v>
      </c>
      <c r="G232" s="36" t="s">
        <v>25</v>
      </c>
      <c r="H232" s="36" t="s">
        <v>38</v>
      </c>
      <c r="I232" s="56">
        <v>44774</v>
      </c>
      <c r="J232" s="57">
        <f>EFEITO!$J$232*EFEITO!$Y$232</f>
        <v>0</v>
      </c>
      <c r="K232" s="57">
        <f ca="1">EFEITO!$L$232*EFEITO!$Z$232</f>
        <v>11998.810709822721</v>
      </c>
      <c r="L232" s="57">
        <f>EFEITO!$N$232*EFEITO!$AA$232</f>
        <v>23718.902180598623</v>
      </c>
      <c r="M232" s="57">
        <f>$J$232-EFEITO!$K$232*EFEITO!$Y$232</f>
        <v>0</v>
      </c>
      <c r="N232" s="57">
        <f ca="1">$K$232-EFEITO!$M$232*EFEITO!$Z$232</f>
        <v>0</v>
      </c>
      <c r="O232" s="57">
        <f>$L$232-EFEITO!$O$232*EFEITO!$AA$232</f>
        <v>0</v>
      </c>
      <c r="P232" s="40"/>
      <c r="Q232" s="40"/>
      <c r="R232" s="40"/>
      <c r="S232" s="40"/>
      <c r="T232" s="40"/>
      <c r="U232" s="40"/>
      <c r="V232" s="40"/>
      <c r="W232" s="40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6" t="s">
        <v>21</v>
      </c>
      <c r="B233" s="36" t="s">
        <v>35</v>
      </c>
      <c r="C233" s="36" t="s">
        <v>36</v>
      </c>
      <c r="D233" s="36" t="s">
        <v>34</v>
      </c>
      <c r="E233" s="36" t="s">
        <v>25</v>
      </c>
      <c r="F233" s="36" t="s">
        <v>25</v>
      </c>
      <c r="G233" s="36" t="s">
        <v>25</v>
      </c>
      <c r="H233" s="36" t="s">
        <v>25</v>
      </c>
      <c r="I233" s="56">
        <v>44440</v>
      </c>
      <c r="J233" s="57">
        <f ca="1">EFEITO!$J$233*EFEITO!$Y$233</f>
        <v>286470.20850884658</v>
      </c>
      <c r="K233" s="57">
        <f>EFEITO!$L$233*EFEITO!$Z$233</f>
        <v>0</v>
      </c>
      <c r="L233" s="57">
        <f>EFEITO!$N$233*EFEITO!$AA$233</f>
        <v>0</v>
      </c>
      <c r="M233" s="57">
        <f ca="1">$J$233-EFEITO!$K$233*EFEITO!$Y$233</f>
        <v>0</v>
      </c>
      <c r="N233" s="57">
        <f>$K$233-EFEITO!$M$233*EFEITO!$Z$233</f>
        <v>0</v>
      </c>
      <c r="O233" s="57">
        <f>$L$233-EFEITO!$O$233*EFEITO!$AA$233</f>
        <v>0</v>
      </c>
      <c r="P233" s="40"/>
      <c r="Q233" s="40"/>
      <c r="R233" s="40"/>
      <c r="S233" s="40"/>
      <c r="T233" s="40"/>
      <c r="U233" s="40"/>
      <c r="V233" s="40"/>
      <c r="W233" s="40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6" t="s">
        <v>28</v>
      </c>
      <c r="B234" s="36" t="s">
        <v>35</v>
      </c>
      <c r="C234" s="36" t="s">
        <v>36</v>
      </c>
      <c r="D234" s="36" t="s">
        <v>34</v>
      </c>
      <c r="E234" s="36" t="s">
        <v>25</v>
      </c>
      <c r="F234" s="36" t="s">
        <v>25</v>
      </c>
      <c r="G234" s="36" t="s">
        <v>25</v>
      </c>
      <c r="H234" s="36" t="s">
        <v>25</v>
      </c>
      <c r="I234" s="56">
        <v>44440</v>
      </c>
      <c r="J234" s="57">
        <f ca="1">EFEITO!$J$234*EFEITO!$Y$234</f>
        <v>16511.987061046199</v>
      </c>
      <c r="K234" s="57">
        <f>EFEITO!$L$234*EFEITO!$Z$234</f>
        <v>0</v>
      </c>
      <c r="L234" s="57">
        <f>EFEITO!$N$234*EFEITO!$AA$234</f>
        <v>0</v>
      </c>
      <c r="M234" s="57">
        <f ca="1">$J$234-EFEITO!$K$234*EFEITO!$Y$234</f>
        <v>0</v>
      </c>
      <c r="N234" s="57">
        <f>$K$234-EFEITO!$M$234*EFEITO!$Z$234</f>
        <v>0</v>
      </c>
      <c r="O234" s="57">
        <f>$L$234-EFEITO!$O$234*EFEITO!$AA$234</f>
        <v>0</v>
      </c>
      <c r="P234" s="40"/>
      <c r="Q234" s="40"/>
      <c r="R234" s="40"/>
      <c r="S234" s="40"/>
      <c r="T234" s="40"/>
      <c r="U234" s="40"/>
      <c r="V234" s="40"/>
      <c r="W234" s="40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6" t="s">
        <v>21</v>
      </c>
      <c r="B235" s="36" t="s">
        <v>35</v>
      </c>
      <c r="C235" s="36" t="s">
        <v>36</v>
      </c>
      <c r="D235" s="36" t="s">
        <v>34</v>
      </c>
      <c r="E235" s="36" t="s">
        <v>25</v>
      </c>
      <c r="F235" s="36" t="s">
        <v>25</v>
      </c>
      <c r="G235" s="36" t="s">
        <v>25</v>
      </c>
      <c r="H235" s="36" t="s">
        <v>25</v>
      </c>
      <c r="I235" s="56">
        <v>44470</v>
      </c>
      <c r="J235" s="57">
        <f ca="1">EFEITO!$J$235*EFEITO!$Y$235</f>
        <v>284576.43679694826</v>
      </c>
      <c r="K235" s="57">
        <f>EFEITO!$L$235*EFEITO!$Z$235</f>
        <v>0</v>
      </c>
      <c r="L235" s="57">
        <f>EFEITO!$N$235*EFEITO!$AA$235</f>
        <v>0</v>
      </c>
      <c r="M235" s="57">
        <f ca="1">$J$235-EFEITO!$K$235*EFEITO!$Y$235</f>
        <v>0</v>
      </c>
      <c r="N235" s="57">
        <f>$K$235-EFEITO!$M$235*EFEITO!$Z$235</f>
        <v>0</v>
      </c>
      <c r="O235" s="57">
        <f>$L$235-EFEITO!$O$235*EFEITO!$AA$235</f>
        <v>0</v>
      </c>
      <c r="P235" s="40"/>
      <c r="Q235" s="40"/>
      <c r="R235" s="40"/>
      <c r="S235" s="40"/>
      <c r="T235" s="40"/>
      <c r="U235" s="40"/>
      <c r="V235" s="40"/>
      <c r="W235" s="40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6" t="s">
        <v>28</v>
      </c>
      <c r="B236" s="36" t="s">
        <v>35</v>
      </c>
      <c r="C236" s="36" t="s">
        <v>36</v>
      </c>
      <c r="D236" s="36" t="s">
        <v>34</v>
      </c>
      <c r="E236" s="36" t="s">
        <v>25</v>
      </c>
      <c r="F236" s="36" t="s">
        <v>25</v>
      </c>
      <c r="G236" s="36" t="s">
        <v>25</v>
      </c>
      <c r="H236" s="36" t="s">
        <v>25</v>
      </c>
      <c r="I236" s="56">
        <v>44470</v>
      </c>
      <c r="J236" s="57">
        <f ca="1">EFEITO!$J$236*EFEITO!$Y$236</f>
        <v>20129.303814110441</v>
      </c>
      <c r="K236" s="57">
        <f>EFEITO!$L$236*EFEITO!$Z$236</f>
        <v>0</v>
      </c>
      <c r="L236" s="57">
        <f>EFEITO!$N$236*EFEITO!$AA$236</f>
        <v>0</v>
      </c>
      <c r="M236" s="57">
        <f ca="1">$J$236-EFEITO!$K$236*EFEITO!$Y$236</f>
        <v>0</v>
      </c>
      <c r="N236" s="57">
        <f>$K$236-EFEITO!$M$236*EFEITO!$Z$236</f>
        <v>0</v>
      </c>
      <c r="O236" s="57">
        <f>$L$236-EFEITO!$O$236*EFEITO!$AA$236</f>
        <v>0</v>
      </c>
      <c r="P236" s="40"/>
      <c r="Q236" s="40"/>
      <c r="R236" s="40"/>
      <c r="S236" s="40"/>
      <c r="T236" s="40"/>
      <c r="U236" s="40"/>
      <c r="V236" s="40"/>
      <c r="W236" s="40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6" t="s">
        <v>21</v>
      </c>
      <c r="B237" s="36" t="s">
        <v>35</v>
      </c>
      <c r="C237" s="36" t="s">
        <v>36</v>
      </c>
      <c r="D237" s="36" t="s">
        <v>34</v>
      </c>
      <c r="E237" s="36" t="s">
        <v>25</v>
      </c>
      <c r="F237" s="36" t="s">
        <v>25</v>
      </c>
      <c r="G237" s="36" t="s">
        <v>25</v>
      </c>
      <c r="H237" s="36" t="s">
        <v>25</v>
      </c>
      <c r="I237" s="56">
        <v>44501</v>
      </c>
      <c r="J237" s="57">
        <f ca="1">EFEITO!$J$237*EFEITO!$Y$237</f>
        <v>289108.72190519935</v>
      </c>
      <c r="K237" s="57">
        <f>EFEITO!$L$237*EFEITO!$Z$237</f>
        <v>0</v>
      </c>
      <c r="L237" s="57">
        <f>EFEITO!$N$237*EFEITO!$AA$237</f>
        <v>0</v>
      </c>
      <c r="M237" s="57">
        <f ca="1">$J$237-EFEITO!$K$237*EFEITO!$Y$237</f>
        <v>0</v>
      </c>
      <c r="N237" s="57">
        <f>$K$237-EFEITO!$M$237*EFEITO!$Z$237</f>
        <v>0</v>
      </c>
      <c r="O237" s="57">
        <f>$L$237-EFEITO!$O$237*EFEITO!$AA$237</f>
        <v>0</v>
      </c>
      <c r="P237" s="40"/>
      <c r="Q237" s="40"/>
      <c r="R237" s="40"/>
      <c r="S237" s="40"/>
      <c r="T237" s="40"/>
      <c r="U237" s="40"/>
      <c r="V237" s="40"/>
      <c r="W237" s="40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6" t="s">
        <v>28</v>
      </c>
      <c r="B238" s="36" t="s">
        <v>35</v>
      </c>
      <c r="C238" s="36" t="s">
        <v>36</v>
      </c>
      <c r="D238" s="36" t="s">
        <v>34</v>
      </c>
      <c r="E238" s="36" t="s">
        <v>25</v>
      </c>
      <c r="F238" s="36" t="s">
        <v>25</v>
      </c>
      <c r="G238" s="36" t="s">
        <v>25</v>
      </c>
      <c r="H238" s="36" t="s">
        <v>25</v>
      </c>
      <c r="I238" s="56">
        <v>44501</v>
      </c>
      <c r="J238" s="57">
        <f ca="1">EFEITO!$J$238*EFEITO!$Y$238</f>
        <v>20171.860481793552</v>
      </c>
      <c r="K238" s="57">
        <f>EFEITO!$L$238*EFEITO!$Z$238</f>
        <v>0</v>
      </c>
      <c r="L238" s="57">
        <f>EFEITO!$N$238*EFEITO!$AA$238</f>
        <v>0</v>
      </c>
      <c r="M238" s="57">
        <f ca="1">$J$238-EFEITO!$K$238*EFEITO!$Y$238</f>
        <v>0</v>
      </c>
      <c r="N238" s="57">
        <f>$K$238-EFEITO!$M$238*EFEITO!$Z$238</f>
        <v>0</v>
      </c>
      <c r="O238" s="57">
        <f>$L$238-EFEITO!$O$238*EFEITO!$AA$238</f>
        <v>0</v>
      </c>
      <c r="P238" s="40"/>
      <c r="Q238" s="40"/>
      <c r="R238" s="40"/>
      <c r="S238" s="40"/>
      <c r="T238" s="40"/>
      <c r="U238" s="40"/>
      <c r="V238" s="40"/>
      <c r="W238" s="40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6" t="s">
        <v>21</v>
      </c>
      <c r="B239" s="36" t="s">
        <v>35</v>
      </c>
      <c r="C239" s="36" t="s">
        <v>36</v>
      </c>
      <c r="D239" s="36" t="s">
        <v>34</v>
      </c>
      <c r="E239" s="36" t="s">
        <v>25</v>
      </c>
      <c r="F239" s="36" t="s">
        <v>25</v>
      </c>
      <c r="G239" s="36" t="s">
        <v>25</v>
      </c>
      <c r="H239" s="36" t="s">
        <v>25</v>
      </c>
      <c r="I239" s="56">
        <v>44531</v>
      </c>
      <c r="J239" s="57">
        <f ca="1">EFEITO!$J$239*EFEITO!$Y$239</f>
        <v>291449.33862777031</v>
      </c>
      <c r="K239" s="57">
        <f>EFEITO!$L$239*EFEITO!$Z$239</f>
        <v>0</v>
      </c>
      <c r="L239" s="57">
        <f>EFEITO!$N$239*EFEITO!$AA$239</f>
        <v>0</v>
      </c>
      <c r="M239" s="57">
        <f ca="1">$J$239-EFEITO!$K$239*EFEITO!$Y$239</f>
        <v>0</v>
      </c>
      <c r="N239" s="57">
        <f>$K$239-EFEITO!$M$239*EFEITO!$Z$239</f>
        <v>0</v>
      </c>
      <c r="O239" s="57">
        <f>$L$239-EFEITO!$O$239*EFEITO!$AA$239</f>
        <v>0</v>
      </c>
      <c r="P239" s="40"/>
      <c r="Q239" s="40"/>
      <c r="R239" s="40"/>
      <c r="S239" s="40"/>
      <c r="T239" s="40"/>
      <c r="U239" s="40"/>
      <c r="V239" s="40"/>
      <c r="W239" s="40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6" t="s">
        <v>28</v>
      </c>
      <c r="B240" s="36" t="s">
        <v>35</v>
      </c>
      <c r="C240" s="36" t="s">
        <v>36</v>
      </c>
      <c r="D240" s="36" t="s">
        <v>34</v>
      </c>
      <c r="E240" s="36" t="s">
        <v>25</v>
      </c>
      <c r="F240" s="36" t="s">
        <v>25</v>
      </c>
      <c r="G240" s="36" t="s">
        <v>25</v>
      </c>
      <c r="H240" s="36" t="s">
        <v>25</v>
      </c>
      <c r="I240" s="56">
        <v>44531</v>
      </c>
      <c r="J240" s="57">
        <f ca="1">EFEITO!$J$240*EFEITO!$Y$240</f>
        <v>20363.36548636754</v>
      </c>
      <c r="K240" s="57">
        <f>EFEITO!$L$240*EFEITO!$Z$240</f>
        <v>0</v>
      </c>
      <c r="L240" s="57">
        <f>EFEITO!$N$240*EFEITO!$AA$240</f>
        <v>0</v>
      </c>
      <c r="M240" s="57">
        <f ca="1">$J$240-EFEITO!$K$240*EFEITO!$Y$240</f>
        <v>0</v>
      </c>
      <c r="N240" s="57">
        <f>$K$240-EFEITO!$M$240*EFEITO!$Z$240</f>
        <v>0</v>
      </c>
      <c r="O240" s="57">
        <f>$L$240-EFEITO!$O$240*EFEITO!$AA$240</f>
        <v>0</v>
      </c>
      <c r="P240" s="40"/>
      <c r="Q240" s="40"/>
      <c r="R240" s="40"/>
      <c r="S240" s="40"/>
      <c r="T240" s="40"/>
      <c r="U240" s="40"/>
      <c r="V240" s="40"/>
      <c r="W240" s="40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6" t="s">
        <v>21</v>
      </c>
      <c r="B241" s="36" t="s">
        <v>35</v>
      </c>
      <c r="C241" s="36" t="s">
        <v>36</v>
      </c>
      <c r="D241" s="36" t="s">
        <v>34</v>
      </c>
      <c r="E241" s="36" t="s">
        <v>25</v>
      </c>
      <c r="F241" s="36" t="s">
        <v>25</v>
      </c>
      <c r="G241" s="36" t="s">
        <v>25</v>
      </c>
      <c r="H241" s="36" t="s">
        <v>25</v>
      </c>
      <c r="I241" s="56">
        <v>44562</v>
      </c>
      <c r="J241" s="57">
        <f ca="1">EFEITO!$J$241*EFEITO!$Y$241</f>
        <v>289278.94857593178</v>
      </c>
      <c r="K241" s="57">
        <f>EFEITO!$L$241*EFEITO!$Z$241</f>
        <v>0</v>
      </c>
      <c r="L241" s="57">
        <f>EFEITO!$N$241*EFEITO!$AA$241</f>
        <v>0</v>
      </c>
      <c r="M241" s="57">
        <f ca="1">$J$241-EFEITO!$K$241*EFEITO!$Y$241</f>
        <v>0</v>
      </c>
      <c r="N241" s="57">
        <f>$K$241-EFEITO!$M$241*EFEITO!$Z$241</f>
        <v>0</v>
      </c>
      <c r="O241" s="57">
        <f>$L$241-EFEITO!$O$241*EFEITO!$AA$241</f>
        <v>0</v>
      </c>
      <c r="P241" s="40"/>
      <c r="Q241" s="40"/>
      <c r="R241" s="40"/>
      <c r="S241" s="40"/>
      <c r="T241" s="40"/>
      <c r="U241" s="40"/>
      <c r="V241" s="40"/>
      <c r="W241" s="40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6" t="s">
        <v>28</v>
      </c>
      <c r="B242" s="36" t="s">
        <v>35</v>
      </c>
      <c r="C242" s="36" t="s">
        <v>36</v>
      </c>
      <c r="D242" s="36" t="s">
        <v>34</v>
      </c>
      <c r="E242" s="36" t="s">
        <v>25</v>
      </c>
      <c r="F242" s="36" t="s">
        <v>25</v>
      </c>
      <c r="G242" s="36" t="s">
        <v>25</v>
      </c>
      <c r="H242" s="36" t="s">
        <v>25</v>
      </c>
      <c r="I242" s="56">
        <v>44562</v>
      </c>
      <c r="J242" s="57">
        <f ca="1">EFEITO!$J$242*EFEITO!$Y$242</f>
        <v>20278.252151001321</v>
      </c>
      <c r="K242" s="57">
        <f>EFEITO!$L$242*EFEITO!$Z$242</f>
        <v>0</v>
      </c>
      <c r="L242" s="57">
        <f>EFEITO!$N$242*EFEITO!$AA$242</f>
        <v>0</v>
      </c>
      <c r="M242" s="57">
        <f ca="1">$J$242-EFEITO!$K$242*EFEITO!$Y$242</f>
        <v>0</v>
      </c>
      <c r="N242" s="57">
        <f>$K$242-EFEITO!$M$242*EFEITO!$Z$242</f>
        <v>0</v>
      </c>
      <c r="O242" s="57">
        <f>$L$242-EFEITO!$O$242*EFEITO!$AA$242</f>
        <v>0</v>
      </c>
      <c r="P242" s="40"/>
      <c r="Q242" s="40"/>
      <c r="R242" s="40"/>
      <c r="S242" s="40"/>
      <c r="T242" s="40"/>
      <c r="U242" s="40"/>
      <c r="V242" s="40"/>
      <c r="W242" s="40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6" t="s">
        <v>21</v>
      </c>
      <c r="B243" s="36" t="s">
        <v>35</v>
      </c>
      <c r="C243" s="36" t="s">
        <v>36</v>
      </c>
      <c r="D243" s="36" t="s">
        <v>34</v>
      </c>
      <c r="E243" s="36" t="s">
        <v>25</v>
      </c>
      <c r="F243" s="36" t="s">
        <v>25</v>
      </c>
      <c r="G243" s="36" t="s">
        <v>25</v>
      </c>
      <c r="H243" s="36" t="s">
        <v>25</v>
      </c>
      <c r="I243" s="56">
        <v>44593</v>
      </c>
      <c r="J243" s="57">
        <f ca="1">EFEITO!$J$243*EFEITO!$Y$243</f>
        <v>292343.02864911559</v>
      </c>
      <c r="K243" s="57">
        <f>EFEITO!$L$243*EFEITO!$Z$243</f>
        <v>0</v>
      </c>
      <c r="L243" s="57">
        <f>EFEITO!$N$243*EFEITO!$AA$243</f>
        <v>0</v>
      </c>
      <c r="M243" s="57">
        <f ca="1">$J$243-EFEITO!$K$243*EFEITO!$Y$243</f>
        <v>0</v>
      </c>
      <c r="N243" s="57">
        <f>$K$243-EFEITO!$M$243*EFEITO!$Z$243</f>
        <v>0</v>
      </c>
      <c r="O243" s="57">
        <f>$L$243-EFEITO!$O$243*EFEITO!$AA$243</f>
        <v>0</v>
      </c>
      <c r="P243" s="40"/>
      <c r="Q243" s="40"/>
      <c r="R243" s="40"/>
      <c r="S243" s="40"/>
      <c r="T243" s="40"/>
      <c r="U243" s="40"/>
      <c r="V243" s="40"/>
      <c r="W243" s="40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6" t="s">
        <v>28</v>
      </c>
      <c r="B244" s="36" t="s">
        <v>35</v>
      </c>
      <c r="C244" s="36" t="s">
        <v>36</v>
      </c>
      <c r="D244" s="36" t="s">
        <v>34</v>
      </c>
      <c r="E244" s="36" t="s">
        <v>25</v>
      </c>
      <c r="F244" s="36" t="s">
        <v>25</v>
      </c>
      <c r="G244" s="36" t="s">
        <v>25</v>
      </c>
      <c r="H244" s="36" t="s">
        <v>25</v>
      </c>
      <c r="I244" s="56">
        <v>44593</v>
      </c>
      <c r="J244" s="57">
        <f ca="1">EFEITO!$J$244*EFEITO!$Y$244</f>
        <v>20278.252151001321</v>
      </c>
      <c r="K244" s="57">
        <f>EFEITO!$L$244*EFEITO!$Z$244</f>
        <v>0</v>
      </c>
      <c r="L244" s="57">
        <f>EFEITO!$N$244*EFEITO!$AA$244</f>
        <v>0</v>
      </c>
      <c r="M244" s="57">
        <f ca="1">$J$244-EFEITO!$K$244*EFEITO!$Y$244</f>
        <v>0</v>
      </c>
      <c r="N244" s="57">
        <f>$K$244-EFEITO!$M$244*EFEITO!$Z$244</f>
        <v>0</v>
      </c>
      <c r="O244" s="57">
        <f>$L$244-EFEITO!$O$244*EFEITO!$AA$244</f>
        <v>0</v>
      </c>
      <c r="P244" s="40"/>
      <c r="Q244" s="40"/>
      <c r="R244" s="40"/>
      <c r="S244" s="40"/>
      <c r="T244" s="40"/>
      <c r="U244" s="40"/>
      <c r="V244" s="40"/>
      <c r="W244" s="40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6" t="s">
        <v>21</v>
      </c>
      <c r="B245" s="36" t="s">
        <v>35</v>
      </c>
      <c r="C245" s="36" t="s">
        <v>36</v>
      </c>
      <c r="D245" s="36" t="s">
        <v>34</v>
      </c>
      <c r="E245" s="36" t="s">
        <v>25</v>
      </c>
      <c r="F245" s="36" t="s">
        <v>25</v>
      </c>
      <c r="G245" s="36" t="s">
        <v>25</v>
      </c>
      <c r="H245" s="36" t="s">
        <v>25</v>
      </c>
      <c r="I245" s="56">
        <v>44621</v>
      </c>
      <c r="J245" s="57">
        <f ca="1">EFEITO!$J$245*EFEITO!$Y$245</f>
        <v>293385.66700735176</v>
      </c>
      <c r="K245" s="57">
        <f>EFEITO!$L$245*EFEITO!$Z$245</f>
        <v>0</v>
      </c>
      <c r="L245" s="57">
        <f>EFEITO!$N$245*EFEITO!$AA$245</f>
        <v>0</v>
      </c>
      <c r="M245" s="57">
        <f ca="1">$J$245-EFEITO!$K$245*EFEITO!$Y$245</f>
        <v>0</v>
      </c>
      <c r="N245" s="57">
        <f>$K$245-EFEITO!$M$245*EFEITO!$Z$245</f>
        <v>0</v>
      </c>
      <c r="O245" s="57">
        <f>$L$245-EFEITO!$O$245*EFEITO!$AA$245</f>
        <v>0</v>
      </c>
      <c r="P245" s="40"/>
      <c r="Q245" s="40"/>
      <c r="R245" s="40"/>
      <c r="S245" s="40"/>
      <c r="T245" s="40"/>
      <c r="U245" s="40"/>
      <c r="V245" s="40"/>
      <c r="W245" s="40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6" t="s">
        <v>27</v>
      </c>
      <c r="B246" s="36" t="s">
        <v>35</v>
      </c>
      <c r="C246" s="36" t="s">
        <v>36</v>
      </c>
      <c r="D246" s="36" t="s">
        <v>34</v>
      </c>
      <c r="E246" s="36" t="s">
        <v>25</v>
      </c>
      <c r="F246" s="36" t="s">
        <v>25</v>
      </c>
      <c r="G246" s="36" t="s">
        <v>25</v>
      </c>
      <c r="H246" s="36" t="s">
        <v>25</v>
      </c>
      <c r="I246" s="56">
        <v>44621</v>
      </c>
      <c r="J246" s="57">
        <f ca="1">EFEITO!$J$246*EFEITO!$Y$246</f>
        <v>-3213.0284100747112</v>
      </c>
      <c r="K246" s="57">
        <f>EFEITO!$L$246*EFEITO!$Z$246</f>
        <v>0</v>
      </c>
      <c r="L246" s="57">
        <f>EFEITO!$N$246*EFEITO!$AA$246</f>
        <v>0</v>
      </c>
      <c r="M246" s="57">
        <f ca="1">$J$246-EFEITO!$K$246*EFEITO!$Y$246</f>
        <v>0</v>
      </c>
      <c r="N246" s="57">
        <f>$K$246-EFEITO!$M$246*EFEITO!$Z$246</f>
        <v>0</v>
      </c>
      <c r="O246" s="57">
        <f>$L$246-EFEITO!$O$246*EFEITO!$AA$246</f>
        <v>0</v>
      </c>
      <c r="P246" s="40"/>
      <c r="Q246" s="40"/>
      <c r="R246" s="40"/>
      <c r="S246" s="40"/>
      <c r="T246" s="40"/>
      <c r="U246" s="40"/>
      <c r="V246" s="40"/>
      <c r="W246" s="40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6" t="s">
        <v>28</v>
      </c>
      <c r="B247" s="36" t="s">
        <v>35</v>
      </c>
      <c r="C247" s="36" t="s">
        <v>36</v>
      </c>
      <c r="D247" s="36" t="s">
        <v>34</v>
      </c>
      <c r="E247" s="36" t="s">
        <v>25</v>
      </c>
      <c r="F247" s="36" t="s">
        <v>25</v>
      </c>
      <c r="G247" s="36" t="s">
        <v>25</v>
      </c>
      <c r="H247" s="36" t="s">
        <v>25</v>
      </c>
      <c r="I247" s="56">
        <v>44621</v>
      </c>
      <c r="J247" s="57">
        <f ca="1">EFEITO!$J$247*EFEITO!$Y$247</f>
        <v>20214.41714947666</v>
      </c>
      <c r="K247" s="57">
        <f>EFEITO!$L$247*EFEITO!$Z$247</f>
        <v>0</v>
      </c>
      <c r="L247" s="57">
        <f>EFEITO!$N$247*EFEITO!$AA$247</f>
        <v>0</v>
      </c>
      <c r="M247" s="57">
        <f ca="1">$J$247-EFEITO!$K$247*EFEITO!$Y$247</f>
        <v>0</v>
      </c>
      <c r="N247" s="57">
        <f>$K$247-EFEITO!$M$247*EFEITO!$Z$247</f>
        <v>0</v>
      </c>
      <c r="O247" s="57">
        <f>$L$247-EFEITO!$O$247*EFEITO!$AA$247</f>
        <v>0</v>
      </c>
      <c r="P247" s="40"/>
      <c r="Q247" s="40"/>
      <c r="R247" s="40"/>
      <c r="S247" s="40"/>
      <c r="T247" s="40"/>
      <c r="U247" s="40"/>
      <c r="V247" s="40"/>
      <c r="W247" s="40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6" t="s">
        <v>21</v>
      </c>
      <c r="B248" s="36" t="s">
        <v>35</v>
      </c>
      <c r="C248" s="36" t="s">
        <v>36</v>
      </c>
      <c r="D248" s="36" t="s">
        <v>34</v>
      </c>
      <c r="E248" s="36" t="s">
        <v>25</v>
      </c>
      <c r="F248" s="36" t="s">
        <v>25</v>
      </c>
      <c r="G248" s="36" t="s">
        <v>25</v>
      </c>
      <c r="H248" s="36" t="s">
        <v>25</v>
      </c>
      <c r="I248" s="56">
        <v>44652</v>
      </c>
      <c r="J248" s="57">
        <f ca="1">EFEITO!$J$248*EFEITO!$Y$248</f>
        <v>288342.70188690338</v>
      </c>
      <c r="K248" s="57">
        <f>EFEITO!$L$248*EFEITO!$Z$248</f>
        <v>0</v>
      </c>
      <c r="L248" s="57">
        <f>EFEITO!$N$248*EFEITO!$AA$248</f>
        <v>0</v>
      </c>
      <c r="M248" s="57">
        <f ca="1">$J$248-EFEITO!$K$248*EFEITO!$Y$248</f>
        <v>0</v>
      </c>
      <c r="N248" s="57">
        <f>$K$248-EFEITO!$M$248*EFEITO!$Z$248</f>
        <v>0</v>
      </c>
      <c r="O248" s="57">
        <f>$L$248-EFEITO!$O$248*EFEITO!$AA$248</f>
        <v>0</v>
      </c>
      <c r="P248" s="40"/>
      <c r="Q248" s="40"/>
      <c r="R248" s="40"/>
      <c r="S248" s="40"/>
      <c r="T248" s="40"/>
      <c r="U248" s="40"/>
      <c r="V248" s="40"/>
      <c r="W248" s="40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6" t="s">
        <v>27</v>
      </c>
      <c r="B249" s="36" t="s">
        <v>35</v>
      </c>
      <c r="C249" s="36" t="s">
        <v>36</v>
      </c>
      <c r="D249" s="36" t="s">
        <v>34</v>
      </c>
      <c r="E249" s="36" t="s">
        <v>25</v>
      </c>
      <c r="F249" s="36" t="s">
        <v>25</v>
      </c>
      <c r="G249" s="36" t="s">
        <v>25</v>
      </c>
      <c r="H249" s="36" t="s">
        <v>25</v>
      </c>
      <c r="I249" s="56">
        <v>44652</v>
      </c>
      <c r="J249" s="57">
        <f ca="1">EFEITO!$J$249*EFEITO!$Y$249</f>
        <v>-978.80335671150135</v>
      </c>
      <c r="K249" s="57">
        <f>EFEITO!$L$249*EFEITO!$Z$249</f>
        <v>0</v>
      </c>
      <c r="L249" s="57">
        <f>EFEITO!$N$249*EFEITO!$AA$249</f>
        <v>0</v>
      </c>
      <c r="M249" s="57">
        <f ca="1">$J$249-EFEITO!$K$249*EFEITO!$Y$249</f>
        <v>0</v>
      </c>
      <c r="N249" s="57">
        <f>$K$249-EFEITO!$M$249*EFEITO!$Z$249</f>
        <v>0</v>
      </c>
      <c r="O249" s="57">
        <f>$L$249-EFEITO!$O$249*EFEITO!$AA$249</f>
        <v>0</v>
      </c>
      <c r="P249" s="40"/>
      <c r="Q249" s="40"/>
      <c r="R249" s="40"/>
      <c r="S249" s="40"/>
      <c r="T249" s="40"/>
      <c r="U249" s="40"/>
      <c r="V249" s="40"/>
      <c r="W249" s="40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6" t="s">
        <v>28</v>
      </c>
      <c r="B250" s="36" t="s">
        <v>35</v>
      </c>
      <c r="C250" s="36" t="s">
        <v>36</v>
      </c>
      <c r="D250" s="36" t="s">
        <v>34</v>
      </c>
      <c r="E250" s="36" t="s">
        <v>25</v>
      </c>
      <c r="F250" s="36" t="s">
        <v>25</v>
      </c>
      <c r="G250" s="36" t="s">
        <v>25</v>
      </c>
      <c r="H250" s="36" t="s">
        <v>25</v>
      </c>
      <c r="I250" s="56">
        <v>44652</v>
      </c>
      <c r="J250" s="57">
        <f ca="1">EFEITO!$J$250*EFEITO!$Y$250</f>
        <v>20214.41714947666</v>
      </c>
      <c r="K250" s="57">
        <f>EFEITO!$L$250*EFEITO!$Z$250</f>
        <v>0</v>
      </c>
      <c r="L250" s="57">
        <f>EFEITO!$N$250*EFEITO!$AA$250</f>
        <v>0</v>
      </c>
      <c r="M250" s="57">
        <f ca="1">$J$250-EFEITO!$K$250*EFEITO!$Y$250</f>
        <v>0</v>
      </c>
      <c r="N250" s="57">
        <f>$K$250-EFEITO!$M$250*EFEITO!$Z$250</f>
        <v>0</v>
      </c>
      <c r="O250" s="57">
        <f>$L$250-EFEITO!$O$250*EFEITO!$AA$250</f>
        <v>0</v>
      </c>
      <c r="P250" s="40"/>
      <c r="Q250" s="40"/>
      <c r="R250" s="40"/>
      <c r="S250" s="40"/>
      <c r="T250" s="40"/>
      <c r="U250" s="40"/>
      <c r="V250" s="40"/>
      <c r="W250" s="40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6" t="s">
        <v>21</v>
      </c>
      <c r="B251" s="36" t="s">
        <v>35</v>
      </c>
      <c r="C251" s="36" t="s">
        <v>36</v>
      </c>
      <c r="D251" s="36" t="s">
        <v>34</v>
      </c>
      <c r="E251" s="36" t="s">
        <v>25</v>
      </c>
      <c r="F251" s="36" t="s">
        <v>25</v>
      </c>
      <c r="G251" s="36" t="s">
        <v>25</v>
      </c>
      <c r="H251" s="36" t="s">
        <v>25</v>
      </c>
      <c r="I251" s="56">
        <v>44682</v>
      </c>
      <c r="J251" s="57">
        <f ca="1">EFEITO!$J$251*EFEITO!$Y$251</f>
        <v>297705.1687771873</v>
      </c>
      <c r="K251" s="57">
        <f>EFEITO!$L$251*EFEITO!$Z$251</f>
        <v>0</v>
      </c>
      <c r="L251" s="57">
        <f>EFEITO!$N$251*EFEITO!$AA$251</f>
        <v>0</v>
      </c>
      <c r="M251" s="57">
        <f ca="1">$J$251-EFEITO!$K$251*EFEITO!$Y$251</f>
        <v>0</v>
      </c>
      <c r="N251" s="57">
        <f>$K$251-EFEITO!$M$251*EFEITO!$Z$251</f>
        <v>0</v>
      </c>
      <c r="O251" s="57">
        <f>$L$251-EFEITO!$O$251*EFEITO!$AA$251</f>
        <v>0</v>
      </c>
      <c r="P251" s="40"/>
      <c r="Q251" s="40"/>
      <c r="R251" s="40"/>
      <c r="S251" s="40"/>
      <c r="T251" s="40"/>
      <c r="U251" s="40"/>
      <c r="V251" s="40"/>
      <c r="W251" s="40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6" t="s">
        <v>28</v>
      </c>
      <c r="B252" s="36" t="s">
        <v>35</v>
      </c>
      <c r="C252" s="36" t="s">
        <v>36</v>
      </c>
      <c r="D252" s="36" t="s">
        <v>34</v>
      </c>
      <c r="E252" s="36" t="s">
        <v>25</v>
      </c>
      <c r="F252" s="36" t="s">
        <v>25</v>
      </c>
      <c r="G252" s="36" t="s">
        <v>25</v>
      </c>
      <c r="H252" s="36" t="s">
        <v>25</v>
      </c>
      <c r="I252" s="56">
        <v>44682</v>
      </c>
      <c r="J252" s="57">
        <f ca="1">EFEITO!$J$252*EFEITO!$Y$252</f>
        <v>16511.987061046199</v>
      </c>
      <c r="K252" s="57">
        <f>EFEITO!$L$252*EFEITO!$Z$252</f>
        <v>0</v>
      </c>
      <c r="L252" s="57">
        <f>EFEITO!$N$252*EFEITO!$AA$252</f>
        <v>0</v>
      </c>
      <c r="M252" s="57">
        <f ca="1">$J$252-EFEITO!$K$252*EFEITO!$Y$252</f>
        <v>0</v>
      </c>
      <c r="N252" s="57">
        <f>$K$252-EFEITO!$M$252*EFEITO!$Z$252</f>
        <v>0</v>
      </c>
      <c r="O252" s="57">
        <f>$L$252-EFEITO!$O$252*EFEITO!$AA$252</f>
        <v>0</v>
      </c>
      <c r="P252" s="40"/>
      <c r="Q252" s="40"/>
      <c r="R252" s="40"/>
      <c r="S252" s="40"/>
      <c r="T252" s="40"/>
      <c r="U252" s="40"/>
      <c r="V252" s="40"/>
      <c r="W252" s="40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6" t="s">
        <v>21</v>
      </c>
      <c r="B253" s="36" t="s">
        <v>35</v>
      </c>
      <c r="C253" s="36" t="s">
        <v>36</v>
      </c>
      <c r="D253" s="36" t="s">
        <v>34</v>
      </c>
      <c r="E253" s="36" t="s">
        <v>25</v>
      </c>
      <c r="F253" s="36" t="s">
        <v>25</v>
      </c>
      <c r="G253" s="36" t="s">
        <v>25</v>
      </c>
      <c r="H253" s="36" t="s">
        <v>25</v>
      </c>
      <c r="I253" s="56">
        <v>44713</v>
      </c>
      <c r="J253" s="57">
        <f ca="1">EFEITO!$J$253*EFEITO!$Y$253</f>
        <v>298109.45712017681</v>
      </c>
      <c r="K253" s="57">
        <f>EFEITO!$L$253*EFEITO!$Z$253</f>
        <v>0</v>
      </c>
      <c r="L253" s="57">
        <f>EFEITO!$N$253*EFEITO!$AA$253</f>
        <v>0</v>
      </c>
      <c r="M253" s="57">
        <f ca="1">$J$253-EFEITO!$K$253*EFEITO!$Y$253</f>
        <v>0</v>
      </c>
      <c r="N253" s="57">
        <f>$K$253-EFEITO!$M$253*EFEITO!$Z$253</f>
        <v>0</v>
      </c>
      <c r="O253" s="57">
        <f>$L$253-EFEITO!$O$253*EFEITO!$AA$253</f>
        <v>0</v>
      </c>
      <c r="P253" s="40"/>
      <c r="Q253" s="40"/>
      <c r="R253" s="40"/>
      <c r="S253" s="40"/>
      <c r="T253" s="40"/>
      <c r="U253" s="40"/>
      <c r="V253" s="40"/>
      <c r="W253" s="40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6" t="s">
        <v>28</v>
      </c>
      <c r="B254" s="36" t="s">
        <v>35</v>
      </c>
      <c r="C254" s="36" t="s">
        <v>36</v>
      </c>
      <c r="D254" s="36" t="s">
        <v>34</v>
      </c>
      <c r="E254" s="36" t="s">
        <v>25</v>
      </c>
      <c r="F254" s="36" t="s">
        <v>25</v>
      </c>
      <c r="G254" s="36" t="s">
        <v>25</v>
      </c>
      <c r="H254" s="36" t="s">
        <v>25</v>
      </c>
      <c r="I254" s="56">
        <v>44713</v>
      </c>
      <c r="J254" s="57">
        <f ca="1">EFEITO!$J$254*EFEITO!$Y$254</f>
        <v>16511.987061046199</v>
      </c>
      <c r="K254" s="57">
        <f>EFEITO!$L$254*EFEITO!$Z$254</f>
        <v>0</v>
      </c>
      <c r="L254" s="57">
        <f>EFEITO!$N$254*EFEITO!$AA$254</f>
        <v>0</v>
      </c>
      <c r="M254" s="57">
        <f ca="1">$J$254-EFEITO!$K$254*EFEITO!$Y$254</f>
        <v>0</v>
      </c>
      <c r="N254" s="57">
        <f>$K$254-EFEITO!$M$254*EFEITO!$Z$254</f>
        <v>0</v>
      </c>
      <c r="O254" s="57">
        <f>$L$254-EFEITO!$O$254*EFEITO!$AA$254</f>
        <v>0</v>
      </c>
      <c r="P254" s="40"/>
      <c r="Q254" s="40"/>
      <c r="R254" s="40"/>
      <c r="S254" s="40"/>
      <c r="T254" s="40"/>
      <c r="U254" s="40"/>
      <c r="V254" s="40"/>
      <c r="W254" s="40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6" t="s">
        <v>21</v>
      </c>
      <c r="B255" s="36" t="s">
        <v>35</v>
      </c>
      <c r="C255" s="36" t="s">
        <v>36</v>
      </c>
      <c r="D255" s="36" t="s">
        <v>34</v>
      </c>
      <c r="E255" s="36" t="s">
        <v>25</v>
      </c>
      <c r="F255" s="36" t="s">
        <v>25</v>
      </c>
      <c r="G255" s="36" t="s">
        <v>25</v>
      </c>
      <c r="H255" s="36" t="s">
        <v>25</v>
      </c>
      <c r="I255" s="56">
        <v>44743</v>
      </c>
      <c r="J255" s="57">
        <f ca="1">EFEITO!$J$255*EFEITO!$Y$255</f>
        <v>298556.30213084951</v>
      </c>
      <c r="K255" s="57">
        <f>EFEITO!$L$255*EFEITO!$Z$255</f>
        <v>0</v>
      </c>
      <c r="L255" s="57">
        <f>EFEITO!$N$255*EFEITO!$AA$255</f>
        <v>0</v>
      </c>
      <c r="M255" s="57">
        <f ca="1">$J$255-EFEITO!$K$255*EFEITO!$Y$255</f>
        <v>0</v>
      </c>
      <c r="N255" s="57">
        <f>$K$255-EFEITO!$M$255*EFEITO!$Z$255</f>
        <v>0</v>
      </c>
      <c r="O255" s="57">
        <f>$L$255-EFEITO!$O$255*EFEITO!$AA$255</f>
        <v>0</v>
      </c>
      <c r="P255" s="40"/>
      <c r="Q255" s="40"/>
      <c r="R255" s="40"/>
      <c r="S255" s="40"/>
      <c r="T255" s="40"/>
      <c r="U255" s="40"/>
      <c r="V255" s="40"/>
      <c r="W255" s="40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6" t="s">
        <v>21</v>
      </c>
      <c r="B256" s="36" t="s">
        <v>35</v>
      </c>
      <c r="C256" s="36" t="s">
        <v>36</v>
      </c>
      <c r="D256" s="36" t="s">
        <v>34</v>
      </c>
      <c r="E256" s="36" t="s">
        <v>25</v>
      </c>
      <c r="F256" s="36" t="s">
        <v>25</v>
      </c>
      <c r="G256" s="36" t="s">
        <v>25</v>
      </c>
      <c r="H256" s="36" t="s">
        <v>25</v>
      </c>
      <c r="I256" s="56">
        <v>44774</v>
      </c>
      <c r="J256" s="57">
        <f ca="1">EFEITO!$J$256*EFEITO!$Y$256</f>
        <v>294428.30536558793</v>
      </c>
      <c r="K256" s="57">
        <f>EFEITO!$L$256*EFEITO!$Z$256</f>
        <v>0</v>
      </c>
      <c r="L256" s="57">
        <f>EFEITO!$N$256*EFEITO!$AA$256</f>
        <v>0</v>
      </c>
      <c r="M256" s="57">
        <f ca="1">$J$256-EFEITO!$K$256*EFEITO!$Y$256</f>
        <v>0</v>
      </c>
      <c r="N256" s="57">
        <f>$K$256-EFEITO!$M$256*EFEITO!$Z$256</f>
        <v>0</v>
      </c>
      <c r="O256" s="57">
        <f>$L$256-EFEITO!$O$256*EFEITO!$AA$256</f>
        <v>0</v>
      </c>
      <c r="P256" s="40"/>
      <c r="Q256" s="40"/>
      <c r="R256" s="40"/>
      <c r="S256" s="40"/>
      <c r="T256" s="40"/>
      <c r="U256" s="40"/>
      <c r="V256" s="40"/>
      <c r="W256" s="40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6" t="s">
        <v>27</v>
      </c>
      <c r="B257" s="36" t="s">
        <v>35</v>
      </c>
      <c r="C257" s="36" t="s">
        <v>36</v>
      </c>
      <c r="D257" s="36" t="s">
        <v>34</v>
      </c>
      <c r="E257" s="36" t="s">
        <v>25</v>
      </c>
      <c r="F257" s="36" t="s">
        <v>25</v>
      </c>
      <c r="G257" s="36" t="s">
        <v>25</v>
      </c>
      <c r="H257" s="36" t="s">
        <v>25</v>
      </c>
      <c r="I257" s="56">
        <v>44774</v>
      </c>
      <c r="J257" s="57">
        <f ca="1">EFEITO!$J$257*EFEITO!$Y$257</f>
        <v>-2063.9983826307748</v>
      </c>
      <c r="K257" s="57">
        <f>EFEITO!$L$257*EFEITO!$Z$257</f>
        <v>0</v>
      </c>
      <c r="L257" s="57">
        <f>EFEITO!$N$257*EFEITO!$AA$257</f>
        <v>0</v>
      </c>
      <c r="M257" s="57">
        <f ca="1">$J$257-EFEITO!$K$257*EFEITO!$Y$257</f>
        <v>0</v>
      </c>
      <c r="N257" s="57">
        <f>$K$257-EFEITO!$M$257*EFEITO!$Z$257</f>
        <v>0</v>
      </c>
      <c r="O257" s="57">
        <f>$L$257-EFEITO!$O$257*EFEITO!$AA$257</f>
        <v>0</v>
      </c>
      <c r="P257" s="40"/>
      <c r="Q257" s="40"/>
      <c r="R257" s="40"/>
      <c r="S257" s="40"/>
      <c r="T257" s="40"/>
      <c r="U257" s="40"/>
      <c r="V257" s="40"/>
      <c r="W257" s="40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6" t="s">
        <v>28</v>
      </c>
      <c r="B258" s="36" t="s">
        <v>35</v>
      </c>
      <c r="C258" s="36" t="s">
        <v>36</v>
      </c>
      <c r="D258" s="36" t="s">
        <v>34</v>
      </c>
      <c r="E258" s="36" t="s">
        <v>25</v>
      </c>
      <c r="F258" s="36" t="s">
        <v>25</v>
      </c>
      <c r="G258" s="36" t="s">
        <v>25</v>
      </c>
      <c r="H258" s="36" t="s">
        <v>25</v>
      </c>
      <c r="I258" s="56">
        <v>44774</v>
      </c>
      <c r="J258" s="57">
        <f ca="1">EFEITO!$J$258*EFEITO!$Y$258</f>
        <v>23704.063899491579</v>
      </c>
      <c r="K258" s="57">
        <f>EFEITO!$L$258*EFEITO!$Z$258</f>
        <v>0</v>
      </c>
      <c r="L258" s="57">
        <f>EFEITO!$N$258*EFEITO!$AA$258</f>
        <v>0</v>
      </c>
      <c r="M258" s="57">
        <f ca="1">$J$258-EFEITO!$K$258*EFEITO!$Y$258</f>
        <v>0</v>
      </c>
      <c r="N258" s="57">
        <f>$K$258-EFEITO!$M$258*EFEITO!$Z$258</f>
        <v>0</v>
      </c>
      <c r="O258" s="57">
        <f>$L$258-EFEITO!$O$258*EFEITO!$AA$258</f>
        <v>0</v>
      </c>
      <c r="P258" s="40"/>
      <c r="Q258" s="40"/>
      <c r="R258" s="40"/>
      <c r="S258" s="40"/>
      <c r="T258" s="40"/>
      <c r="U258" s="40"/>
      <c r="V258" s="40"/>
      <c r="W258" s="40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6" t="s">
        <v>21</v>
      </c>
      <c r="B259" s="36" t="s">
        <v>35</v>
      </c>
      <c r="C259" s="36" t="s">
        <v>36</v>
      </c>
      <c r="D259" s="36" t="s">
        <v>34</v>
      </c>
      <c r="E259" s="36" t="s">
        <v>25</v>
      </c>
      <c r="F259" s="36" t="s">
        <v>25</v>
      </c>
      <c r="G259" s="36" t="s">
        <v>25</v>
      </c>
      <c r="H259" s="36" t="s">
        <v>37</v>
      </c>
      <c r="I259" s="56">
        <v>44440</v>
      </c>
      <c r="J259" s="57">
        <f>EFEITO!$J$259*EFEITO!$Y$259</f>
        <v>0</v>
      </c>
      <c r="K259" s="57">
        <f ca="1">EFEITO!$L$259*EFEITO!$Z$259</f>
        <v>386578.27726210962</v>
      </c>
      <c r="L259" s="57">
        <f>EFEITO!$N$259*EFEITO!$AA$259</f>
        <v>46368.417901819186</v>
      </c>
      <c r="M259" s="57">
        <f>$J$259-EFEITO!$K$259*EFEITO!$Y$259</f>
        <v>0</v>
      </c>
      <c r="N259" s="57">
        <f ca="1">$K$259-EFEITO!$M$259*EFEITO!$Z$259</f>
        <v>0</v>
      </c>
      <c r="O259" s="57">
        <f>$L$259-EFEITO!$O$259*EFEITO!$AA$259</f>
        <v>0</v>
      </c>
      <c r="P259" s="40"/>
      <c r="Q259" s="40"/>
      <c r="R259" s="40"/>
      <c r="S259" s="40"/>
      <c r="T259" s="40"/>
      <c r="U259" s="40"/>
      <c r="V259" s="40"/>
      <c r="W259" s="40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6" t="s">
        <v>28</v>
      </c>
      <c r="B260" s="36" t="s">
        <v>35</v>
      </c>
      <c r="C260" s="36" t="s">
        <v>36</v>
      </c>
      <c r="D260" s="36" t="s">
        <v>34</v>
      </c>
      <c r="E260" s="36" t="s">
        <v>25</v>
      </c>
      <c r="F260" s="36" t="s">
        <v>25</v>
      </c>
      <c r="G260" s="36" t="s">
        <v>25</v>
      </c>
      <c r="H260" s="36" t="s">
        <v>37</v>
      </c>
      <c r="I260" s="56">
        <v>44440</v>
      </c>
      <c r="J260" s="57">
        <f>EFEITO!$J$260*EFEITO!$Y$260</f>
        <v>0</v>
      </c>
      <c r="K260" s="57">
        <f ca="1">EFEITO!$L$260*EFEITO!$Z$260</f>
        <v>1570.1467842091774</v>
      </c>
      <c r="L260" s="57">
        <f>EFEITO!$N$260*EFEITO!$AA$260</f>
        <v>188.33241943402038</v>
      </c>
      <c r="M260" s="57">
        <f>$J$260-EFEITO!$K$260*EFEITO!$Y$260</f>
        <v>0</v>
      </c>
      <c r="N260" s="57">
        <f ca="1">$K$260-EFEITO!$M$260*EFEITO!$Z$260</f>
        <v>0</v>
      </c>
      <c r="O260" s="57">
        <f>$L$260-EFEITO!$O$260*EFEITO!$AA$260</f>
        <v>0</v>
      </c>
      <c r="P260" s="40"/>
      <c r="Q260" s="40"/>
      <c r="R260" s="40"/>
      <c r="S260" s="40"/>
      <c r="T260" s="40"/>
      <c r="U260" s="40"/>
      <c r="V260" s="40"/>
      <c r="W260" s="40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6" t="s">
        <v>21</v>
      </c>
      <c r="B261" s="36" t="s">
        <v>35</v>
      </c>
      <c r="C261" s="36" t="s">
        <v>36</v>
      </c>
      <c r="D261" s="36" t="s">
        <v>34</v>
      </c>
      <c r="E261" s="36" t="s">
        <v>25</v>
      </c>
      <c r="F261" s="36" t="s">
        <v>25</v>
      </c>
      <c r="G261" s="36" t="s">
        <v>25</v>
      </c>
      <c r="H261" s="36" t="s">
        <v>37</v>
      </c>
      <c r="I261" s="56">
        <v>44470</v>
      </c>
      <c r="J261" s="57">
        <f>EFEITO!$J$261*EFEITO!$Y$261</f>
        <v>0</v>
      </c>
      <c r="K261" s="57">
        <f ca="1">EFEITO!$L$261*EFEITO!$Z$261</f>
        <v>388975.88801035128</v>
      </c>
      <c r="L261" s="57">
        <f>EFEITO!$N$261*EFEITO!$AA$261</f>
        <v>46656.001099529458</v>
      </c>
      <c r="M261" s="57">
        <f>$J$261-EFEITO!$K$261*EFEITO!$Y$261</f>
        <v>0</v>
      </c>
      <c r="N261" s="57">
        <f ca="1">$K$261-EFEITO!$M$261*EFEITO!$Z$261</f>
        <v>0</v>
      </c>
      <c r="O261" s="57">
        <f>$L$261-EFEITO!$O$261*EFEITO!$AA$261</f>
        <v>0</v>
      </c>
      <c r="P261" s="40"/>
      <c r="Q261" s="40"/>
      <c r="R261" s="40"/>
      <c r="S261" s="40"/>
      <c r="T261" s="40"/>
      <c r="U261" s="40"/>
      <c r="V261" s="40"/>
      <c r="W261" s="40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6" t="s">
        <v>28</v>
      </c>
      <c r="B262" s="36" t="s">
        <v>35</v>
      </c>
      <c r="C262" s="36" t="s">
        <v>36</v>
      </c>
      <c r="D262" s="36" t="s">
        <v>34</v>
      </c>
      <c r="E262" s="36" t="s">
        <v>25</v>
      </c>
      <c r="F262" s="36" t="s">
        <v>25</v>
      </c>
      <c r="G262" s="36" t="s">
        <v>25</v>
      </c>
      <c r="H262" s="36" t="s">
        <v>37</v>
      </c>
      <c r="I262" s="56">
        <v>44470</v>
      </c>
      <c r="J262" s="57">
        <f>EFEITO!$J$262*EFEITO!$Y$262</f>
        <v>0</v>
      </c>
      <c r="K262" s="57">
        <f ca="1">EFEITO!$L$262*EFEITO!$Z$262</f>
        <v>1997.4437492423444</v>
      </c>
      <c r="L262" s="57">
        <f>EFEITO!$N$262*EFEITO!$AA$262</f>
        <v>239.58487051109719</v>
      </c>
      <c r="M262" s="57">
        <f>$J$262-EFEITO!$K$262*EFEITO!$Y$262</f>
        <v>0</v>
      </c>
      <c r="N262" s="57">
        <f ca="1">$K$262-EFEITO!$M$262*EFEITO!$Z$262</f>
        <v>0</v>
      </c>
      <c r="O262" s="57">
        <f>$L$262-EFEITO!$O$262*EFEITO!$AA$262</f>
        <v>0</v>
      </c>
      <c r="P262" s="40"/>
      <c r="Q262" s="40"/>
      <c r="R262" s="40"/>
      <c r="S262" s="40"/>
      <c r="T262" s="40"/>
      <c r="U262" s="40"/>
      <c r="V262" s="40"/>
      <c r="W262" s="40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6" t="s">
        <v>21</v>
      </c>
      <c r="B263" s="36" t="s">
        <v>35</v>
      </c>
      <c r="C263" s="36" t="s">
        <v>36</v>
      </c>
      <c r="D263" s="36" t="s">
        <v>34</v>
      </c>
      <c r="E263" s="36" t="s">
        <v>25</v>
      </c>
      <c r="F263" s="36" t="s">
        <v>25</v>
      </c>
      <c r="G263" s="36" t="s">
        <v>25</v>
      </c>
      <c r="H263" s="36" t="s">
        <v>37</v>
      </c>
      <c r="I263" s="56">
        <v>44501</v>
      </c>
      <c r="J263" s="57">
        <f>EFEITO!$J$263*EFEITO!$Y$263</f>
        <v>0</v>
      </c>
      <c r="K263" s="57">
        <f ca="1">EFEITO!$L$263*EFEITO!$Z$263</f>
        <v>391761.79639745248</v>
      </c>
      <c r="L263" s="57">
        <f>EFEITO!$N$263*EFEITO!$AA$263</f>
        <v>46990.1589452423</v>
      </c>
      <c r="M263" s="57">
        <f>$J$263-EFEITO!$K$263*EFEITO!$Y$263</f>
        <v>0</v>
      </c>
      <c r="N263" s="57">
        <f ca="1">$K$263-EFEITO!$M$263*EFEITO!$Z$263</f>
        <v>0</v>
      </c>
      <c r="O263" s="57">
        <f>$L$263-EFEITO!$O$263*EFEITO!$AA$263</f>
        <v>0</v>
      </c>
      <c r="P263" s="40"/>
      <c r="Q263" s="40"/>
      <c r="R263" s="40"/>
      <c r="S263" s="40"/>
      <c r="T263" s="40"/>
      <c r="U263" s="40"/>
      <c r="V263" s="40"/>
      <c r="W263" s="40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6" t="s">
        <v>28</v>
      </c>
      <c r="B264" s="36" t="s">
        <v>35</v>
      </c>
      <c r="C264" s="36" t="s">
        <v>36</v>
      </c>
      <c r="D264" s="36" t="s">
        <v>34</v>
      </c>
      <c r="E264" s="36" t="s">
        <v>25</v>
      </c>
      <c r="F264" s="36" t="s">
        <v>25</v>
      </c>
      <c r="G264" s="36" t="s">
        <v>25</v>
      </c>
      <c r="H264" s="36" t="s">
        <v>37</v>
      </c>
      <c r="I264" s="56">
        <v>44501</v>
      </c>
      <c r="J264" s="57">
        <f>EFEITO!$J$264*EFEITO!$Y$264</f>
        <v>0</v>
      </c>
      <c r="K264" s="57">
        <f ca="1">EFEITO!$L$264*EFEITO!$Z$264</f>
        <v>2233.1353291614328</v>
      </c>
      <c r="L264" s="57">
        <f>EFEITO!$N$264*EFEITO!$AA$264</f>
        <v>267.85507170043718</v>
      </c>
      <c r="M264" s="57">
        <f>$J$264-EFEITO!$K$264*EFEITO!$Y$264</f>
        <v>0</v>
      </c>
      <c r="N264" s="57">
        <f ca="1">$K$264-EFEITO!$M$264*EFEITO!$Z$264</f>
        <v>0</v>
      </c>
      <c r="O264" s="57">
        <f>$L$264-EFEITO!$O$264*EFEITO!$AA$264</f>
        <v>0</v>
      </c>
      <c r="P264" s="40"/>
      <c r="Q264" s="40"/>
      <c r="R264" s="40"/>
      <c r="S264" s="40"/>
      <c r="T264" s="40"/>
      <c r="U264" s="40"/>
      <c r="V264" s="40"/>
      <c r="W264" s="40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6" t="s">
        <v>21</v>
      </c>
      <c r="B265" s="36" t="s">
        <v>35</v>
      </c>
      <c r="C265" s="36" t="s">
        <v>36</v>
      </c>
      <c r="D265" s="36" t="s">
        <v>34</v>
      </c>
      <c r="E265" s="36" t="s">
        <v>25</v>
      </c>
      <c r="F265" s="36" t="s">
        <v>25</v>
      </c>
      <c r="G265" s="36" t="s">
        <v>25</v>
      </c>
      <c r="H265" s="36" t="s">
        <v>37</v>
      </c>
      <c r="I265" s="56">
        <v>44531</v>
      </c>
      <c r="J265" s="57">
        <f>EFEITO!$J$265*EFEITO!$Y$265</f>
        <v>0</v>
      </c>
      <c r="K265" s="57">
        <f ca="1">EFEITO!$L$265*EFEITO!$Z$265</f>
        <v>318254.84905160795</v>
      </c>
      <c r="L265" s="57">
        <f>EFEITO!$N$265*EFEITO!$AA$265</f>
        <v>38173.313680788502</v>
      </c>
      <c r="M265" s="57">
        <f>$J$265-EFEITO!$K$265*EFEITO!$Y$265</f>
        <v>0</v>
      </c>
      <c r="N265" s="57">
        <f ca="1">$K$265-EFEITO!$M$265*EFEITO!$Z$265</f>
        <v>0</v>
      </c>
      <c r="O265" s="57">
        <f>$L$265-EFEITO!$O$265*EFEITO!$AA$265</f>
        <v>0</v>
      </c>
      <c r="P265" s="40"/>
      <c r="Q265" s="40"/>
      <c r="R265" s="40"/>
      <c r="S265" s="40"/>
      <c r="T265" s="40"/>
      <c r="U265" s="40"/>
      <c r="V265" s="40"/>
      <c r="W265" s="40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6" t="s">
        <v>28</v>
      </c>
      <c r="B266" s="36" t="s">
        <v>35</v>
      </c>
      <c r="C266" s="36" t="s">
        <v>36</v>
      </c>
      <c r="D266" s="36" t="s">
        <v>34</v>
      </c>
      <c r="E266" s="36" t="s">
        <v>25</v>
      </c>
      <c r="F266" s="36" t="s">
        <v>25</v>
      </c>
      <c r="G266" s="36" t="s">
        <v>25</v>
      </c>
      <c r="H266" s="36" t="s">
        <v>37</v>
      </c>
      <c r="I266" s="56">
        <v>44531</v>
      </c>
      <c r="J266" s="57">
        <f>EFEITO!$J$266*EFEITO!$Y$266</f>
        <v>0</v>
      </c>
      <c r="K266" s="57">
        <f ca="1">EFEITO!$L$266*EFEITO!$Z$266</f>
        <v>1795.6646268655711</v>
      </c>
      <c r="L266" s="57">
        <f>EFEITO!$N$266*EFEITO!$AA$266</f>
        <v>215.38232416914423</v>
      </c>
      <c r="M266" s="57">
        <f>$J$266-EFEITO!$K$266*EFEITO!$Y$266</f>
        <v>0</v>
      </c>
      <c r="N266" s="57">
        <f ca="1">$K$266-EFEITO!$M$266*EFEITO!$Z$266</f>
        <v>0</v>
      </c>
      <c r="O266" s="57">
        <f>$L$266-EFEITO!$O$266*EFEITO!$AA$266</f>
        <v>0</v>
      </c>
      <c r="P266" s="40"/>
      <c r="Q266" s="40"/>
      <c r="R266" s="40"/>
      <c r="S266" s="40"/>
      <c r="T266" s="40"/>
      <c r="U266" s="40"/>
      <c r="V266" s="40"/>
      <c r="W266" s="40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6" t="s">
        <v>21</v>
      </c>
      <c r="B267" s="36" t="s">
        <v>35</v>
      </c>
      <c r="C267" s="36" t="s">
        <v>36</v>
      </c>
      <c r="D267" s="36" t="s">
        <v>34</v>
      </c>
      <c r="E267" s="36" t="s">
        <v>25</v>
      </c>
      <c r="F267" s="36" t="s">
        <v>25</v>
      </c>
      <c r="G267" s="36" t="s">
        <v>25</v>
      </c>
      <c r="H267" s="36" t="s">
        <v>37</v>
      </c>
      <c r="I267" s="56">
        <v>44562</v>
      </c>
      <c r="J267" s="57">
        <f>EFEITO!$J$267*EFEITO!$Y$267</f>
        <v>0</v>
      </c>
      <c r="K267" s="57">
        <f ca="1">EFEITO!$L$267*EFEITO!$Z$267</f>
        <v>356881.13819230453</v>
      </c>
      <c r="L267" s="57">
        <f>EFEITO!$N$267*EFEITO!$AA$267</f>
        <v>42806.372551962355</v>
      </c>
      <c r="M267" s="57">
        <f>$J$267-EFEITO!$K$267*EFEITO!$Y$267</f>
        <v>0</v>
      </c>
      <c r="N267" s="57">
        <f ca="1">$K$267-EFEITO!$M$267*EFEITO!$Z$267</f>
        <v>0</v>
      </c>
      <c r="O267" s="57">
        <f>$L$267-EFEITO!$O$267*EFEITO!$AA$267</f>
        <v>0</v>
      </c>
      <c r="P267" s="40"/>
      <c r="Q267" s="40"/>
      <c r="R267" s="40"/>
      <c r="S267" s="40"/>
      <c r="T267" s="40"/>
      <c r="U267" s="40"/>
      <c r="V267" s="40"/>
      <c r="W267" s="40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6" t="s">
        <v>28</v>
      </c>
      <c r="B268" s="36" t="s">
        <v>35</v>
      </c>
      <c r="C268" s="36" t="s">
        <v>36</v>
      </c>
      <c r="D268" s="36" t="s">
        <v>34</v>
      </c>
      <c r="E268" s="36" t="s">
        <v>25</v>
      </c>
      <c r="F268" s="36" t="s">
        <v>25</v>
      </c>
      <c r="G268" s="36" t="s">
        <v>25</v>
      </c>
      <c r="H268" s="36" t="s">
        <v>37</v>
      </c>
      <c r="I268" s="56">
        <v>44562</v>
      </c>
      <c r="J268" s="57">
        <f>EFEITO!$J$268*EFEITO!$Y$268</f>
        <v>0</v>
      </c>
      <c r="K268" s="57">
        <f ca="1">EFEITO!$L$268*EFEITO!$Z$268</f>
        <v>2097.4854989921732</v>
      </c>
      <c r="L268" s="57">
        <f>EFEITO!$N$268*EFEITO!$AA$268</f>
        <v>251.58445231088902</v>
      </c>
      <c r="M268" s="57">
        <f>$J$268-EFEITO!$K$268*EFEITO!$Y$268</f>
        <v>0</v>
      </c>
      <c r="N268" s="57">
        <f ca="1">$K$268-EFEITO!$M$268*EFEITO!$Z$268</f>
        <v>0</v>
      </c>
      <c r="O268" s="57">
        <f>$L$268-EFEITO!$O$268*EFEITO!$AA$268</f>
        <v>0</v>
      </c>
      <c r="P268" s="40"/>
      <c r="Q268" s="40"/>
      <c r="R268" s="40"/>
      <c r="S268" s="40"/>
      <c r="T268" s="40"/>
      <c r="U268" s="40"/>
      <c r="V268" s="40"/>
      <c r="W268" s="40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6" t="s">
        <v>21</v>
      </c>
      <c r="B269" s="36" t="s">
        <v>35</v>
      </c>
      <c r="C269" s="36" t="s">
        <v>36</v>
      </c>
      <c r="D269" s="36" t="s">
        <v>34</v>
      </c>
      <c r="E269" s="36" t="s">
        <v>25</v>
      </c>
      <c r="F269" s="36" t="s">
        <v>25</v>
      </c>
      <c r="G269" s="36" t="s">
        <v>25</v>
      </c>
      <c r="H269" s="36" t="s">
        <v>37</v>
      </c>
      <c r="I269" s="56">
        <v>44593</v>
      </c>
      <c r="J269" s="57">
        <f>EFEITO!$J$269*EFEITO!$Y$269</f>
        <v>0</v>
      </c>
      <c r="K269" s="57">
        <f ca="1">EFEITO!$L$269*EFEITO!$Z$269</f>
        <v>382390.08875563374</v>
      </c>
      <c r="L269" s="57">
        <f>EFEITO!$N$269*EFEITO!$AA$269</f>
        <v>45866.062528166884</v>
      </c>
      <c r="M269" s="57">
        <f>$J$269-EFEITO!$K$269*EFEITO!$Y$269</f>
        <v>0</v>
      </c>
      <c r="N269" s="57">
        <f ca="1">$K$269-EFEITO!$M$269*EFEITO!$Z$269</f>
        <v>0</v>
      </c>
      <c r="O269" s="57">
        <f>$L$269-EFEITO!$O$269*EFEITO!$AA$269</f>
        <v>0</v>
      </c>
      <c r="P269" s="40"/>
      <c r="Q269" s="40"/>
      <c r="R269" s="40"/>
      <c r="S269" s="40"/>
      <c r="T269" s="40"/>
      <c r="U269" s="40"/>
      <c r="V269" s="40"/>
      <c r="W269" s="40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6" t="s">
        <v>28</v>
      </c>
      <c r="B270" s="36" t="s">
        <v>35</v>
      </c>
      <c r="C270" s="36" t="s">
        <v>36</v>
      </c>
      <c r="D270" s="36" t="s">
        <v>34</v>
      </c>
      <c r="E270" s="36" t="s">
        <v>25</v>
      </c>
      <c r="F270" s="36" t="s">
        <v>25</v>
      </c>
      <c r="G270" s="36" t="s">
        <v>25</v>
      </c>
      <c r="H270" s="36" t="s">
        <v>37</v>
      </c>
      <c r="I270" s="56">
        <v>44593</v>
      </c>
      <c r="J270" s="57">
        <f>EFEITO!$J$270*EFEITO!$Y$270</f>
        <v>0</v>
      </c>
      <c r="K270" s="57">
        <f ca="1">EFEITO!$L$270*EFEITO!$Z$270</f>
        <v>1887.2282622298212</v>
      </c>
      <c r="L270" s="57">
        <f>EFEITO!$N$270*EFEITO!$AA$270</f>
        <v>226.36499225708928</v>
      </c>
      <c r="M270" s="57">
        <f>$J$270-EFEITO!$K$270*EFEITO!$Y$270</f>
        <v>0</v>
      </c>
      <c r="N270" s="57">
        <f ca="1">$K$270-EFEITO!$M$270*EFEITO!$Z$270</f>
        <v>0</v>
      </c>
      <c r="O270" s="57">
        <f>$L$270-EFEITO!$O$270*EFEITO!$AA$270</f>
        <v>0</v>
      </c>
      <c r="P270" s="40"/>
      <c r="Q270" s="40"/>
      <c r="R270" s="40"/>
      <c r="S270" s="40"/>
      <c r="T270" s="40"/>
      <c r="U270" s="40"/>
      <c r="V270" s="40"/>
      <c r="W270" s="40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6" t="s">
        <v>21</v>
      </c>
      <c r="B271" s="36" t="s">
        <v>35</v>
      </c>
      <c r="C271" s="36" t="s">
        <v>36</v>
      </c>
      <c r="D271" s="36" t="s">
        <v>34</v>
      </c>
      <c r="E271" s="36" t="s">
        <v>25</v>
      </c>
      <c r="F271" s="36" t="s">
        <v>25</v>
      </c>
      <c r="G271" s="36" t="s">
        <v>25</v>
      </c>
      <c r="H271" s="36" t="s">
        <v>37</v>
      </c>
      <c r="I271" s="56">
        <v>44621</v>
      </c>
      <c r="J271" s="57">
        <f>EFEITO!$J$271*EFEITO!$Y$271</f>
        <v>0</v>
      </c>
      <c r="K271" s="57">
        <f ca="1">EFEITO!$L$271*EFEITO!$Z$271</f>
        <v>423810.76439781708</v>
      </c>
      <c r="L271" s="57">
        <f>EFEITO!$N$271*EFEITO!$AA$271</f>
        <v>50834.296158765428</v>
      </c>
      <c r="M271" s="57">
        <f>$J$271-EFEITO!$K$271*EFEITO!$Y$271</f>
        <v>0</v>
      </c>
      <c r="N271" s="57">
        <f ca="1">$K$271-EFEITO!$M$271*EFEITO!$Z$271</f>
        <v>0</v>
      </c>
      <c r="O271" s="57">
        <f>$L$271-EFEITO!$O$271*EFEITO!$AA$271</f>
        <v>0</v>
      </c>
      <c r="P271" s="40"/>
      <c r="Q271" s="40"/>
      <c r="R271" s="40"/>
      <c r="S271" s="40"/>
      <c r="T271" s="40"/>
      <c r="U271" s="40"/>
      <c r="V271" s="40"/>
      <c r="W271" s="40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6" t="s">
        <v>28</v>
      </c>
      <c r="B272" s="36" t="s">
        <v>35</v>
      </c>
      <c r="C272" s="36" t="s">
        <v>36</v>
      </c>
      <c r="D272" s="36" t="s">
        <v>34</v>
      </c>
      <c r="E272" s="36" t="s">
        <v>25</v>
      </c>
      <c r="F272" s="36" t="s">
        <v>25</v>
      </c>
      <c r="G272" s="36" t="s">
        <v>25</v>
      </c>
      <c r="H272" s="36" t="s">
        <v>37</v>
      </c>
      <c r="I272" s="56">
        <v>44621</v>
      </c>
      <c r="J272" s="57">
        <f>EFEITO!$J$272*EFEITO!$Y$272</f>
        <v>0</v>
      </c>
      <c r="K272" s="57">
        <f ca="1">EFEITO!$L$272*EFEITO!$Z$272</f>
        <v>2633.3023281607475</v>
      </c>
      <c r="L272" s="57">
        <f>EFEITO!$N$272*EFEITO!$AA$272</f>
        <v>315.85339889960437</v>
      </c>
      <c r="M272" s="57">
        <f>$J$272-EFEITO!$K$272*EFEITO!$Y$272</f>
        <v>0</v>
      </c>
      <c r="N272" s="57">
        <f ca="1">$K$272-EFEITO!$M$272*EFEITO!$Z$272</f>
        <v>0</v>
      </c>
      <c r="O272" s="57">
        <f>$L$272-EFEITO!$O$272*EFEITO!$AA$272</f>
        <v>0</v>
      </c>
      <c r="P272" s="40"/>
      <c r="Q272" s="40"/>
      <c r="R272" s="40"/>
      <c r="S272" s="40"/>
      <c r="T272" s="40"/>
      <c r="U272" s="40"/>
      <c r="V272" s="40"/>
      <c r="W272" s="40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6" t="s">
        <v>21</v>
      </c>
      <c r="B273" s="36" t="s">
        <v>35</v>
      </c>
      <c r="C273" s="36" t="s">
        <v>36</v>
      </c>
      <c r="D273" s="36" t="s">
        <v>34</v>
      </c>
      <c r="E273" s="36" t="s">
        <v>25</v>
      </c>
      <c r="F273" s="36" t="s">
        <v>25</v>
      </c>
      <c r="G273" s="36" t="s">
        <v>25</v>
      </c>
      <c r="H273" s="36" t="s">
        <v>37</v>
      </c>
      <c r="I273" s="56">
        <v>44652</v>
      </c>
      <c r="J273" s="57">
        <f>EFEITO!$J$273*EFEITO!$Y$273</f>
        <v>0</v>
      </c>
      <c r="K273" s="57">
        <f ca="1">EFEITO!$L$273*EFEITO!$Z$273</f>
        <v>359933.25937111286</v>
      </c>
      <c r="L273" s="57">
        <f>EFEITO!$N$273*EFEITO!$AA$273</f>
        <v>43172.461488227185</v>
      </c>
      <c r="M273" s="57">
        <f>$J$273-EFEITO!$K$273*EFEITO!$Y$273</f>
        <v>0</v>
      </c>
      <c r="N273" s="57">
        <f ca="1">$K$273-EFEITO!$M$273*EFEITO!$Z$273</f>
        <v>0</v>
      </c>
      <c r="O273" s="57">
        <f>$L$273-EFEITO!$O$273*EFEITO!$AA$273</f>
        <v>0</v>
      </c>
      <c r="P273" s="40"/>
      <c r="Q273" s="40"/>
      <c r="R273" s="40"/>
      <c r="S273" s="40"/>
      <c r="T273" s="40"/>
      <c r="U273" s="40"/>
      <c r="V273" s="40"/>
      <c r="W273" s="40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6" t="s">
        <v>28</v>
      </c>
      <c r="B274" s="36" t="s">
        <v>35</v>
      </c>
      <c r="C274" s="36" t="s">
        <v>36</v>
      </c>
      <c r="D274" s="36" t="s">
        <v>34</v>
      </c>
      <c r="E274" s="36" t="s">
        <v>25</v>
      </c>
      <c r="F274" s="36" t="s">
        <v>25</v>
      </c>
      <c r="G274" s="36" t="s">
        <v>25</v>
      </c>
      <c r="H274" s="36" t="s">
        <v>37</v>
      </c>
      <c r="I274" s="56">
        <v>44652</v>
      </c>
      <c r="J274" s="57">
        <f>EFEITO!$J$274*EFEITO!$Y$274</f>
        <v>0</v>
      </c>
      <c r="K274" s="57">
        <f ca="1">EFEITO!$L$274*EFEITO!$Z$274</f>
        <v>2626.5198366522845</v>
      </c>
      <c r="L274" s="57">
        <f>EFEITO!$N$274*EFEITO!$AA$274</f>
        <v>315.03986793012695</v>
      </c>
      <c r="M274" s="57">
        <f>$J$274-EFEITO!$K$274*EFEITO!$Y$274</f>
        <v>0</v>
      </c>
      <c r="N274" s="57">
        <f ca="1">$K$274-EFEITO!$M$274*EFEITO!$Z$274</f>
        <v>0</v>
      </c>
      <c r="O274" s="57">
        <f>$L$274-EFEITO!$O$274*EFEITO!$AA$274</f>
        <v>0</v>
      </c>
      <c r="P274" s="40"/>
      <c r="Q274" s="40"/>
      <c r="R274" s="40"/>
      <c r="S274" s="40"/>
      <c r="T274" s="40"/>
      <c r="U274" s="40"/>
      <c r="V274" s="40"/>
      <c r="W274" s="40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6" t="s">
        <v>21</v>
      </c>
      <c r="B275" s="36" t="s">
        <v>35</v>
      </c>
      <c r="C275" s="36" t="s">
        <v>36</v>
      </c>
      <c r="D275" s="36" t="s">
        <v>34</v>
      </c>
      <c r="E275" s="36" t="s">
        <v>25</v>
      </c>
      <c r="F275" s="36" t="s">
        <v>25</v>
      </c>
      <c r="G275" s="36" t="s">
        <v>25</v>
      </c>
      <c r="H275" s="36" t="s">
        <v>37</v>
      </c>
      <c r="I275" s="56">
        <v>44682</v>
      </c>
      <c r="J275" s="57">
        <f>EFEITO!$J$275*EFEITO!$Y$275</f>
        <v>0</v>
      </c>
      <c r="K275" s="57">
        <f ca="1">EFEITO!$L$275*EFEITO!$Z$275</f>
        <v>385204.82273164584</v>
      </c>
      <c r="L275" s="57">
        <f>EFEITO!$N$275*EFEITO!$AA$275</f>
        <v>46203.677880500014</v>
      </c>
      <c r="M275" s="57">
        <f>$J$275-EFEITO!$K$275*EFEITO!$Y$275</f>
        <v>0</v>
      </c>
      <c r="N275" s="57">
        <f ca="1">$K$275-EFEITO!$M$275*EFEITO!$Z$275</f>
        <v>0</v>
      </c>
      <c r="O275" s="57">
        <f>$L$275-EFEITO!$O$275*EFEITO!$AA$275</f>
        <v>0</v>
      </c>
      <c r="P275" s="40"/>
      <c r="Q275" s="40"/>
      <c r="R275" s="40"/>
      <c r="S275" s="40"/>
      <c r="T275" s="40"/>
      <c r="U275" s="40"/>
      <c r="V275" s="40"/>
      <c r="W275" s="40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6" t="s">
        <v>28</v>
      </c>
      <c r="B276" s="36" t="s">
        <v>35</v>
      </c>
      <c r="C276" s="36" t="s">
        <v>36</v>
      </c>
      <c r="D276" s="36" t="s">
        <v>34</v>
      </c>
      <c r="E276" s="36" t="s">
        <v>25</v>
      </c>
      <c r="F276" s="36" t="s">
        <v>25</v>
      </c>
      <c r="G276" s="36" t="s">
        <v>25</v>
      </c>
      <c r="H276" s="36" t="s">
        <v>37</v>
      </c>
      <c r="I276" s="56">
        <v>44682</v>
      </c>
      <c r="J276" s="57">
        <f>EFEITO!$J$276*EFEITO!$Y$276</f>
        <v>0</v>
      </c>
      <c r="K276" s="57">
        <f ca="1">EFEITO!$L$276*EFEITO!$Z$276</f>
        <v>1760.0565464461406</v>
      </c>
      <c r="L276" s="57">
        <f>EFEITO!$N$276*EFEITO!$AA$276</f>
        <v>211.11128657938787</v>
      </c>
      <c r="M276" s="57">
        <f>$J$276-EFEITO!$K$276*EFEITO!$Y$276</f>
        <v>0</v>
      </c>
      <c r="N276" s="57">
        <f ca="1">$K$276-EFEITO!$M$276*EFEITO!$Z$276</f>
        <v>0</v>
      </c>
      <c r="O276" s="57">
        <f>$L$276-EFEITO!$O$276*EFEITO!$AA$276</f>
        <v>0</v>
      </c>
      <c r="P276" s="40"/>
      <c r="Q276" s="40"/>
      <c r="R276" s="40"/>
      <c r="S276" s="40"/>
      <c r="T276" s="40"/>
      <c r="U276" s="40"/>
      <c r="V276" s="40"/>
      <c r="W276" s="40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6" t="s">
        <v>21</v>
      </c>
      <c r="B277" s="36" t="s">
        <v>35</v>
      </c>
      <c r="C277" s="36" t="s">
        <v>36</v>
      </c>
      <c r="D277" s="36" t="s">
        <v>34</v>
      </c>
      <c r="E277" s="36" t="s">
        <v>25</v>
      </c>
      <c r="F277" s="36" t="s">
        <v>25</v>
      </c>
      <c r="G277" s="36" t="s">
        <v>25</v>
      </c>
      <c r="H277" s="36" t="s">
        <v>37</v>
      </c>
      <c r="I277" s="56">
        <v>44713</v>
      </c>
      <c r="J277" s="57">
        <f>EFEITO!$J$277*EFEITO!$Y$277</f>
        <v>0</v>
      </c>
      <c r="K277" s="57">
        <f ca="1">EFEITO!$L$277*EFEITO!$Z$277</f>
        <v>398033.90541990357</v>
      </c>
      <c r="L277" s="57">
        <f>EFEITO!$N$277*EFEITO!$AA$277</f>
        <v>47742.471709266531</v>
      </c>
      <c r="M277" s="57">
        <f>$J$277-EFEITO!$K$277*EFEITO!$Y$277</f>
        <v>0</v>
      </c>
      <c r="N277" s="57">
        <f ca="1">$K$277-EFEITO!$M$277*EFEITO!$Z$277</f>
        <v>0</v>
      </c>
      <c r="O277" s="57">
        <f>$L$277-EFEITO!$O$277*EFEITO!$AA$277</f>
        <v>0</v>
      </c>
      <c r="P277" s="40"/>
      <c r="Q277" s="40"/>
      <c r="R277" s="40"/>
      <c r="S277" s="40"/>
      <c r="T277" s="40"/>
      <c r="U277" s="40"/>
      <c r="V277" s="40"/>
      <c r="W277" s="40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6" t="s">
        <v>28</v>
      </c>
      <c r="B278" s="36" t="s">
        <v>35</v>
      </c>
      <c r="C278" s="36" t="s">
        <v>36</v>
      </c>
      <c r="D278" s="36" t="s">
        <v>34</v>
      </c>
      <c r="E278" s="36" t="s">
        <v>25</v>
      </c>
      <c r="F278" s="36" t="s">
        <v>25</v>
      </c>
      <c r="G278" s="36" t="s">
        <v>25</v>
      </c>
      <c r="H278" s="36" t="s">
        <v>37</v>
      </c>
      <c r="I278" s="56">
        <v>44713</v>
      </c>
      <c r="J278" s="57">
        <f>EFEITO!$J$278*EFEITO!$Y$278</f>
        <v>0</v>
      </c>
      <c r="K278" s="57">
        <f ca="1">EFEITO!$L$278*EFEITO!$Z$278</f>
        <v>1875.3589020900113</v>
      </c>
      <c r="L278" s="57">
        <f>EFEITO!$N$278*EFEITO!$AA$278</f>
        <v>224.94131306050383</v>
      </c>
      <c r="M278" s="57">
        <f>$J$278-EFEITO!$K$278*EFEITO!$Y$278</f>
        <v>0</v>
      </c>
      <c r="N278" s="57">
        <f ca="1">$K$278-EFEITO!$M$278*EFEITO!$Z$278</f>
        <v>0</v>
      </c>
      <c r="O278" s="57">
        <f>$L$278-EFEITO!$O$278*EFEITO!$AA$278</f>
        <v>0</v>
      </c>
      <c r="P278" s="40"/>
      <c r="Q278" s="40"/>
      <c r="R278" s="40"/>
      <c r="S278" s="40"/>
      <c r="T278" s="40"/>
      <c r="U278" s="40"/>
      <c r="V278" s="40"/>
      <c r="W278" s="40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6" t="s">
        <v>21</v>
      </c>
      <c r="B279" s="36" t="s">
        <v>35</v>
      </c>
      <c r="C279" s="36" t="s">
        <v>36</v>
      </c>
      <c r="D279" s="36" t="s">
        <v>34</v>
      </c>
      <c r="E279" s="36" t="s">
        <v>25</v>
      </c>
      <c r="F279" s="36" t="s">
        <v>25</v>
      </c>
      <c r="G279" s="36" t="s">
        <v>25</v>
      </c>
      <c r="H279" s="36" t="s">
        <v>37</v>
      </c>
      <c r="I279" s="56">
        <v>44743</v>
      </c>
      <c r="J279" s="57">
        <f>EFEITO!$J$279*EFEITO!$Y$279</f>
        <v>0</v>
      </c>
      <c r="K279" s="57">
        <f ca="1">EFEITO!$L$279*EFEITO!$Z$279</f>
        <v>397069.09600282472</v>
      </c>
      <c r="L279" s="57">
        <f>EFEITO!$N$279*EFEITO!$AA$279</f>
        <v>47626.746928858374</v>
      </c>
      <c r="M279" s="57">
        <f>$J$279-EFEITO!$K$279*EFEITO!$Y$279</f>
        <v>0</v>
      </c>
      <c r="N279" s="57">
        <f ca="1">$K$279-EFEITO!$M$279*EFEITO!$Z$279</f>
        <v>0</v>
      </c>
      <c r="O279" s="57">
        <f>$L$279-EFEITO!$O$279*EFEITO!$AA$279</f>
        <v>0</v>
      </c>
      <c r="P279" s="40"/>
      <c r="Q279" s="40"/>
      <c r="R279" s="40"/>
      <c r="S279" s="40"/>
      <c r="T279" s="40"/>
      <c r="U279" s="40"/>
      <c r="V279" s="40"/>
      <c r="W279" s="40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6" t="s">
        <v>21</v>
      </c>
      <c r="B280" s="36" t="s">
        <v>35</v>
      </c>
      <c r="C280" s="36" t="s">
        <v>36</v>
      </c>
      <c r="D280" s="36" t="s">
        <v>34</v>
      </c>
      <c r="E280" s="36" t="s">
        <v>25</v>
      </c>
      <c r="F280" s="36" t="s">
        <v>25</v>
      </c>
      <c r="G280" s="36" t="s">
        <v>25</v>
      </c>
      <c r="H280" s="36" t="s">
        <v>37</v>
      </c>
      <c r="I280" s="56">
        <v>44774</v>
      </c>
      <c r="J280" s="57">
        <f>EFEITO!$J$280*EFEITO!$Y$280</f>
        <v>0</v>
      </c>
      <c r="K280" s="57">
        <f ca="1">EFEITO!$L$280*EFEITO!$Z$280</f>
        <v>448731.33382278722</v>
      </c>
      <c r="L280" s="57">
        <f>EFEITO!$N$280*EFEITO!$AA$280</f>
        <v>53823.412323367811</v>
      </c>
      <c r="M280" s="57">
        <f>$J$280-EFEITO!$K$280*EFEITO!$Y$280</f>
        <v>0</v>
      </c>
      <c r="N280" s="57">
        <f ca="1">$K$280-EFEITO!$M$280*EFEITO!$Z$280</f>
        <v>0</v>
      </c>
      <c r="O280" s="57">
        <f>$L$280-EFEITO!$O$280*EFEITO!$AA$280</f>
        <v>0</v>
      </c>
      <c r="P280" s="40"/>
      <c r="Q280" s="40"/>
      <c r="R280" s="40"/>
      <c r="S280" s="40"/>
      <c r="T280" s="40"/>
      <c r="U280" s="40"/>
      <c r="V280" s="40"/>
      <c r="W280" s="40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6" t="s">
        <v>27</v>
      </c>
      <c r="B281" s="36" t="s">
        <v>35</v>
      </c>
      <c r="C281" s="36" t="s">
        <v>36</v>
      </c>
      <c r="D281" s="36" t="s">
        <v>34</v>
      </c>
      <c r="E281" s="36" t="s">
        <v>25</v>
      </c>
      <c r="F281" s="36" t="s">
        <v>25</v>
      </c>
      <c r="G281" s="36" t="s">
        <v>25</v>
      </c>
      <c r="H281" s="36" t="s">
        <v>37</v>
      </c>
      <c r="I281" s="56">
        <v>44774</v>
      </c>
      <c r="J281" s="57">
        <f>EFEITO!$J$281*EFEITO!$Y$281</f>
        <v>0</v>
      </c>
      <c r="K281" s="57">
        <f ca="1">EFEITO!$L$281*EFEITO!$Z$281</f>
        <v>-5407.341355122102</v>
      </c>
      <c r="L281" s="57">
        <f>EFEITO!$N$281*EFEITO!$AA$281</f>
        <v>-648.58756541586501</v>
      </c>
      <c r="M281" s="57">
        <f>$J$281-EFEITO!$K$281*EFEITO!$Y$281</f>
        <v>0</v>
      </c>
      <c r="N281" s="57">
        <f ca="1">$K$281-EFEITO!$M$281*EFEITO!$Z$281</f>
        <v>0</v>
      </c>
      <c r="O281" s="57">
        <f>$L$281-EFEITO!$O$281*EFEITO!$AA$281</f>
        <v>0</v>
      </c>
      <c r="P281" s="40"/>
      <c r="Q281" s="40"/>
      <c r="R281" s="40"/>
      <c r="S281" s="40"/>
      <c r="T281" s="40"/>
      <c r="U281" s="40"/>
      <c r="V281" s="40"/>
      <c r="W281" s="40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6" t="s">
        <v>28</v>
      </c>
      <c r="B282" s="36" t="s">
        <v>35</v>
      </c>
      <c r="C282" s="36" t="s">
        <v>36</v>
      </c>
      <c r="D282" s="36" t="s">
        <v>34</v>
      </c>
      <c r="E282" s="36" t="s">
        <v>25</v>
      </c>
      <c r="F282" s="36" t="s">
        <v>25</v>
      </c>
      <c r="G282" s="36" t="s">
        <v>25</v>
      </c>
      <c r="H282" s="36" t="s">
        <v>37</v>
      </c>
      <c r="I282" s="56">
        <v>44774</v>
      </c>
      <c r="J282" s="57">
        <f>EFEITO!$J$282*EFEITO!$Y$282</f>
        <v>0</v>
      </c>
      <c r="K282" s="57">
        <f ca="1">EFEITO!$L$282*EFEITO!$Z$282</f>
        <v>12444.176295152434</v>
      </c>
      <c r="L282" s="57">
        <f>EFEITO!$N$282*EFEITO!$AA$282</f>
        <v>1492.6259462486778</v>
      </c>
      <c r="M282" s="57">
        <f>$J$282-EFEITO!$K$282*EFEITO!$Y$282</f>
        <v>0</v>
      </c>
      <c r="N282" s="57">
        <f ca="1">$K$282-EFEITO!$M$282*EFEITO!$Z$282</f>
        <v>0</v>
      </c>
      <c r="O282" s="57">
        <f>$L$282-EFEITO!$O$282*EFEITO!$AA$282</f>
        <v>0</v>
      </c>
      <c r="P282" s="40"/>
      <c r="Q282" s="40"/>
      <c r="R282" s="40"/>
      <c r="S282" s="40"/>
      <c r="T282" s="40"/>
      <c r="U282" s="40"/>
      <c r="V282" s="40"/>
      <c r="W282" s="40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6" t="s">
        <v>21</v>
      </c>
      <c r="B283" s="36" t="s">
        <v>35</v>
      </c>
      <c r="C283" s="36" t="s">
        <v>36</v>
      </c>
      <c r="D283" s="36" t="s">
        <v>42</v>
      </c>
      <c r="E283" s="36" t="s">
        <v>25</v>
      </c>
      <c r="F283" s="36" t="s">
        <v>25</v>
      </c>
      <c r="G283" s="36" t="s">
        <v>25</v>
      </c>
      <c r="H283" s="36" t="s">
        <v>38</v>
      </c>
      <c r="I283" s="56">
        <v>44440</v>
      </c>
      <c r="J283" s="57">
        <f>EFEITO!$J$283*EFEITO!$Y$283</f>
        <v>0</v>
      </c>
      <c r="K283" s="57">
        <f ca="1">EFEITO!$L$283*EFEITO!$Z$283</f>
        <v>837.59769159049563</v>
      </c>
      <c r="L283" s="57">
        <f>EFEITO!$N$283*EFEITO!$AA$283</f>
        <v>1655.7389056288985</v>
      </c>
      <c r="M283" s="57">
        <f>$J$283-EFEITO!$K$283*EFEITO!$Y$283</f>
        <v>0</v>
      </c>
      <c r="N283" s="57">
        <f ca="1">$K$283-EFEITO!$M$283*EFEITO!$Z$283</f>
        <v>0</v>
      </c>
      <c r="O283" s="57">
        <f>$L$283-EFEITO!$O$283*EFEITO!$AA$283</f>
        <v>0</v>
      </c>
      <c r="P283" s="40"/>
      <c r="Q283" s="40"/>
      <c r="R283" s="40"/>
      <c r="S283" s="40"/>
      <c r="T283" s="40"/>
      <c r="U283" s="40"/>
      <c r="V283" s="40"/>
      <c r="W283" s="40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6" t="s">
        <v>21</v>
      </c>
      <c r="B284" s="36" t="s">
        <v>35</v>
      </c>
      <c r="C284" s="36" t="s">
        <v>36</v>
      </c>
      <c r="D284" s="36" t="s">
        <v>42</v>
      </c>
      <c r="E284" s="36" t="s">
        <v>25</v>
      </c>
      <c r="F284" s="36" t="s">
        <v>25</v>
      </c>
      <c r="G284" s="36" t="s">
        <v>25</v>
      </c>
      <c r="H284" s="36" t="s">
        <v>38</v>
      </c>
      <c r="I284" s="56">
        <v>44470</v>
      </c>
      <c r="J284" s="57">
        <f>EFEITO!$J$284*EFEITO!$Y$284</f>
        <v>0</v>
      </c>
      <c r="K284" s="57">
        <f ca="1">EFEITO!$L$284*EFEITO!$Z$284</f>
        <v>836.36305551395878</v>
      </c>
      <c r="L284" s="57">
        <f>EFEITO!$N$284*EFEITO!$AA$284</f>
        <v>1653.2983127204661</v>
      </c>
      <c r="M284" s="57">
        <f>$J$284-EFEITO!$K$284*EFEITO!$Y$284</f>
        <v>0</v>
      </c>
      <c r="N284" s="57">
        <f ca="1">$K$284-EFEITO!$M$284*EFEITO!$Z$284</f>
        <v>0</v>
      </c>
      <c r="O284" s="57">
        <f>$L$284-EFEITO!$O$284*EFEITO!$AA$284</f>
        <v>0</v>
      </c>
      <c r="P284" s="40"/>
      <c r="Q284" s="40"/>
      <c r="R284" s="40"/>
      <c r="S284" s="40"/>
      <c r="T284" s="40"/>
      <c r="U284" s="40"/>
      <c r="V284" s="40"/>
      <c r="W284" s="40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6" t="s">
        <v>21</v>
      </c>
      <c r="B285" s="36" t="s">
        <v>35</v>
      </c>
      <c r="C285" s="36" t="s">
        <v>36</v>
      </c>
      <c r="D285" s="36" t="s">
        <v>42</v>
      </c>
      <c r="E285" s="36" t="s">
        <v>25</v>
      </c>
      <c r="F285" s="36" t="s">
        <v>25</v>
      </c>
      <c r="G285" s="36" t="s">
        <v>25</v>
      </c>
      <c r="H285" s="36" t="s">
        <v>38</v>
      </c>
      <c r="I285" s="56">
        <v>44501</v>
      </c>
      <c r="J285" s="57">
        <f>EFEITO!$J$285*EFEITO!$Y$285</f>
        <v>0</v>
      </c>
      <c r="K285" s="57">
        <f ca="1">EFEITO!$L$285*EFEITO!$Z$285</f>
        <v>1546.2787995226088</v>
      </c>
      <c r="L285" s="57">
        <f>EFEITO!$N$285*EFEITO!$AA$285</f>
        <v>3056.639235068998</v>
      </c>
      <c r="M285" s="57">
        <f>$J$285-EFEITO!$K$285*EFEITO!$Y$285</f>
        <v>0</v>
      </c>
      <c r="N285" s="57">
        <f ca="1">$K$285-EFEITO!$M$285*EFEITO!$Z$285</f>
        <v>0</v>
      </c>
      <c r="O285" s="57">
        <f>$L$285-EFEITO!$O$285*EFEITO!$AA$285</f>
        <v>0</v>
      </c>
      <c r="P285" s="40"/>
      <c r="Q285" s="40"/>
      <c r="R285" s="40"/>
      <c r="S285" s="40"/>
      <c r="T285" s="40"/>
      <c r="U285" s="40"/>
      <c r="V285" s="40"/>
      <c r="W285" s="40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6" t="s">
        <v>21</v>
      </c>
      <c r="B286" s="36" t="s">
        <v>35</v>
      </c>
      <c r="C286" s="36" t="s">
        <v>36</v>
      </c>
      <c r="D286" s="36" t="s">
        <v>42</v>
      </c>
      <c r="E286" s="36" t="s">
        <v>25</v>
      </c>
      <c r="F286" s="36" t="s">
        <v>25</v>
      </c>
      <c r="G286" s="36" t="s">
        <v>25</v>
      </c>
      <c r="H286" s="36" t="s">
        <v>38</v>
      </c>
      <c r="I286" s="56">
        <v>44531</v>
      </c>
      <c r="J286" s="57">
        <f>EFEITO!$J$286*EFEITO!$Y$286</f>
        <v>0</v>
      </c>
      <c r="K286" s="57">
        <f ca="1">EFEITO!$L$286*EFEITO!$Z$286</f>
        <v>653.63691618651501</v>
      </c>
      <c r="L286" s="57">
        <f>EFEITO!$N$286*EFEITO!$AA$286</f>
        <v>1292.0905622724961</v>
      </c>
      <c r="M286" s="57">
        <f>$J$286-EFEITO!$K$286*EFEITO!$Y$286</f>
        <v>0</v>
      </c>
      <c r="N286" s="57">
        <f ca="1">$K$286-EFEITO!$M$286*EFEITO!$Z$286</f>
        <v>0</v>
      </c>
      <c r="O286" s="57">
        <f>$L$286-EFEITO!$O$286*EFEITO!$AA$286</f>
        <v>0</v>
      </c>
      <c r="P286" s="40"/>
      <c r="Q286" s="40"/>
      <c r="R286" s="40"/>
      <c r="S286" s="40"/>
      <c r="T286" s="40"/>
      <c r="U286" s="40"/>
      <c r="V286" s="40"/>
      <c r="W286" s="40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6" t="s">
        <v>21</v>
      </c>
      <c r="B287" s="36" t="s">
        <v>35</v>
      </c>
      <c r="C287" s="36" t="s">
        <v>36</v>
      </c>
      <c r="D287" s="36" t="s">
        <v>42</v>
      </c>
      <c r="E287" s="36" t="s">
        <v>25</v>
      </c>
      <c r="F287" s="36" t="s">
        <v>25</v>
      </c>
      <c r="G287" s="36" t="s">
        <v>25</v>
      </c>
      <c r="H287" s="36" t="s">
        <v>38</v>
      </c>
      <c r="I287" s="56">
        <v>44562</v>
      </c>
      <c r="J287" s="57">
        <f>EFEITO!$J$287*EFEITO!$Y$287</f>
        <v>0</v>
      </c>
      <c r="K287" s="57">
        <f ca="1">EFEITO!$L$287*EFEITO!$Z$287</f>
        <v>286.64134243595635</v>
      </c>
      <c r="L287" s="57">
        <f>EFEITO!$N$287*EFEITO!$AA$287</f>
        <v>566.62432024101599</v>
      </c>
      <c r="M287" s="57">
        <f>$J$287-EFEITO!$K$287*EFEITO!$Y$287</f>
        <v>0</v>
      </c>
      <c r="N287" s="57">
        <f ca="1">$K$287-EFEITO!$M$287*EFEITO!$Z$287</f>
        <v>0</v>
      </c>
      <c r="O287" s="57">
        <f>$L$287-EFEITO!$O$287*EFEITO!$AA$287</f>
        <v>0</v>
      </c>
      <c r="P287" s="40"/>
      <c r="Q287" s="40"/>
      <c r="R287" s="40"/>
      <c r="S287" s="40"/>
      <c r="T287" s="40"/>
      <c r="U287" s="40"/>
      <c r="V287" s="40"/>
      <c r="W287" s="40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6" t="s">
        <v>21</v>
      </c>
      <c r="B288" s="36" t="s">
        <v>35</v>
      </c>
      <c r="C288" s="36" t="s">
        <v>36</v>
      </c>
      <c r="D288" s="36" t="s">
        <v>42</v>
      </c>
      <c r="E288" s="36" t="s">
        <v>25</v>
      </c>
      <c r="F288" s="36" t="s">
        <v>25</v>
      </c>
      <c r="G288" s="36" t="s">
        <v>25</v>
      </c>
      <c r="H288" s="36" t="s">
        <v>38</v>
      </c>
      <c r="I288" s="56">
        <v>44593</v>
      </c>
      <c r="J288" s="57">
        <f>EFEITO!$J$288*EFEITO!$Y$288</f>
        <v>0</v>
      </c>
      <c r="K288" s="57">
        <f ca="1">EFEITO!$L$288*EFEITO!$Z$288</f>
        <v>1669.9481798557101</v>
      </c>
      <c r="L288" s="57">
        <f>EFEITO!$N$288*EFEITO!$AA$288</f>
        <v>3301.1052913969602</v>
      </c>
      <c r="M288" s="57">
        <f>$J$288-EFEITO!$K$288*EFEITO!$Y$288</f>
        <v>0</v>
      </c>
      <c r="N288" s="57">
        <f ca="1">$K$288-EFEITO!$M$288*EFEITO!$Z$288</f>
        <v>0</v>
      </c>
      <c r="O288" s="57">
        <f>$L$288-EFEITO!$O$288*EFEITO!$AA$288</f>
        <v>0</v>
      </c>
      <c r="P288" s="40"/>
      <c r="Q288" s="40"/>
      <c r="R288" s="40"/>
      <c r="S288" s="40"/>
      <c r="T288" s="40"/>
      <c r="U288" s="40"/>
      <c r="V288" s="40"/>
      <c r="W288" s="40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6" t="s">
        <v>21</v>
      </c>
      <c r="B289" s="36" t="s">
        <v>35</v>
      </c>
      <c r="C289" s="36" t="s">
        <v>36</v>
      </c>
      <c r="D289" s="36" t="s">
        <v>42</v>
      </c>
      <c r="E289" s="36" t="s">
        <v>25</v>
      </c>
      <c r="F289" s="36" t="s">
        <v>25</v>
      </c>
      <c r="G289" s="36" t="s">
        <v>25</v>
      </c>
      <c r="H289" s="36" t="s">
        <v>38</v>
      </c>
      <c r="I289" s="56">
        <v>44621</v>
      </c>
      <c r="J289" s="57">
        <f>EFEITO!$J$289*EFEITO!$Y$289</f>
        <v>0</v>
      </c>
      <c r="K289" s="57">
        <f ca="1">EFEITO!$L$289*EFEITO!$Z$289</f>
        <v>1958.0299310476257</v>
      </c>
      <c r="L289" s="57">
        <f>EFEITO!$N$289*EFEITO!$AA$289</f>
        <v>3870.5769700311462</v>
      </c>
      <c r="M289" s="57">
        <f>$J$289-EFEITO!$K$289*EFEITO!$Y$289</f>
        <v>0</v>
      </c>
      <c r="N289" s="57">
        <f ca="1">$K$289-EFEITO!$M$289*EFEITO!$Z$289</f>
        <v>0</v>
      </c>
      <c r="O289" s="57">
        <f>$L$289-EFEITO!$O$289*EFEITO!$AA$289</f>
        <v>0</v>
      </c>
      <c r="P289" s="40"/>
      <c r="Q289" s="40"/>
      <c r="R289" s="40"/>
      <c r="S289" s="40"/>
      <c r="T289" s="40"/>
      <c r="U289" s="40"/>
      <c r="V289" s="40"/>
      <c r="W289" s="40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6" t="s">
        <v>21</v>
      </c>
      <c r="B290" s="36" t="s">
        <v>35</v>
      </c>
      <c r="C290" s="36" t="s">
        <v>36</v>
      </c>
      <c r="D290" s="36" t="s">
        <v>42</v>
      </c>
      <c r="E290" s="36" t="s">
        <v>25</v>
      </c>
      <c r="F290" s="36" t="s">
        <v>25</v>
      </c>
      <c r="G290" s="36" t="s">
        <v>25</v>
      </c>
      <c r="H290" s="36" t="s">
        <v>38</v>
      </c>
      <c r="I290" s="56">
        <v>44652</v>
      </c>
      <c r="J290" s="57">
        <f>EFEITO!$J$290*EFEITO!$Y$290</f>
        <v>0</v>
      </c>
      <c r="K290" s="57">
        <f ca="1">EFEITO!$L$290*EFEITO!$Z$290</f>
        <v>1260.049002445498</v>
      </c>
      <c r="L290" s="57">
        <f>EFEITO!$N$290*EFEITO!$AA$290</f>
        <v>2490.8284457974596</v>
      </c>
      <c r="M290" s="57">
        <f>$J$290-EFEITO!$K$290*EFEITO!$Y$290</f>
        <v>0</v>
      </c>
      <c r="N290" s="57">
        <f ca="1">$K$290-EFEITO!$M$290*EFEITO!$Z$290</f>
        <v>0</v>
      </c>
      <c r="O290" s="57">
        <f>$L$290-EFEITO!$O$290*EFEITO!$AA$290</f>
        <v>0</v>
      </c>
      <c r="P290" s="40"/>
      <c r="Q290" s="40"/>
      <c r="R290" s="40"/>
      <c r="S290" s="40"/>
      <c r="T290" s="40"/>
      <c r="U290" s="40"/>
      <c r="V290" s="40"/>
      <c r="W290" s="40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6" t="s">
        <v>21</v>
      </c>
      <c r="B291" s="36" t="s">
        <v>35</v>
      </c>
      <c r="C291" s="36" t="s">
        <v>36</v>
      </c>
      <c r="D291" s="36" t="s">
        <v>42</v>
      </c>
      <c r="E291" s="36" t="s">
        <v>25</v>
      </c>
      <c r="F291" s="36" t="s">
        <v>25</v>
      </c>
      <c r="G291" s="36" t="s">
        <v>25</v>
      </c>
      <c r="H291" s="36" t="s">
        <v>38</v>
      </c>
      <c r="I291" s="56">
        <v>44682</v>
      </c>
      <c r="J291" s="57">
        <f>EFEITO!$J$291*EFEITO!$Y$291</f>
        <v>0</v>
      </c>
      <c r="K291" s="57">
        <f ca="1">EFEITO!$L$291*EFEITO!$Z$291</f>
        <v>1005.1995389803637</v>
      </c>
      <c r="L291" s="57">
        <f>EFEITO!$N$291*EFEITO!$AA$291</f>
        <v>1987.0493929485733</v>
      </c>
      <c r="M291" s="57">
        <f>$J$291-EFEITO!$K$291*EFEITO!$Y$291</f>
        <v>0</v>
      </c>
      <c r="N291" s="57">
        <f ca="1">$K$291-EFEITO!$M$291*EFEITO!$Z$291</f>
        <v>0</v>
      </c>
      <c r="O291" s="57">
        <f>$L$291-EFEITO!$O$291*EFEITO!$AA$291</f>
        <v>0</v>
      </c>
      <c r="P291" s="40"/>
      <c r="Q291" s="40"/>
      <c r="R291" s="40"/>
      <c r="S291" s="40"/>
      <c r="T291" s="40"/>
      <c r="U291" s="40"/>
      <c r="V291" s="40"/>
      <c r="W291" s="40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6" t="s">
        <v>21</v>
      </c>
      <c r="B292" s="36" t="s">
        <v>35</v>
      </c>
      <c r="C292" s="36" t="s">
        <v>36</v>
      </c>
      <c r="D292" s="36" t="s">
        <v>42</v>
      </c>
      <c r="E292" s="36" t="s">
        <v>25</v>
      </c>
      <c r="F292" s="36" t="s">
        <v>25</v>
      </c>
      <c r="G292" s="36" t="s">
        <v>25</v>
      </c>
      <c r="H292" s="36" t="s">
        <v>38</v>
      </c>
      <c r="I292" s="56">
        <v>44713</v>
      </c>
      <c r="J292" s="57">
        <f>EFEITO!$J$292*EFEITO!$Y$292</f>
        <v>0</v>
      </c>
      <c r="K292" s="57">
        <f ca="1">EFEITO!$L$292*EFEITO!$Z$292</f>
        <v>1128.4573739546192</v>
      </c>
      <c r="L292" s="57">
        <f>EFEITO!$N$292*EFEITO!$AA$292</f>
        <v>2230.7019183070579</v>
      </c>
      <c r="M292" s="57">
        <f>$J$292-EFEITO!$K$292*EFEITO!$Y$292</f>
        <v>0</v>
      </c>
      <c r="N292" s="57">
        <f ca="1">$K$292-EFEITO!$M$292*EFEITO!$Z$292</f>
        <v>0</v>
      </c>
      <c r="O292" s="57">
        <f>$L$292-EFEITO!$O$292*EFEITO!$AA$292</f>
        <v>0</v>
      </c>
      <c r="P292" s="40"/>
      <c r="Q292" s="40"/>
      <c r="R292" s="40"/>
      <c r="S292" s="40"/>
      <c r="T292" s="40"/>
      <c r="U292" s="40"/>
      <c r="V292" s="40"/>
      <c r="W292" s="40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6" t="s">
        <v>21</v>
      </c>
      <c r="B293" s="36" t="s">
        <v>35</v>
      </c>
      <c r="C293" s="36" t="s">
        <v>36</v>
      </c>
      <c r="D293" s="36" t="s">
        <v>42</v>
      </c>
      <c r="E293" s="36" t="s">
        <v>25</v>
      </c>
      <c r="F293" s="36" t="s">
        <v>25</v>
      </c>
      <c r="G293" s="36" t="s">
        <v>25</v>
      </c>
      <c r="H293" s="36" t="s">
        <v>38</v>
      </c>
      <c r="I293" s="56">
        <v>44743</v>
      </c>
      <c r="J293" s="57">
        <f>EFEITO!$J$293*EFEITO!$Y$293</f>
        <v>0</v>
      </c>
      <c r="K293" s="57">
        <f ca="1">EFEITO!$L$293*EFEITO!$Z$293</f>
        <v>802.71922242833148</v>
      </c>
      <c r="L293" s="57">
        <f>EFEITO!$N$293*EFEITO!$AA$293</f>
        <v>1586.7921559656877</v>
      </c>
      <c r="M293" s="57">
        <f>$J$293-EFEITO!$K$293*EFEITO!$Y$293</f>
        <v>0</v>
      </c>
      <c r="N293" s="57">
        <f ca="1">$K$293-EFEITO!$M$293*EFEITO!$Z$293</f>
        <v>0</v>
      </c>
      <c r="O293" s="57">
        <f>$L$293-EFEITO!$O$293*EFEITO!$AA$293</f>
        <v>0</v>
      </c>
      <c r="P293" s="40"/>
      <c r="Q293" s="40"/>
      <c r="R293" s="40"/>
      <c r="S293" s="40"/>
      <c r="T293" s="40"/>
      <c r="U293" s="40"/>
      <c r="V293" s="40"/>
      <c r="W293" s="40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6" t="s">
        <v>21</v>
      </c>
      <c r="B294" s="36" t="s">
        <v>35</v>
      </c>
      <c r="C294" s="36" t="s">
        <v>36</v>
      </c>
      <c r="D294" s="36" t="s">
        <v>42</v>
      </c>
      <c r="E294" s="36" t="s">
        <v>25</v>
      </c>
      <c r="F294" s="36" t="s">
        <v>25</v>
      </c>
      <c r="G294" s="36" t="s">
        <v>25</v>
      </c>
      <c r="H294" s="36" t="s">
        <v>38</v>
      </c>
      <c r="I294" s="56">
        <v>44774</v>
      </c>
      <c r="J294" s="57">
        <f>EFEITO!$J$294*EFEITO!$Y$294</f>
        <v>0</v>
      </c>
      <c r="K294" s="57">
        <f ca="1">EFEITO!$L$294*EFEITO!$Z$294</f>
        <v>1067.5486608454712</v>
      </c>
      <c r="L294" s="57">
        <f>EFEITO!$N$294*EFEITO!$AA$294</f>
        <v>2110.2993348244008</v>
      </c>
      <c r="M294" s="57">
        <f>$J$294-EFEITO!$K$294*EFEITO!$Y$294</f>
        <v>0</v>
      </c>
      <c r="N294" s="57">
        <f ca="1">$K$294-EFEITO!$M$294*EFEITO!$Z$294</f>
        <v>0</v>
      </c>
      <c r="O294" s="57">
        <f>$L$294-EFEITO!$O$294*EFEITO!$AA$294</f>
        <v>0</v>
      </c>
      <c r="P294" s="40"/>
      <c r="Q294" s="40"/>
      <c r="R294" s="40"/>
      <c r="S294" s="40"/>
      <c r="T294" s="40"/>
      <c r="U294" s="40"/>
      <c r="V294" s="40"/>
      <c r="W294" s="40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6" t="s">
        <v>21</v>
      </c>
      <c r="B295" s="36" t="s">
        <v>35</v>
      </c>
      <c r="C295" s="36" t="s">
        <v>36</v>
      </c>
      <c r="D295" s="36" t="s">
        <v>42</v>
      </c>
      <c r="E295" s="36" t="s">
        <v>25</v>
      </c>
      <c r="F295" s="36" t="s">
        <v>25</v>
      </c>
      <c r="G295" s="36" t="s">
        <v>25</v>
      </c>
      <c r="H295" s="36" t="s">
        <v>25</v>
      </c>
      <c r="I295" s="56">
        <v>44440</v>
      </c>
      <c r="J295" s="57">
        <f ca="1">EFEITO!$J$295*EFEITO!$Y$295</f>
        <v>3404.5334146487003</v>
      </c>
      <c r="K295" s="57">
        <f>EFEITO!$L$295*EFEITO!$Z$295</f>
        <v>0</v>
      </c>
      <c r="L295" s="57">
        <f>EFEITO!$N$295*EFEITO!$AA$295</f>
        <v>0</v>
      </c>
      <c r="M295" s="57">
        <f ca="1">$J$295-EFEITO!$K$295*EFEITO!$Y$295</f>
        <v>0</v>
      </c>
      <c r="N295" s="57">
        <f>$K$295-EFEITO!$M$295*EFEITO!$Z$295</f>
        <v>0</v>
      </c>
      <c r="O295" s="57">
        <f>$L$295-EFEITO!$O$295*EFEITO!$AA$295</f>
        <v>0</v>
      </c>
      <c r="P295" s="40"/>
      <c r="Q295" s="40"/>
      <c r="R295" s="40"/>
      <c r="S295" s="40"/>
      <c r="T295" s="40"/>
      <c r="U295" s="40"/>
      <c r="V295" s="40"/>
      <c r="W295" s="40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6" t="s">
        <v>21</v>
      </c>
      <c r="B296" s="36" t="s">
        <v>35</v>
      </c>
      <c r="C296" s="36" t="s">
        <v>36</v>
      </c>
      <c r="D296" s="36" t="s">
        <v>42</v>
      </c>
      <c r="E296" s="36" t="s">
        <v>25</v>
      </c>
      <c r="F296" s="36" t="s">
        <v>25</v>
      </c>
      <c r="G296" s="36" t="s">
        <v>25</v>
      </c>
      <c r="H296" s="36" t="s">
        <v>25</v>
      </c>
      <c r="I296" s="56">
        <v>44470</v>
      </c>
      <c r="J296" s="57">
        <f ca="1">EFEITO!$J$296*EFEITO!$Y$296</f>
        <v>3404.5334146487003</v>
      </c>
      <c r="K296" s="57">
        <f>EFEITO!$L$296*EFEITO!$Z$296</f>
        <v>0</v>
      </c>
      <c r="L296" s="57">
        <f>EFEITO!$N$296*EFEITO!$AA$296</f>
        <v>0</v>
      </c>
      <c r="M296" s="57">
        <f ca="1">$J$296-EFEITO!$K$296*EFEITO!$Y$296</f>
        <v>0</v>
      </c>
      <c r="N296" s="57">
        <f>$K$296-EFEITO!$M$296*EFEITO!$Z$296</f>
        <v>0</v>
      </c>
      <c r="O296" s="57">
        <f>$L$296-EFEITO!$O$296*EFEITO!$AA$296</f>
        <v>0</v>
      </c>
      <c r="P296" s="40"/>
      <c r="Q296" s="40"/>
      <c r="R296" s="40"/>
      <c r="S296" s="40"/>
      <c r="T296" s="40"/>
      <c r="U296" s="40"/>
      <c r="V296" s="40"/>
      <c r="W296" s="40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6" t="s">
        <v>21</v>
      </c>
      <c r="B297" s="36" t="s">
        <v>35</v>
      </c>
      <c r="C297" s="36" t="s">
        <v>36</v>
      </c>
      <c r="D297" s="36" t="s">
        <v>42</v>
      </c>
      <c r="E297" s="36" t="s">
        <v>25</v>
      </c>
      <c r="F297" s="36" t="s">
        <v>25</v>
      </c>
      <c r="G297" s="36" t="s">
        <v>25</v>
      </c>
      <c r="H297" s="36" t="s">
        <v>25</v>
      </c>
      <c r="I297" s="56">
        <v>44501</v>
      </c>
      <c r="J297" s="57">
        <f ca="1">EFEITO!$J$297*EFEITO!$Y$297</f>
        <v>3404.5334146487003</v>
      </c>
      <c r="K297" s="57">
        <f>EFEITO!$L$297*EFEITO!$Z$297</f>
        <v>0</v>
      </c>
      <c r="L297" s="57">
        <f>EFEITO!$N$297*EFEITO!$AA$297</f>
        <v>0</v>
      </c>
      <c r="M297" s="57">
        <f ca="1">$J$297-EFEITO!$K$297*EFEITO!$Y$297</f>
        <v>0</v>
      </c>
      <c r="N297" s="57">
        <f>$K$297-EFEITO!$M$297*EFEITO!$Z$297</f>
        <v>0</v>
      </c>
      <c r="O297" s="57">
        <f>$L$297-EFEITO!$O$297*EFEITO!$AA$297</f>
        <v>0</v>
      </c>
      <c r="P297" s="40"/>
      <c r="Q297" s="40"/>
      <c r="R297" s="40"/>
      <c r="S297" s="40"/>
      <c r="T297" s="40"/>
      <c r="U297" s="40"/>
      <c r="V297" s="40"/>
      <c r="W297" s="40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6" t="s">
        <v>21</v>
      </c>
      <c r="B298" s="36" t="s">
        <v>35</v>
      </c>
      <c r="C298" s="36" t="s">
        <v>36</v>
      </c>
      <c r="D298" s="36" t="s">
        <v>42</v>
      </c>
      <c r="E298" s="36" t="s">
        <v>25</v>
      </c>
      <c r="F298" s="36" t="s">
        <v>25</v>
      </c>
      <c r="G298" s="36" t="s">
        <v>25</v>
      </c>
      <c r="H298" s="36" t="s">
        <v>25</v>
      </c>
      <c r="I298" s="56">
        <v>44531</v>
      </c>
      <c r="J298" s="57">
        <f ca="1">EFEITO!$J$298*EFEITO!$Y$298</f>
        <v>3404.5334146487003</v>
      </c>
      <c r="K298" s="57">
        <f>EFEITO!$L$298*EFEITO!$Z$298</f>
        <v>0</v>
      </c>
      <c r="L298" s="57">
        <f>EFEITO!$N$298*EFEITO!$AA$298</f>
        <v>0</v>
      </c>
      <c r="M298" s="57">
        <f ca="1">$J$298-EFEITO!$K$298*EFEITO!$Y$298</f>
        <v>0</v>
      </c>
      <c r="N298" s="57">
        <f>$K$298-EFEITO!$M$298*EFEITO!$Z$298</f>
        <v>0</v>
      </c>
      <c r="O298" s="57">
        <f>$L$298-EFEITO!$O$298*EFEITO!$AA$298</f>
        <v>0</v>
      </c>
      <c r="P298" s="40"/>
      <c r="Q298" s="40"/>
      <c r="R298" s="40"/>
      <c r="S298" s="40"/>
      <c r="T298" s="40"/>
      <c r="U298" s="40"/>
      <c r="V298" s="40"/>
      <c r="W298" s="40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6" t="s">
        <v>21</v>
      </c>
      <c r="B299" s="36" t="s">
        <v>35</v>
      </c>
      <c r="C299" s="36" t="s">
        <v>36</v>
      </c>
      <c r="D299" s="36" t="s">
        <v>42</v>
      </c>
      <c r="E299" s="36" t="s">
        <v>25</v>
      </c>
      <c r="F299" s="36" t="s">
        <v>25</v>
      </c>
      <c r="G299" s="36" t="s">
        <v>25</v>
      </c>
      <c r="H299" s="36" t="s">
        <v>25</v>
      </c>
      <c r="I299" s="56">
        <v>44562</v>
      </c>
      <c r="J299" s="57">
        <f ca="1">EFEITO!$J$299*EFEITO!$Y$299</f>
        <v>3404.5334146487003</v>
      </c>
      <c r="K299" s="57">
        <f>EFEITO!$L$299*EFEITO!$Z$299</f>
        <v>0</v>
      </c>
      <c r="L299" s="57">
        <f>EFEITO!$N$299*EFEITO!$AA$299</f>
        <v>0</v>
      </c>
      <c r="M299" s="57">
        <f ca="1">$J$299-EFEITO!$K$299*EFEITO!$Y$299</f>
        <v>0</v>
      </c>
      <c r="N299" s="57">
        <f>$K$299-EFEITO!$M$299*EFEITO!$Z$299</f>
        <v>0</v>
      </c>
      <c r="O299" s="57">
        <f>$L$299-EFEITO!$O$299*EFEITO!$AA$299</f>
        <v>0</v>
      </c>
      <c r="P299" s="40"/>
      <c r="Q299" s="40"/>
      <c r="R299" s="40"/>
      <c r="S299" s="40"/>
      <c r="T299" s="40"/>
      <c r="U299" s="40"/>
      <c r="V299" s="40"/>
      <c r="W299" s="40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6" t="s">
        <v>21</v>
      </c>
      <c r="B300" s="36" t="s">
        <v>35</v>
      </c>
      <c r="C300" s="36" t="s">
        <v>36</v>
      </c>
      <c r="D300" s="36" t="s">
        <v>42</v>
      </c>
      <c r="E300" s="36" t="s">
        <v>25</v>
      </c>
      <c r="F300" s="36" t="s">
        <v>25</v>
      </c>
      <c r="G300" s="36" t="s">
        <v>25</v>
      </c>
      <c r="H300" s="36" t="s">
        <v>25</v>
      </c>
      <c r="I300" s="56">
        <v>44593</v>
      </c>
      <c r="J300" s="57">
        <f ca="1">EFEITO!$J$300*EFEITO!$Y$300</f>
        <v>3404.5334146487003</v>
      </c>
      <c r="K300" s="57">
        <f>EFEITO!$L$300*EFEITO!$Z$300</f>
        <v>0</v>
      </c>
      <c r="L300" s="57">
        <f>EFEITO!$N$300*EFEITO!$AA$300</f>
        <v>0</v>
      </c>
      <c r="M300" s="57">
        <f ca="1">$J$300-EFEITO!$K$300*EFEITO!$Y$300</f>
        <v>0</v>
      </c>
      <c r="N300" s="57">
        <f>$K$300-EFEITO!$M$300*EFEITO!$Z$300</f>
        <v>0</v>
      </c>
      <c r="O300" s="57">
        <f>$L$300-EFEITO!$O$300*EFEITO!$AA$300</f>
        <v>0</v>
      </c>
      <c r="P300" s="40"/>
      <c r="Q300" s="40"/>
      <c r="R300" s="40"/>
      <c r="S300" s="40"/>
      <c r="T300" s="40"/>
      <c r="U300" s="40"/>
      <c r="V300" s="40"/>
      <c r="W300" s="40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6" t="s">
        <v>21</v>
      </c>
      <c r="B301" s="36" t="s">
        <v>35</v>
      </c>
      <c r="C301" s="36" t="s">
        <v>36</v>
      </c>
      <c r="D301" s="36" t="s">
        <v>42</v>
      </c>
      <c r="E301" s="36" t="s">
        <v>25</v>
      </c>
      <c r="F301" s="36" t="s">
        <v>25</v>
      </c>
      <c r="G301" s="36" t="s">
        <v>25</v>
      </c>
      <c r="H301" s="36" t="s">
        <v>25</v>
      </c>
      <c r="I301" s="56">
        <v>44621</v>
      </c>
      <c r="J301" s="57">
        <f ca="1">EFEITO!$J$301*EFEITO!$Y$301</f>
        <v>3404.5334146487003</v>
      </c>
      <c r="K301" s="57">
        <f>EFEITO!$L$301*EFEITO!$Z$301</f>
        <v>0</v>
      </c>
      <c r="L301" s="57">
        <f>EFEITO!$N$301*EFEITO!$AA$301</f>
        <v>0</v>
      </c>
      <c r="M301" s="57">
        <f ca="1">$J$301-EFEITO!$K$301*EFEITO!$Y$301</f>
        <v>0</v>
      </c>
      <c r="N301" s="57">
        <f>$K$301-EFEITO!$M$301*EFEITO!$Z$301</f>
        <v>0</v>
      </c>
      <c r="O301" s="57">
        <f>$L$301-EFEITO!$O$301*EFEITO!$AA$301</f>
        <v>0</v>
      </c>
      <c r="P301" s="40"/>
      <c r="Q301" s="40"/>
      <c r="R301" s="40"/>
      <c r="S301" s="40"/>
      <c r="T301" s="40"/>
      <c r="U301" s="40"/>
      <c r="V301" s="40"/>
      <c r="W301" s="40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6" t="s">
        <v>21</v>
      </c>
      <c r="B302" s="36" t="s">
        <v>35</v>
      </c>
      <c r="C302" s="36" t="s">
        <v>36</v>
      </c>
      <c r="D302" s="36" t="s">
        <v>42</v>
      </c>
      <c r="E302" s="36" t="s">
        <v>25</v>
      </c>
      <c r="F302" s="36" t="s">
        <v>25</v>
      </c>
      <c r="G302" s="36" t="s">
        <v>25</v>
      </c>
      <c r="H302" s="36" t="s">
        <v>25</v>
      </c>
      <c r="I302" s="56">
        <v>44652</v>
      </c>
      <c r="J302" s="57">
        <f ca="1">EFEITO!$J$302*EFEITO!$Y$302</f>
        <v>5064.2434542899418</v>
      </c>
      <c r="K302" s="57">
        <f>EFEITO!$L$302*EFEITO!$Z$302</f>
        <v>0</v>
      </c>
      <c r="L302" s="57">
        <f>EFEITO!$N$302*EFEITO!$AA$302</f>
        <v>0</v>
      </c>
      <c r="M302" s="57">
        <f ca="1">$J$302-EFEITO!$K$302*EFEITO!$Y$302</f>
        <v>0</v>
      </c>
      <c r="N302" s="57">
        <f>$K$302-EFEITO!$M$302*EFEITO!$Z$302</f>
        <v>0</v>
      </c>
      <c r="O302" s="57">
        <f>$L$302-EFEITO!$O$302*EFEITO!$AA$302</f>
        <v>0</v>
      </c>
      <c r="P302" s="40"/>
      <c r="Q302" s="40"/>
      <c r="R302" s="40"/>
      <c r="S302" s="40"/>
      <c r="T302" s="40"/>
      <c r="U302" s="40"/>
      <c r="V302" s="40"/>
      <c r="W302" s="40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6" t="s">
        <v>21</v>
      </c>
      <c r="B303" s="36" t="s">
        <v>35</v>
      </c>
      <c r="C303" s="36" t="s">
        <v>36</v>
      </c>
      <c r="D303" s="36" t="s">
        <v>42</v>
      </c>
      <c r="E303" s="36" t="s">
        <v>25</v>
      </c>
      <c r="F303" s="36" t="s">
        <v>25</v>
      </c>
      <c r="G303" s="36" t="s">
        <v>25</v>
      </c>
      <c r="H303" s="36" t="s">
        <v>25</v>
      </c>
      <c r="I303" s="56">
        <v>44682</v>
      </c>
      <c r="J303" s="57">
        <f ca="1">EFEITO!$J$303*EFEITO!$Y$303</f>
        <v>5532.3667988041379</v>
      </c>
      <c r="K303" s="57">
        <f>EFEITO!$L$303*EFEITO!$Z$303</f>
        <v>0</v>
      </c>
      <c r="L303" s="57">
        <f>EFEITO!$N$303*EFEITO!$AA$303</f>
        <v>0</v>
      </c>
      <c r="M303" s="57">
        <f ca="1">$J$303-EFEITO!$K$303*EFEITO!$Y$303</f>
        <v>0</v>
      </c>
      <c r="N303" s="57">
        <f>$K$303-EFEITO!$M$303*EFEITO!$Z$303</f>
        <v>0</v>
      </c>
      <c r="O303" s="57">
        <f>$L$303-EFEITO!$O$303*EFEITO!$AA$303</f>
        <v>0</v>
      </c>
      <c r="P303" s="40"/>
      <c r="Q303" s="40"/>
      <c r="R303" s="40"/>
      <c r="S303" s="40"/>
      <c r="T303" s="40"/>
      <c r="U303" s="40"/>
      <c r="V303" s="40"/>
      <c r="W303" s="40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6" t="s">
        <v>21</v>
      </c>
      <c r="B304" s="36" t="s">
        <v>35</v>
      </c>
      <c r="C304" s="36" t="s">
        <v>36</v>
      </c>
      <c r="D304" s="36" t="s">
        <v>42</v>
      </c>
      <c r="E304" s="36" t="s">
        <v>25</v>
      </c>
      <c r="F304" s="36" t="s">
        <v>25</v>
      </c>
      <c r="G304" s="36" t="s">
        <v>25</v>
      </c>
      <c r="H304" s="36" t="s">
        <v>25</v>
      </c>
      <c r="I304" s="56">
        <v>44713</v>
      </c>
      <c r="J304" s="57">
        <f ca="1">EFEITO!$J$304*EFEITO!$Y$304</f>
        <v>5532.3667988041379</v>
      </c>
      <c r="K304" s="57">
        <f>EFEITO!$L$304*EFEITO!$Z$304</f>
        <v>0</v>
      </c>
      <c r="L304" s="57">
        <f>EFEITO!$N$304*EFEITO!$AA$304</f>
        <v>0</v>
      </c>
      <c r="M304" s="57">
        <f ca="1">$J$304-EFEITO!$K$304*EFEITO!$Y$304</f>
        <v>0</v>
      </c>
      <c r="N304" s="57">
        <f>$K$304-EFEITO!$M$304*EFEITO!$Z$304</f>
        <v>0</v>
      </c>
      <c r="O304" s="57">
        <f>$L$304-EFEITO!$O$304*EFEITO!$AA$304</f>
        <v>0</v>
      </c>
      <c r="P304" s="40"/>
      <c r="Q304" s="40"/>
      <c r="R304" s="40"/>
      <c r="S304" s="40"/>
      <c r="T304" s="40"/>
      <c r="U304" s="40"/>
      <c r="V304" s="40"/>
      <c r="W304" s="40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6" t="s">
        <v>21</v>
      </c>
      <c r="B305" s="36" t="s">
        <v>35</v>
      </c>
      <c r="C305" s="36" t="s">
        <v>36</v>
      </c>
      <c r="D305" s="36" t="s">
        <v>42</v>
      </c>
      <c r="E305" s="36" t="s">
        <v>25</v>
      </c>
      <c r="F305" s="36" t="s">
        <v>25</v>
      </c>
      <c r="G305" s="36" t="s">
        <v>25</v>
      </c>
      <c r="H305" s="36" t="s">
        <v>25</v>
      </c>
      <c r="I305" s="56">
        <v>44743</v>
      </c>
      <c r="J305" s="57">
        <f ca="1">EFEITO!$J$305*EFEITO!$Y$305</f>
        <v>5532.3667988041379</v>
      </c>
      <c r="K305" s="57">
        <f>EFEITO!$L$305*EFEITO!$Z$305</f>
        <v>0</v>
      </c>
      <c r="L305" s="57">
        <f>EFEITO!$N$305*EFEITO!$AA$305</f>
        <v>0</v>
      </c>
      <c r="M305" s="57">
        <f ca="1">$J$305-EFEITO!$K$305*EFEITO!$Y$305</f>
        <v>0</v>
      </c>
      <c r="N305" s="57">
        <f>$K$305-EFEITO!$M$305*EFEITO!$Z$305</f>
        <v>0</v>
      </c>
      <c r="O305" s="57">
        <f>$L$305-EFEITO!$O$305*EFEITO!$AA$305</f>
        <v>0</v>
      </c>
      <c r="P305" s="40"/>
      <c r="Q305" s="40"/>
      <c r="R305" s="40"/>
      <c r="S305" s="40"/>
      <c r="T305" s="40"/>
      <c r="U305" s="40"/>
      <c r="V305" s="40"/>
      <c r="W305" s="40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6" t="s">
        <v>21</v>
      </c>
      <c r="B306" s="36" t="s">
        <v>35</v>
      </c>
      <c r="C306" s="36" t="s">
        <v>36</v>
      </c>
      <c r="D306" s="36" t="s">
        <v>42</v>
      </c>
      <c r="E306" s="36" t="s">
        <v>25</v>
      </c>
      <c r="F306" s="36" t="s">
        <v>25</v>
      </c>
      <c r="G306" s="36" t="s">
        <v>25</v>
      </c>
      <c r="H306" s="36" t="s">
        <v>25</v>
      </c>
      <c r="I306" s="56">
        <v>44774</v>
      </c>
      <c r="J306" s="57">
        <f ca="1">EFEITO!$J$306*EFEITO!$Y$306</f>
        <v>5532.3667988041379</v>
      </c>
      <c r="K306" s="57">
        <f>EFEITO!$L$306*EFEITO!$Z$306</f>
        <v>0</v>
      </c>
      <c r="L306" s="57">
        <f>EFEITO!$N$306*EFEITO!$AA$306</f>
        <v>0</v>
      </c>
      <c r="M306" s="57">
        <f ca="1">$J$306-EFEITO!$K$306*EFEITO!$Y$306</f>
        <v>0</v>
      </c>
      <c r="N306" s="57">
        <f>$K$306-EFEITO!$M$306*EFEITO!$Z$306</f>
        <v>0</v>
      </c>
      <c r="O306" s="57">
        <f>$L$306-EFEITO!$O$306*EFEITO!$AA$306</f>
        <v>0</v>
      </c>
      <c r="P306" s="40"/>
      <c r="Q306" s="40"/>
      <c r="R306" s="40"/>
      <c r="S306" s="40"/>
      <c r="T306" s="40"/>
      <c r="U306" s="40"/>
      <c r="V306" s="40"/>
      <c r="W306" s="40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6" t="s">
        <v>21</v>
      </c>
      <c r="B307" s="36" t="s">
        <v>35</v>
      </c>
      <c r="C307" s="36" t="s">
        <v>36</v>
      </c>
      <c r="D307" s="36" t="s">
        <v>42</v>
      </c>
      <c r="E307" s="36" t="s">
        <v>25</v>
      </c>
      <c r="F307" s="36" t="s">
        <v>25</v>
      </c>
      <c r="G307" s="36" t="s">
        <v>25</v>
      </c>
      <c r="H307" s="36" t="s">
        <v>37</v>
      </c>
      <c r="I307" s="56">
        <v>44440</v>
      </c>
      <c r="J307" s="57">
        <f>EFEITO!$J$307*EFEITO!$Y$307</f>
        <v>0</v>
      </c>
      <c r="K307" s="57">
        <f ca="1">EFEITO!$L$307*EFEITO!$Z$307</f>
        <v>1788.8821353571079</v>
      </c>
      <c r="L307" s="57">
        <f>EFEITO!$N$307*EFEITO!$AA$307</f>
        <v>214.56879319966683</v>
      </c>
      <c r="M307" s="57">
        <f>$J$307-EFEITO!$K$307*EFEITO!$Y$307</f>
        <v>0</v>
      </c>
      <c r="N307" s="57">
        <f ca="1">$K$307-EFEITO!$M$307*EFEITO!$Z$307</f>
        <v>0</v>
      </c>
      <c r="O307" s="57">
        <f>$L$307-EFEITO!$O$307*EFEITO!$AA$307</f>
        <v>0</v>
      </c>
      <c r="P307" s="40"/>
      <c r="Q307" s="40"/>
      <c r="R307" s="40"/>
      <c r="S307" s="40"/>
      <c r="T307" s="40"/>
      <c r="U307" s="40"/>
      <c r="V307" s="40"/>
      <c r="W307" s="40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6" t="s">
        <v>21</v>
      </c>
      <c r="B308" s="36" t="s">
        <v>35</v>
      </c>
      <c r="C308" s="36" t="s">
        <v>36</v>
      </c>
      <c r="D308" s="36" t="s">
        <v>42</v>
      </c>
      <c r="E308" s="36" t="s">
        <v>25</v>
      </c>
      <c r="F308" s="36" t="s">
        <v>25</v>
      </c>
      <c r="G308" s="36" t="s">
        <v>25</v>
      </c>
      <c r="H308" s="36" t="s">
        <v>37</v>
      </c>
      <c r="I308" s="56">
        <v>44470</v>
      </c>
      <c r="J308" s="57">
        <f>EFEITO!$J$308*EFEITO!$Y$308</f>
        <v>0</v>
      </c>
      <c r="K308" s="57">
        <f ca="1">EFEITO!$L$308*EFEITO!$Z$308</f>
        <v>1559.973046946483</v>
      </c>
      <c r="L308" s="57">
        <f>EFEITO!$N$308*EFEITO!$AA$308</f>
        <v>187.11212297980427</v>
      </c>
      <c r="M308" s="57">
        <f>$J$308-EFEITO!$K$308*EFEITO!$Y$308</f>
        <v>0</v>
      </c>
      <c r="N308" s="57">
        <f ca="1">$K$308-EFEITO!$M$308*EFEITO!$Z$308</f>
        <v>0</v>
      </c>
      <c r="O308" s="57">
        <f>$L$308-EFEITO!$O$308*EFEITO!$AA$308</f>
        <v>0</v>
      </c>
      <c r="P308" s="40"/>
      <c r="Q308" s="40"/>
      <c r="R308" s="40"/>
      <c r="S308" s="40"/>
      <c r="T308" s="40"/>
      <c r="U308" s="40"/>
      <c r="V308" s="40"/>
      <c r="W308" s="40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6" t="s">
        <v>21</v>
      </c>
      <c r="B309" s="36" t="s">
        <v>35</v>
      </c>
      <c r="C309" s="36" t="s">
        <v>36</v>
      </c>
      <c r="D309" s="36" t="s">
        <v>42</v>
      </c>
      <c r="E309" s="36" t="s">
        <v>25</v>
      </c>
      <c r="F309" s="36" t="s">
        <v>25</v>
      </c>
      <c r="G309" s="36" t="s">
        <v>25</v>
      </c>
      <c r="H309" s="36" t="s">
        <v>37</v>
      </c>
      <c r="I309" s="56">
        <v>44501</v>
      </c>
      <c r="J309" s="57">
        <f>EFEITO!$J$309*EFEITO!$Y$309</f>
        <v>0</v>
      </c>
      <c r="K309" s="57">
        <f ca="1">EFEITO!$L$309*EFEITO!$Z$309</f>
        <v>2545.1299385507291</v>
      </c>
      <c r="L309" s="57">
        <f>EFEITO!$N$309*EFEITO!$AA$309</f>
        <v>305.277496296398</v>
      </c>
      <c r="M309" s="57">
        <f>$J$309-EFEITO!$K$309*EFEITO!$Y$309</f>
        <v>0</v>
      </c>
      <c r="N309" s="57">
        <f ca="1">$K$309-EFEITO!$M$309*EFEITO!$Z$309</f>
        <v>0</v>
      </c>
      <c r="O309" s="57">
        <f>$L$309-EFEITO!$O$309*EFEITO!$AA$309</f>
        <v>0</v>
      </c>
      <c r="P309" s="40"/>
      <c r="Q309" s="40"/>
      <c r="R309" s="40"/>
      <c r="S309" s="40"/>
      <c r="T309" s="40"/>
      <c r="U309" s="40"/>
      <c r="V309" s="40"/>
      <c r="W309" s="40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6" t="s">
        <v>21</v>
      </c>
      <c r="B310" s="36" t="s">
        <v>35</v>
      </c>
      <c r="C310" s="36" t="s">
        <v>36</v>
      </c>
      <c r="D310" s="36" t="s">
        <v>42</v>
      </c>
      <c r="E310" s="36" t="s">
        <v>25</v>
      </c>
      <c r="F310" s="36" t="s">
        <v>25</v>
      </c>
      <c r="G310" s="36" t="s">
        <v>25</v>
      </c>
      <c r="H310" s="36" t="s">
        <v>37</v>
      </c>
      <c r="I310" s="56">
        <v>44531</v>
      </c>
      <c r="J310" s="57">
        <f>EFEITO!$J$310*EFEITO!$Y$310</f>
        <v>0</v>
      </c>
      <c r="K310" s="57">
        <f ca="1">EFEITO!$L$310*EFEITO!$Z$310</f>
        <v>1203.892242752177</v>
      </c>
      <c r="L310" s="57">
        <f>EFEITO!$N$310*EFEITO!$AA$310</f>
        <v>144.40174708224023</v>
      </c>
      <c r="M310" s="57">
        <f>$J$310-EFEITO!$K$310*EFEITO!$Y$310</f>
        <v>0</v>
      </c>
      <c r="N310" s="57">
        <f ca="1">$K$310-EFEITO!$M$310*EFEITO!$Z$310</f>
        <v>0</v>
      </c>
      <c r="O310" s="57">
        <f>$L$310-EFEITO!$O$310*EFEITO!$AA$310</f>
        <v>0</v>
      </c>
      <c r="P310" s="40"/>
      <c r="Q310" s="40"/>
      <c r="R310" s="40"/>
      <c r="S310" s="40"/>
      <c r="T310" s="40"/>
      <c r="U310" s="40"/>
      <c r="V310" s="40"/>
      <c r="W310" s="40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6" t="s">
        <v>21</v>
      </c>
      <c r="B311" s="36" t="s">
        <v>35</v>
      </c>
      <c r="C311" s="36" t="s">
        <v>36</v>
      </c>
      <c r="D311" s="36" t="s">
        <v>42</v>
      </c>
      <c r="E311" s="36" t="s">
        <v>25</v>
      </c>
      <c r="F311" s="36" t="s">
        <v>25</v>
      </c>
      <c r="G311" s="36" t="s">
        <v>25</v>
      </c>
      <c r="H311" s="36" t="s">
        <v>37</v>
      </c>
      <c r="I311" s="56">
        <v>44562</v>
      </c>
      <c r="J311" s="57">
        <f>EFEITO!$J$311*EFEITO!$Y$311</f>
        <v>0</v>
      </c>
      <c r="K311" s="57">
        <f ca="1">EFEITO!$L$311*EFEITO!$Z$311</f>
        <v>356.08080419430587</v>
      </c>
      <c r="L311" s="57">
        <f>EFEITO!$N$311*EFEITO!$AA$311</f>
        <v>42.710375897564013</v>
      </c>
      <c r="M311" s="57">
        <f>$J$311-EFEITO!$K$311*EFEITO!$Y$311</f>
        <v>0</v>
      </c>
      <c r="N311" s="57">
        <f ca="1">$K$311-EFEITO!$M$311*EFEITO!$Z$311</f>
        <v>0</v>
      </c>
      <c r="O311" s="57">
        <f>$L$311-EFEITO!$O$311*EFEITO!$AA$311</f>
        <v>0</v>
      </c>
      <c r="P311" s="40"/>
      <c r="Q311" s="40"/>
      <c r="R311" s="40"/>
      <c r="S311" s="40"/>
      <c r="T311" s="40"/>
      <c r="U311" s="40"/>
      <c r="V311" s="40"/>
      <c r="W311" s="40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6" t="s">
        <v>21</v>
      </c>
      <c r="B312" s="36" t="s">
        <v>35</v>
      </c>
      <c r="C312" s="36" t="s">
        <v>36</v>
      </c>
      <c r="D312" s="36" t="s">
        <v>42</v>
      </c>
      <c r="E312" s="36" t="s">
        <v>25</v>
      </c>
      <c r="F312" s="36" t="s">
        <v>25</v>
      </c>
      <c r="G312" s="36" t="s">
        <v>25</v>
      </c>
      <c r="H312" s="36" t="s">
        <v>37</v>
      </c>
      <c r="I312" s="56">
        <v>44593</v>
      </c>
      <c r="J312" s="57">
        <f>EFEITO!$J$312*EFEITO!$Y$312</f>
        <v>0</v>
      </c>
      <c r="K312" s="57">
        <f ca="1">EFEITO!$L$312*EFEITO!$Z$312</f>
        <v>3411.5932287568735</v>
      </c>
      <c r="L312" s="57">
        <f>EFEITO!$N$312*EFEITO!$AA$312</f>
        <v>409.20607764713714</v>
      </c>
      <c r="M312" s="57">
        <f>$J$312-EFEITO!$K$312*EFEITO!$Y$312</f>
        <v>0</v>
      </c>
      <c r="N312" s="57">
        <f ca="1">$K$312-EFEITO!$M$312*EFEITO!$Z$312</f>
        <v>0</v>
      </c>
      <c r="O312" s="57">
        <f>$L$312-EFEITO!$O$312*EFEITO!$AA$312</f>
        <v>0</v>
      </c>
      <c r="P312" s="40"/>
      <c r="Q312" s="40"/>
      <c r="R312" s="40"/>
      <c r="S312" s="40"/>
      <c r="T312" s="40"/>
      <c r="U312" s="40"/>
      <c r="V312" s="40"/>
      <c r="W312" s="40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6" t="s">
        <v>21</v>
      </c>
      <c r="B313" s="36" t="s">
        <v>35</v>
      </c>
      <c r="C313" s="36" t="s">
        <v>36</v>
      </c>
      <c r="D313" s="36" t="s">
        <v>42</v>
      </c>
      <c r="E313" s="36" t="s">
        <v>25</v>
      </c>
      <c r="F313" s="36" t="s">
        <v>25</v>
      </c>
      <c r="G313" s="36" t="s">
        <v>25</v>
      </c>
      <c r="H313" s="36" t="s">
        <v>37</v>
      </c>
      <c r="I313" s="56">
        <v>44621</v>
      </c>
      <c r="J313" s="57">
        <f>EFEITO!$J$313*EFEITO!$Y$313</f>
        <v>0</v>
      </c>
      <c r="K313" s="57">
        <f ca="1">EFEITO!$L$313*EFEITO!$Z$313</f>
        <v>4537.486819161727</v>
      </c>
      <c r="L313" s="57">
        <f>EFEITO!$N$313*EFEITO!$AA$313</f>
        <v>544.25221858038719</v>
      </c>
      <c r="M313" s="57">
        <f>$J$313-EFEITO!$K$313*EFEITO!$Y$313</f>
        <v>0</v>
      </c>
      <c r="N313" s="57">
        <f ca="1">$K$313-EFEITO!$M$313*EFEITO!$Z$313</f>
        <v>0</v>
      </c>
      <c r="O313" s="57">
        <f>$L$313-EFEITO!$O$313*EFEITO!$AA$313</f>
        <v>0</v>
      </c>
      <c r="P313" s="40"/>
      <c r="Q313" s="40"/>
      <c r="R313" s="40"/>
      <c r="S313" s="40"/>
      <c r="T313" s="40"/>
      <c r="U313" s="40"/>
      <c r="V313" s="40"/>
      <c r="W313" s="40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6" t="s">
        <v>21</v>
      </c>
      <c r="B314" s="36" t="s">
        <v>35</v>
      </c>
      <c r="C314" s="36" t="s">
        <v>36</v>
      </c>
      <c r="D314" s="36" t="s">
        <v>42</v>
      </c>
      <c r="E314" s="36" t="s">
        <v>25</v>
      </c>
      <c r="F314" s="36" t="s">
        <v>25</v>
      </c>
      <c r="G314" s="36" t="s">
        <v>25</v>
      </c>
      <c r="H314" s="36" t="s">
        <v>37</v>
      </c>
      <c r="I314" s="56">
        <v>44652</v>
      </c>
      <c r="J314" s="57">
        <f>EFEITO!$J$314*EFEITO!$Y$314</f>
        <v>0</v>
      </c>
      <c r="K314" s="57">
        <f ca="1">EFEITO!$L$314*EFEITO!$Z$314</f>
        <v>1821.0989700223074</v>
      </c>
      <c r="L314" s="57">
        <f>EFEITO!$N$314*EFEITO!$AA$314</f>
        <v>218.43306530468456</v>
      </c>
      <c r="M314" s="57">
        <f>$J$314-EFEITO!$K$314*EFEITO!$Y$314</f>
        <v>0</v>
      </c>
      <c r="N314" s="57">
        <f ca="1">$K$314-EFEITO!$M$314*EFEITO!$Z$314</f>
        <v>0</v>
      </c>
      <c r="O314" s="57">
        <f>$L$314-EFEITO!$O$314*EFEITO!$AA$314</f>
        <v>0</v>
      </c>
      <c r="P314" s="40"/>
      <c r="Q314" s="40"/>
      <c r="R314" s="40"/>
      <c r="S314" s="40"/>
      <c r="T314" s="40"/>
      <c r="U314" s="40"/>
      <c r="V314" s="40"/>
      <c r="W314" s="40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6" t="s">
        <v>21</v>
      </c>
      <c r="B315" s="36" t="s">
        <v>35</v>
      </c>
      <c r="C315" s="36" t="s">
        <v>36</v>
      </c>
      <c r="D315" s="36" t="s">
        <v>42</v>
      </c>
      <c r="E315" s="36" t="s">
        <v>25</v>
      </c>
      <c r="F315" s="36" t="s">
        <v>25</v>
      </c>
      <c r="G315" s="36" t="s">
        <v>25</v>
      </c>
      <c r="H315" s="36" t="s">
        <v>37</v>
      </c>
      <c r="I315" s="56">
        <v>44682</v>
      </c>
      <c r="J315" s="57">
        <f>EFEITO!$J$315*EFEITO!$Y$315</f>
        <v>0</v>
      </c>
      <c r="K315" s="57">
        <f ca="1">EFEITO!$L$315*EFEITO!$Z$315</f>
        <v>1203.892242752177</v>
      </c>
      <c r="L315" s="57">
        <f>EFEITO!$N$315*EFEITO!$AA$315</f>
        <v>144.40174708224023</v>
      </c>
      <c r="M315" s="57">
        <f>$J$315-EFEITO!$K$315*EFEITO!$Y$315</f>
        <v>0</v>
      </c>
      <c r="N315" s="57">
        <f ca="1">$K$315-EFEITO!$M$315*EFEITO!$Z$315</f>
        <v>0</v>
      </c>
      <c r="O315" s="57">
        <f>$L$315-EFEITO!$O$315*EFEITO!$AA$315</f>
        <v>0</v>
      </c>
      <c r="P315" s="40"/>
      <c r="Q315" s="40"/>
      <c r="R315" s="40"/>
      <c r="S315" s="40"/>
      <c r="T315" s="40"/>
      <c r="U315" s="40"/>
      <c r="V315" s="40"/>
      <c r="W315" s="40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6" t="s">
        <v>21</v>
      </c>
      <c r="B316" s="36" t="s">
        <v>35</v>
      </c>
      <c r="C316" s="36" t="s">
        <v>36</v>
      </c>
      <c r="D316" s="36" t="s">
        <v>42</v>
      </c>
      <c r="E316" s="36" t="s">
        <v>25</v>
      </c>
      <c r="F316" s="36" t="s">
        <v>25</v>
      </c>
      <c r="G316" s="36" t="s">
        <v>25</v>
      </c>
      <c r="H316" s="36" t="s">
        <v>37</v>
      </c>
      <c r="I316" s="56">
        <v>44713</v>
      </c>
      <c r="J316" s="57">
        <f>EFEITO!$J$316*EFEITO!$Y$316</f>
        <v>0</v>
      </c>
      <c r="K316" s="57">
        <f ca="1">EFEITO!$L$316*EFEITO!$Z$316</f>
        <v>4471.3575269542125</v>
      </c>
      <c r="L316" s="57">
        <f>EFEITO!$N$316*EFEITO!$AA$316</f>
        <v>536.32029162798244</v>
      </c>
      <c r="M316" s="57">
        <f>$J$316-EFEITO!$K$316*EFEITO!$Y$316</f>
        <v>0</v>
      </c>
      <c r="N316" s="57">
        <f ca="1">$K$316-EFEITO!$M$316*EFEITO!$Z$316</f>
        <v>0</v>
      </c>
      <c r="O316" s="57">
        <f>$L$316-EFEITO!$O$316*EFEITO!$AA$316</f>
        <v>0</v>
      </c>
      <c r="P316" s="40"/>
      <c r="Q316" s="40"/>
      <c r="R316" s="40"/>
      <c r="S316" s="40"/>
      <c r="T316" s="40"/>
      <c r="U316" s="40"/>
      <c r="V316" s="40"/>
      <c r="W316" s="40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6" t="s">
        <v>21</v>
      </c>
      <c r="B317" s="36" t="s">
        <v>35</v>
      </c>
      <c r="C317" s="36" t="s">
        <v>36</v>
      </c>
      <c r="D317" s="36" t="s">
        <v>42</v>
      </c>
      <c r="E317" s="36" t="s">
        <v>25</v>
      </c>
      <c r="F317" s="36" t="s">
        <v>25</v>
      </c>
      <c r="G317" s="36" t="s">
        <v>25</v>
      </c>
      <c r="H317" s="36" t="s">
        <v>37</v>
      </c>
      <c r="I317" s="56">
        <v>44743</v>
      </c>
      <c r="J317" s="57">
        <f>EFEITO!$J$317*EFEITO!$Y$317</f>
        <v>0</v>
      </c>
      <c r="K317" s="57">
        <f ca="1">EFEITO!$L$317*EFEITO!$Z$317</f>
        <v>2519.6955953939932</v>
      </c>
      <c r="L317" s="57">
        <f>EFEITO!$N$317*EFEITO!$AA$317</f>
        <v>302.22675516085775</v>
      </c>
      <c r="M317" s="57">
        <f>$J$317-EFEITO!$K$317*EFEITO!$Y$317</f>
        <v>0</v>
      </c>
      <c r="N317" s="57">
        <f ca="1">$K$317-EFEITO!$M$317*EFEITO!$Z$317</f>
        <v>0</v>
      </c>
      <c r="O317" s="57">
        <f>$L$317-EFEITO!$O$317*EFEITO!$AA$317</f>
        <v>0</v>
      </c>
      <c r="P317" s="40"/>
      <c r="Q317" s="40"/>
      <c r="R317" s="40"/>
      <c r="S317" s="40"/>
      <c r="T317" s="40"/>
      <c r="U317" s="40"/>
      <c r="V317" s="40"/>
      <c r="W317" s="40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6" t="s">
        <v>21</v>
      </c>
      <c r="B318" s="36" t="s">
        <v>35</v>
      </c>
      <c r="C318" s="36" t="s">
        <v>36</v>
      </c>
      <c r="D318" s="36" t="s">
        <v>42</v>
      </c>
      <c r="E318" s="36" t="s">
        <v>25</v>
      </c>
      <c r="F318" s="36" t="s">
        <v>25</v>
      </c>
      <c r="G318" s="36" t="s">
        <v>25</v>
      </c>
      <c r="H318" s="36" t="s">
        <v>37</v>
      </c>
      <c r="I318" s="56">
        <v>44774</v>
      </c>
      <c r="J318" s="57">
        <f>EFEITO!$J$318*EFEITO!$Y$318</f>
        <v>0</v>
      </c>
      <c r="K318" s="57">
        <f ca="1">EFEITO!$L$318*EFEITO!$Z$318</f>
        <v>3704.9359864978969</v>
      </c>
      <c r="L318" s="57">
        <f>EFEITO!$N$318*EFEITO!$AA$318</f>
        <v>444.39129207703513</v>
      </c>
      <c r="M318" s="57">
        <f>$J$318-EFEITO!$K$318*EFEITO!$Y$318</f>
        <v>0</v>
      </c>
      <c r="N318" s="57">
        <f ca="1">$K$318-EFEITO!$M$318*EFEITO!$Z$318</f>
        <v>0</v>
      </c>
      <c r="O318" s="57">
        <f>$L$318-EFEITO!$O$318*EFEITO!$AA$318</f>
        <v>0</v>
      </c>
      <c r="P318" s="40"/>
      <c r="Q318" s="40"/>
      <c r="R318" s="40"/>
      <c r="S318" s="40"/>
      <c r="T318" s="40"/>
      <c r="U318" s="40"/>
      <c r="V318" s="40"/>
      <c r="W318" s="40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6" t="s">
        <v>21</v>
      </c>
      <c r="B319" s="36" t="s">
        <v>35</v>
      </c>
      <c r="C319" s="36" t="s">
        <v>36</v>
      </c>
      <c r="D319" s="36" t="s">
        <v>46</v>
      </c>
      <c r="E319" s="36" t="s">
        <v>47</v>
      </c>
      <c r="F319" s="36" t="s">
        <v>25</v>
      </c>
      <c r="G319" s="36" t="s">
        <v>25</v>
      </c>
      <c r="H319" s="36" t="s">
        <v>38</v>
      </c>
      <c r="I319" s="56">
        <v>44440</v>
      </c>
      <c r="J319" s="57">
        <f>EFEITO!$J$319*EFEITO!$Y$294</f>
        <v>0</v>
      </c>
      <c r="K319" s="57">
        <f ca="1">EFEITO!$L$319*EFEITO!$Z$294</f>
        <v>3548.9614020049817</v>
      </c>
      <c r="L319" s="57">
        <f>EFEITO!$N$319*EFEITO!$AA$294</f>
        <v>7015.4843152884432</v>
      </c>
      <c r="M319" s="57">
        <f>$J$319-EFEITO!$K$319*EFEITO!$Y$319</f>
        <v>0</v>
      </c>
      <c r="N319" s="57">
        <f ca="1">$K$319-EFEITO!$M$319*EFEITO!$Z$319</f>
        <v>106.46884206014965</v>
      </c>
      <c r="O319" s="57">
        <f>$L$319-EFEITO!$O$319*EFEITO!$AA$319</f>
        <v>210.46452945865349</v>
      </c>
      <c r="P319" s="40"/>
      <c r="Q319" s="40"/>
      <c r="R319" s="40"/>
      <c r="S319" s="40"/>
      <c r="T319" s="40"/>
      <c r="U319" s="40"/>
      <c r="V319" s="40"/>
      <c r="W319" s="40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6" t="s">
        <v>21</v>
      </c>
      <c r="B320" s="36" t="s">
        <v>35</v>
      </c>
      <c r="C320" s="36" t="s">
        <v>36</v>
      </c>
      <c r="D320" s="36" t="s">
        <v>46</v>
      </c>
      <c r="E320" s="36" t="s">
        <v>47</v>
      </c>
      <c r="F320" s="36" t="s">
        <v>25</v>
      </c>
      <c r="G320" s="36" t="s">
        <v>25</v>
      </c>
      <c r="H320" s="36" t="s">
        <v>38</v>
      </c>
      <c r="I320" s="56">
        <v>44470</v>
      </c>
      <c r="J320" s="57">
        <f>EFEITO!$J$320*EFEITO!$Y$294</f>
        <v>0</v>
      </c>
      <c r="K320" s="57">
        <f ca="1">EFEITO!$L$320*EFEITO!$Z$294</f>
        <v>2215.4515530055451</v>
      </c>
      <c r="L320" s="57">
        <f>EFEITO!$N$320*EFEITO!$AA$294</f>
        <v>4379.4405914392664</v>
      </c>
      <c r="M320" s="57">
        <f>$J$320-EFEITO!$K$320*EFEITO!$Y$320</f>
        <v>0</v>
      </c>
      <c r="N320" s="57">
        <f ca="1">$K$320-EFEITO!$M$320*EFEITO!$Z$320</f>
        <v>66.463546590166516</v>
      </c>
      <c r="O320" s="57">
        <f>$L$320-EFEITO!$O$320*EFEITO!$AA$320</f>
        <v>131.38321774317774</v>
      </c>
      <c r="P320" s="40"/>
      <c r="Q320" s="40"/>
      <c r="R320" s="40"/>
      <c r="S320" s="40"/>
      <c r="T320" s="40"/>
      <c r="U320" s="40"/>
      <c r="V320" s="40"/>
      <c r="W320" s="40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6" t="s">
        <v>21</v>
      </c>
      <c r="B321" s="36" t="s">
        <v>35</v>
      </c>
      <c r="C321" s="36" t="s">
        <v>36</v>
      </c>
      <c r="D321" s="36" t="s">
        <v>46</v>
      </c>
      <c r="E321" s="36" t="s">
        <v>47</v>
      </c>
      <c r="F321" s="36" t="s">
        <v>25</v>
      </c>
      <c r="G321" s="36" t="s">
        <v>25</v>
      </c>
      <c r="H321" s="36" t="s">
        <v>38</v>
      </c>
      <c r="I321" s="56">
        <v>44501</v>
      </c>
      <c r="J321" s="57">
        <f>EFEITO!$J$321*EFEITO!$Y$294</f>
        <v>0</v>
      </c>
      <c r="K321" s="57">
        <f ca="1">EFEITO!$L$321*EFEITO!$Z$294</f>
        <v>2465.1566994851091</v>
      </c>
      <c r="L321" s="57">
        <f>EFEITO!$N$321*EFEITO!$AA$294</f>
        <v>4873.0505071696853</v>
      </c>
      <c r="M321" s="57">
        <f>$J$321-EFEITO!$K$321*EFEITO!$Y$321</f>
        <v>0</v>
      </c>
      <c r="N321" s="57">
        <f ca="1">$K$321-EFEITO!$M$321*EFEITO!$Z$321</f>
        <v>73.954700984553256</v>
      </c>
      <c r="O321" s="57">
        <f>$L$321-EFEITO!$O$321*EFEITO!$AA$321</f>
        <v>146.19151521509139</v>
      </c>
      <c r="P321" s="40"/>
      <c r="Q321" s="40"/>
      <c r="R321" s="40"/>
      <c r="S321" s="40"/>
      <c r="T321" s="40"/>
      <c r="U321" s="40"/>
      <c r="V321" s="40"/>
      <c r="W321" s="40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6" t="s">
        <v>21</v>
      </c>
      <c r="B322" s="36" t="s">
        <v>35</v>
      </c>
      <c r="C322" s="36" t="s">
        <v>36</v>
      </c>
      <c r="D322" s="36" t="s">
        <v>46</v>
      </c>
      <c r="E322" s="36" t="s">
        <v>47</v>
      </c>
      <c r="F322" s="36" t="s">
        <v>25</v>
      </c>
      <c r="G322" s="36" t="s">
        <v>25</v>
      </c>
      <c r="H322" s="36" t="s">
        <v>38</v>
      </c>
      <c r="I322" s="56">
        <v>44531</v>
      </c>
      <c r="J322" s="57">
        <f>EFEITO!$J$322*EFEITO!$Y$294</f>
        <v>0</v>
      </c>
      <c r="K322" s="57">
        <f ca="1">EFEITO!$L$322*EFEITO!$Z$294</f>
        <v>2544.6878400820206</v>
      </c>
      <c r="L322" s="57">
        <f>EFEITO!$N$322*EFEITO!$AA$294</f>
        <v>5030.2653670211948</v>
      </c>
      <c r="M322" s="57">
        <f>$J$322-EFEITO!$K$322*EFEITO!$Y$322</f>
        <v>0</v>
      </c>
      <c r="N322" s="57">
        <f ca="1">$K$322-EFEITO!$M$322*EFEITO!$Z$322</f>
        <v>76.340635202460817</v>
      </c>
      <c r="O322" s="57">
        <f>$L$322-EFEITO!$O$322*EFEITO!$AA$322</f>
        <v>150.90796101063643</v>
      </c>
      <c r="P322" s="40"/>
      <c r="Q322" s="40"/>
      <c r="R322" s="40"/>
      <c r="S322" s="40"/>
      <c r="T322" s="40"/>
      <c r="U322" s="40"/>
      <c r="V322" s="40"/>
      <c r="W322" s="40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6" t="s">
        <v>21</v>
      </c>
      <c r="B323" s="36" t="s">
        <v>35</v>
      </c>
      <c r="C323" s="36" t="s">
        <v>36</v>
      </c>
      <c r="D323" s="36" t="s">
        <v>46</v>
      </c>
      <c r="E323" s="36" t="s">
        <v>47</v>
      </c>
      <c r="F323" s="36" t="s">
        <v>25</v>
      </c>
      <c r="G323" s="36" t="s">
        <v>25</v>
      </c>
      <c r="H323" s="36" t="s">
        <v>38</v>
      </c>
      <c r="I323" s="56">
        <v>44562</v>
      </c>
      <c r="J323" s="57">
        <f>EFEITO!$J$323*EFEITO!$Y$294</f>
        <v>0</v>
      </c>
      <c r="K323" s="57">
        <f ca="1">EFEITO!$L$323*EFEITO!$Z$294</f>
        <v>2421.738664126899</v>
      </c>
      <c r="L323" s="57">
        <f>EFEITO!$N$323*EFEITO!$AA$294</f>
        <v>4787.2229898898186</v>
      </c>
      <c r="M323" s="57">
        <f>$J$323-EFEITO!$K$323*EFEITO!$Y$323</f>
        <v>0</v>
      </c>
      <c r="N323" s="57">
        <f ca="1">$K$323-EFEITO!$M$323*EFEITO!$Z$323</f>
        <v>72.652159923806721</v>
      </c>
      <c r="O323" s="57">
        <f>$L$323-EFEITO!$O$323*EFEITO!$AA$323</f>
        <v>143.61668969669518</v>
      </c>
      <c r="P323" s="40"/>
      <c r="Q323" s="40"/>
      <c r="R323" s="40"/>
      <c r="S323" s="40"/>
      <c r="T323" s="40"/>
      <c r="U323" s="40"/>
      <c r="V323" s="40"/>
      <c r="W323" s="40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6" t="s">
        <v>21</v>
      </c>
      <c r="B324" s="36" t="s">
        <v>35</v>
      </c>
      <c r="C324" s="36" t="s">
        <v>36</v>
      </c>
      <c r="D324" s="36" t="s">
        <v>46</v>
      </c>
      <c r="E324" s="36" t="s">
        <v>47</v>
      </c>
      <c r="F324" s="36" t="s">
        <v>25</v>
      </c>
      <c r="G324" s="36" t="s">
        <v>25</v>
      </c>
      <c r="H324" s="36" t="s">
        <v>38</v>
      </c>
      <c r="I324" s="56">
        <v>44593</v>
      </c>
      <c r="J324" s="57">
        <f>EFEITO!$J$324*EFEITO!$Y$294</f>
        <v>0</v>
      </c>
      <c r="K324" s="57">
        <f ca="1">EFEITO!$L$324*EFEITO!$Z$294</f>
        <v>2293.1307394876508</v>
      </c>
      <c r="L324" s="57">
        <f>EFEITO!$N$324*EFEITO!$AA$294</f>
        <v>4532.994561928128</v>
      </c>
      <c r="M324" s="57">
        <f>$J$324-EFEITO!$K$324*EFEITO!$Y$324</f>
        <v>0</v>
      </c>
      <c r="N324" s="57">
        <f ca="1">$K$324-EFEITO!$M$324*EFEITO!$Z$324</f>
        <v>68.793922184629537</v>
      </c>
      <c r="O324" s="57">
        <f>$L$324-EFEITO!$O$324*EFEITO!$AA$324</f>
        <v>135.98983685784424</v>
      </c>
      <c r="P324" s="40"/>
      <c r="Q324" s="40"/>
      <c r="R324" s="40"/>
      <c r="S324" s="40"/>
      <c r="T324" s="40"/>
      <c r="U324" s="40"/>
      <c r="V324" s="40"/>
      <c r="W324" s="40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6" t="s">
        <v>21</v>
      </c>
      <c r="B325" s="36" t="s">
        <v>35</v>
      </c>
      <c r="C325" s="36" t="s">
        <v>36</v>
      </c>
      <c r="D325" s="36" t="s">
        <v>46</v>
      </c>
      <c r="E325" s="36" t="s">
        <v>47</v>
      </c>
      <c r="F325" s="36" t="s">
        <v>25</v>
      </c>
      <c r="G325" s="36" t="s">
        <v>25</v>
      </c>
      <c r="H325" s="36" t="s">
        <v>38</v>
      </c>
      <c r="I325" s="56">
        <v>44621</v>
      </c>
      <c r="J325" s="57">
        <f>EFEITO!$J$325*EFEITO!$Y$294</f>
        <v>0</v>
      </c>
      <c r="K325" s="57">
        <f ca="1">EFEITO!$L$325*EFEITO!$Z$294</f>
        <v>2483.2646952743153</v>
      </c>
      <c r="L325" s="57">
        <f>EFEITO!$N$325*EFEITO!$AA$294</f>
        <v>4908.8458698266904</v>
      </c>
      <c r="M325" s="57">
        <f>$J$325-EFEITO!$K$325*EFEITO!$Y$325</f>
        <v>0</v>
      </c>
      <c r="N325" s="57">
        <f ca="1">$K$325-EFEITO!$M$325*EFEITO!$Z$325</f>
        <v>74.497940858229413</v>
      </c>
      <c r="O325" s="57">
        <f>$L$325-EFEITO!$O$325*EFEITO!$AA$325</f>
        <v>147.26537609480056</v>
      </c>
      <c r="P325" s="40"/>
      <c r="Q325" s="40"/>
      <c r="R325" s="40"/>
      <c r="S325" s="40"/>
      <c r="T325" s="40"/>
      <c r="U325" s="40"/>
      <c r="V325" s="40"/>
      <c r="W325" s="40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6" t="s">
        <v>21</v>
      </c>
      <c r="B326" s="36" t="s">
        <v>35</v>
      </c>
      <c r="C326" s="36" t="s">
        <v>36</v>
      </c>
      <c r="D326" s="36" t="s">
        <v>46</v>
      </c>
      <c r="E326" s="36" t="s">
        <v>47</v>
      </c>
      <c r="F326" s="36" t="s">
        <v>25</v>
      </c>
      <c r="G326" s="36" t="s">
        <v>25</v>
      </c>
      <c r="H326" s="36" t="s">
        <v>38</v>
      </c>
      <c r="I326" s="56">
        <v>44652</v>
      </c>
      <c r="J326" s="57">
        <f>EFEITO!$J$326*EFEITO!$Y$294</f>
        <v>0</v>
      </c>
      <c r="K326" s="57">
        <f ca="1">EFEITO!$L$326*EFEITO!$Z$294</f>
        <v>2414.4337340073898</v>
      </c>
      <c r="L326" s="57">
        <f>EFEITO!$N$326*EFEITO!$AA$294</f>
        <v>4772.7828151815938</v>
      </c>
      <c r="M326" s="57">
        <f>$J$326-EFEITO!$K$326*EFEITO!$Y$326</f>
        <v>0</v>
      </c>
      <c r="N326" s="57">
        <f ca="1">$K$326-EFEITO!$M$326*EFEITO!$Z$326</f>
        <v>72.433012020221668</v>
      </c>
      <c r="O326" s="57">
        <f>$L$326-EFEITO!$O$326*EFEITO!$AA$326</f>
        <v>143.1834844554478</v>
      </c>
      <c r="P326" s="40"/>
      <c r="Q326" s="40"/>
      <c r="R326" s="40"/>
      <c r="S326" s="40"/>
      <c r="T326" s="40"/>
      <c r="U326" s="40"/>
      <c r="V326" s="40"/>
      <c r="W326" s="40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6" t="s">
        <v>21</v>
      </c>
      <c r="B327" s="36" t="s">
        <v>35</v>
      </c>
      <c r="C327" s="36" t="s">
        <v>36</v>
      </c>
      <c r="D327" s="36" t="s">
        <v>46</v>
      </c>
      <c r="E327" s="36" t="s">
        <v>47</v>
      </c>
      <c r="F327" s="36" t="s">
        <v>25</v>
      </c>
      <c r="G327" s="36" t="s">
        <v>25</v>
      </c>
      <c r="H327" s="36" t="s">
        <v>38</v>
      </c>
      <c r="I327" s="56">
        <v>44682</v>
      </c>
      <c r="J327" s="57">
        <f>EFEITO!$J$327*EFEITO!$Y$294</f>
        <v>0</v>
      </c>
      <c r="K327" s="57">
        <f ca="1">EFEITO!$L$327*EFEITO!$Z$294</f>
        <v>2782.0466257962166</v>
      </c>
      <c r="L327" s="57">
        <f>EFEITO!$N$327*EFEITO!$AA$294</f>
        <v>5499.4693536672903</v>
      </c>
      <c r="M327" s="57">
        <f>$J$327-EFEITO!$K$327*EFEITO!$Y$327</f>
        <v>0</v>
      </c>
      <c r="N327" s="57">
        <f ca="1">$K$327-EFEITO!$M$327*EFEITO!$Z$327</f>
        <v>83.461398773886231</v>
      </c>
      <c r="O327" s="57">
        <f>$L$327-EFEITO!$O$327*EFEITO!$AA$327</f>
        <v>164.98408061001919</v>
      </c>
      <c r="P327" s="40"/>
      <c r="Q327" s="40"/>
      <c r="R327" s="40"/>
      <c r="S327" s="40"/>
      <c r="T327" s="40"/>
      <c r="U327" s="40"/>
      <c r="V327" s="40"/>
      <c r="W327" s="40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6" t="s">
        <v>21</v>
      </c>
      <c r="B328" s="36" t="s">
        <v>35</v>
      </c>
      <c r="C328" s="36" t="s">
        <v>36</v>
      </c>
      <c r="D328" s="36" t="s">
        <v>46</v>
      </c>
      <c r="E328" s="36" t="s">
        <v>47</v>
      </c>
      <c r="F328" s="36" t="s">
        <v>25</v>
      </c>
      <c r="G328" s="36" t="s">
        <v>25</v>
      </c>
      <c r="H328" s="36" t="s">
        <v>38</v>
      </c>
      <c r="I328" s="56">
        <v>44713</v>
      </c>
      <c r="J328" s="57">
        <f>EFEITO!$J$328*EFEITO!$Y$294</f>
        <v>0</v>
      </c>
      <c r="K328" s="57">
        <f ca="1">EFEITO!$L$328*EFEITO!$Z$294</f>
        <v>2597.6743050333907</v>
      </c>
      <c r="L328" s="57">
        <f>EFEITO!$N$328*EFEITO!$AA$294</f>
        <v>5135.0074793414115</v>
      </c>
      <c r="M328" s="57">
        <f>$J$328-EFEITO!$K$328*EFEITO!$Y$328</f>
        <v>0</v>
      </c>
      <c r="N328" s="57">
        <f ca="1">$K$328-EFEITO!$M$328*EFEITO!$Z$328</f>
        <v>77.93022915100164</v>
      </c>
      <c r="O328" s="57">
        <f>$L$328-EFEITO!$O$328*EFEITO!$AA$328</f>
        <v>154.05022438024298</v>
      </c>
      <c r="P328" s="40"/>
      <c r="Q328" s="40"/>
      <c r="R328" s="40"/>
      <c r="S328" s="40"/>
      <c r="T328" s="40"/>
      <c r="U328" s="40"/>
      <c r="V328" s="40"/>
      <c r="W328" s="40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6" t="s">
        <v>21</v>
      </c>
      <c r="B329" s="36" t="s">
        <v>35</v>
      </c>
      <c r="C329" s="36" t="s">
        <v>36</v>
      </c>
      <c r="D329" s="36" t="s">
        <v>46</v>
      </c>
      <c r="E329" s="36" t="s">
        <v>47</v>
      </c>
      <c r="F329" s="36" t="s">
        <v>25</v>
      </c>
      <c r="G329" s="36" t="s">
        <v>25</v>
      </c>
      <c r="H329" s="36" t="s">
        <v>38</v>
      </c>
      <c r="I329" s="56">
        <v>44743</v>
      </c>
      <c r="J329" s="57">
        <f>EFEITO!$J$329*EFEITO!$Y$294</f>
        <v>0</v>
      </c>
      <c r="K329" s="57">
        <f ca="1">EFEITO!$L$329*EFEITO!$Z$294</f>
        <v>2696.4451911563328</v>
      </c>
      <c r="L329" s="57">
        <f>EFEITO!$N$329*EFEITO!$AA$294</f>
        <v>5330.2549120159892</v>
      </c>
      <c r="M329" s="57">
        <f>$J$329-EFEITO!$K$329*EFEITO!$Y$329</f>
        <v>0</v>
      </c>
      <c r="N329" s="57">
        <f ca="1">$K$329-EFEITO!$M$329*EFEITO!$Z$329</f>
        <v>80.893355734689976</v>
      </c>
      <c r="O329" s="57">
        <f>$L$329-EFEITO!$O$329*EFEITO!$AA$329</f>
        <v>159.90764736048004</v>
      </c>
      <c r="P329" s="40"/>
      <c r="Q329" s="40"/>
      <c r="R329" s="40"/>
      <c r="S329" s="40"/>
      <c r="T329" s="40"/>
      <c r="U329" s="40"/>
      <c r="V329" s="40"/>
      <c r="W329" s="40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6" t="s">
        <v>21</v>
      </c>
      <c r="B330" s="36" t="s">
        <v>35</v>
      </c>
      <c r="C330" s="36" t="s">
        <v>36</v>
      </c>
      <c r="D330" s="36" t="s">
        <v>46</v>
      </c>
      <c r="E330" s="36" t="s">
        <v>47</v>
      </c>
      <c r="F330" s="36" t="s">
        <v>25</v>
      </c>
      <c r="G330" s="36" t="s">
        <v>25</v>
      </c>
      <c r="H330" s="36" t="s">
        <v>38</v>
      </c>
      <c r="I330" s="56">
        <v>44774</v>
      </c>
      <c r="J330" s="57">
        <f>EFEITO!$J$330*EFEITO!$Y$294</f>
        <v>0</v>
      </c>
      <c r="K330" s="57">
        <f ca="1">EFEITO!$L$330*EFEITO!$Z$294</f>
        <v>2630.4950474013267</v>
      </c>
      <c r="L330" s="57">
        <f>EFEITO!$N$330*EFEITO!$AA$294</f>
        <v>5199.8865741572345</v>
      </c>
      <c r="M330" s="57">
        <f>$J$330-EFEITO!$K$330*EFEITO!$Y$330</f>
        <v>0</v>
      </c>
      <c r="N330" s="57">
        <f ca="1">$K$330-EFEITO!$M$330*EFEITO!$Z$330</f>
        <v>78.914851422039646</v>
      </c>
      <c r="O330" s="57">
        <f>$L$330-EFEITO!$O$330*EFEITO!$AA$330</f>
        <v>155.99659722471733</v>
      </c>
      <c r="P330" s="40"/>
      <c r="Q330" s="40"/>
      <c r="R330" s="40"/>
      <c r="S330" s="40"/>
      <c r="T330" s="40"/>
      <c r="U330" s="40"/>
      <c r="V330" s="40"/>
      <c r="W330" s="40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6" t="s">
        <v>21</v>
      </c>
      <c r="B331" s="36" t="s">
        <v>35</v>
      </c>
      <c r="C331" s="36" t="s">
        <v>36</v>
      </c>
      <c r="D331" s="36" t="s">
        <v>46</v>
      </c>
      <c r="E331" s="36" t="s">
        <v>47</v>
      </c>
      <c r="F331" s="36" t="s">
        <v>25</v>
      </c>
      <c r="G331" s="36" t="s">
        <v>25</v>
      </c>
      <c r="H331" s="36" t="s">
        <v>25</v>
      </c>
      <c r="I331" s="56">
        <v>44440</v>
      </c>
      <c r="J331" s="57">
        <f ca="1">EFEITO!$J$331*EFEITO!$Y$306</f>
        <v>1276.7000304932626</v>
      </c>
      <c r="K331" s="57">
        <f>EFEITO!$L$331*EFEITO!$Z$306</f>
        <v>0</v>
      </c>
      <c r="L331" s="57">
        <f>EFEITO!$N$331*EFEITO!$AA$306</f>
        <v>0</v>
      </c>
      <c r="M331" s="57">
        <f ca="1">$J$331-EFEITO!$K$331*EFEITO!$Y$331</f>
        <v>38.301000914797896</v>
      </c>
      <c r="N331" s="57">
        <f>$K$331-EFEITO!$M$331*EFEITO!$Z$331</f>
        <v>0</v>
      </c>
      <c r="O331" s="57">
        <f>$L$331-EFEITO!$O$331*EFEITO!$AA$331</f>
        <v>0</v>
      </c>
      <c r="P331" s="40"/>
      <c r="Q331" s="40"/>
      <c r="R331" s="40"/>
      <c r="S331" s="40"/>
      <c r="T331" s="40"/>
      <c r="U331" s="40"/>
      <c r="V331" s="40"/>
      <c r="W331" s="40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6" t="s">
        <v>21</v>
      </c>
      <c r="B332" s="36" t="s">
        <v>35</v>
      </c>
      <c r="C332" s="36" t="s">
        <v>36</v>
      </c>
      <c r="D332" s="36" t="s">
        <v>46</v>
      </c>
      <c r="E332" s="36" t="s">
        <v>47</v>
      </c>
      <c r="F332" s="36" t="s">
        <v>25</v>
      </c>
      <c r="G332" s="36" t="s">
        <v>25</v>
      </c>
      <c r="H332" s="36" t="s">
        <v>25</v>
      </c>
      <c r="I332" s="56">
        <v>44470</v>
      </c>
      <c r="J332" s="57">
        <f ca="1">EFEITO!$J$332*EFEITO!$Y$306</f>
        <v>1276.7000304932626</v>
      </c>
      <c r="K332" s="57">
        <f>EFEITO!$L$332*EFEITO!$Z$306</f>
        <v>0</v>
      </c>
      <c r="L332" s="57">
        <f>EFEITO!$N$332*EFEITO!$AA$306</f>
        <v>0</v>
      </c>
      <c r="M332" s="57">
        <f ca="1">$J$332-EFEITO!$K$332*EFEITO!$Y$332</f>
        <v>38.301000914797896</v>
      </c>
      <c r="N332" s="57">
        <f>$K$332-EFEITO!$M$332*EFEITO!$Z$332</f>
        <v>0</v>
      </c>
      <c r="O332" s="57">
        <f>$L$332-EFEITO!$O$332*EFEITO!$AA$332</f>
        <v>0</v>
      </c>
      <c r="P332" s="40"/>
      <c r="Q332" s="40"/>
      <c r="R332" s="40"/>
      <c r="S332" s="40"/>
      <c r="T332" s="40"/>
      <c r="U332" s="40"/>
      <c r="V332" s="40"/>
      <c r="W332" s="40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6" t="s">
        <v>21</v>
      </c>
      <c r="B333" s="36" t="s">
        <v>35</v>
      </c>
      <c r="C333" s="36" t="s">
        <v>36</v>
      </c>
      <c r="D333" s="36" t="s">
        <v>46</v>
      </c>
      <c r="E333" s="36" t="s">
        <v>47</v>
      </c>
      <c r="F333" s="36" t="s">
        <v>25</v>
      </c>
      <c r="G333" s="36" t="s">
        <v>25</v>
      </c>
      <c r="H333" s="36" t="s">
        <v>25</v>
      </c>
      <c r="I333" s="56">
        <v>44501</v>
      </c>
      <c r="J333" s="57">
        <f ca="1">EFEITO!$J$333*EFEITO!$Y$306</f>
        <v>1276.7000304932626</v>
      </c>
      <c r="K333" s="57">
        <f>EFEITO!$L$333*EFEITO!$Z$306</f>
        <v>0</v>
      </c>
      <c r="L333" s="57">
        <f>EFEITO!$N$333*EFEITO!$AA$306</f>
        <v>0</v>
      </c>
      <c r="M333" s="57">
        <f ca="1">$J$333-EFEITO!$K$333*EFEITO!$Y$333</f>
        <v>38.301000914797896</v>
      </c>
      <c r="N333" s="57">
        <f>$K$333-EFEITO!$M$333*EFEITO!$Z$333</f>
        <v>0</v>
      </c>
      <c r="O333" s="57">
        <f>$L$333-EFEITO!$O$333*EFEITO!$AA$333</f>
        <v>0</v>
      </c>
      <c r="P333" s="40"/>
      <c r="Q333" s="40"/>
      <c r="R333" s="40"/>
      <c r="S333" s="40"/>
      <c r="T333" s="40"/>
      <c r="U333" s="40"/>
      <c r="V333" s="40"/>
      <c r="W333" s="40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6" t="s">
        <v>21</v>
      </c>
      <c r="B334" s="36" t="s">
        <v>35</v>
      </c>
      <c r="C334" s="36" t="s">
        <v>36</v>
      </c>
      <c r="D334" s="36" t="s">
        <v>46</v>
      </c>
      <c r="E334" s="36" t="s">
        <v>47</v>
      </c>
      <c r="F334" s="36" t="s">
        <v>25</v>
      </c>
      <c r="G334" s="36" t="s">
        <v>25</v>
      </c>
      <c r="H334" s="36" t="s">
        <v>25</v>
      </c>
      <c r="I334" s="56">
        <v>44531</v>
      </c>
      <c r="J334" s="57">
        <f ca="1">EFEITO!$J$334*EFEITO!$Y$306</f>
        <v>1276.7000304932626</v>
      </c>
      <c r="K334" s="57">
        <f>EFEITO!$L$334*EFEITO!$Z$306</f>
        <v>0</v>
      </c>
      <c r="L334" s="57">
        <f>EFEITO!$N$334*EFEITO!$AA$306</f>
        <v>0</v>
      </c>
      <c r="M334" s="57">
        <f ca="1">$J$334-EFEITO!$K$334*EFEITO!$Y$334</f>
        <v>38.301000914797896</v>
      </c>
      <c r="N334" s="57">
        <f>$K$334-EFEITO!$M$334*EFEITO!$Z$334</f>
        <v>0</v>
      </c>
      <c r="O334" s="57">
        <f>$L$334-EFEITO!$O$334*EFEITO!$AA$334</f>
        <v>0</v>
      </c>
      <c r="P334" s="40"/>
      <c r="Q334" s="40"/>
      <c r="R334" s="40"/>
      <c r="S334" s="40"/>
      <c r="T334" s="40"/>
      <c r="U334" s="40"/>
      <c r="V334" s="40"/>
      <c r="W334" s="40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6" t="s">
        <v>21</v>
      </c>
      <c r="B335" s="36" t="s">
        <v>35</v>
      </c>
      <c r="C335" s="36" t="s">
        <v>36</v>
      </c>
      <c r="D335" s="36" t="s">
        <v>46</v>
      </c>
      <c r="E335" s="36" t="s">
        <v>47</v>
      </c>
      <c r="F335" s="36" t="s">
        <v>25</v>
      </c>
      <c r="G335" s="36" t="s">
        <v>25</v>
      </c>
      <c r="H335" s="36" t="s">
        <v>25</v>
      </c>
      <c r="I335" s="56">
        <v>44562</v>
      </c>
      <c r="J335" s="57">
        <f ca="1">EFEITO!$J$335*EFEITO!$Y$306</f>
        <v>1276.7000304932626</v>
      </c>
      <c r="K335" s="57">
        <f>EFEITO!$L$335*EFEITO!$Z$306</f>
        <v>0</v>
      </c>
      <c r="L335" s="57">
        <f>EFEITO!$N$335*EFEITO!$AA$306</f>
        <v>0</v>
      </c>
      <c r="M335" s="57">
        <f ca="1">$J$335-EFEITO!$K$335*EFEITO!$Y$335</f>
        <v>38.301000914797896</v>
      </c>
      <c r="N335" s="57">
        <f>$K$335-EFEITO!$M$335*EFEITO!$Z$335</f>
        <v>0</v>
      </c>
      <c r="O335" s="57">
        <f>$L$335-EFEITO!$O$335*EFEITO!$AA$335</f>
        <v>0</v>
      </c>
      <c r="P335" s="40"/>
      <c r="Q335" s="40"/>
      <c r="R335" s="40"/>
      <c r="S335" s="40"/>
      <c r="T335" s="40"/>
      <c r="U335" s="40"/>
      <c r="V335" s="40"/>
      <c r="W335" s="40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6" t="s">
        <v>21</v>
      </c>
      <c r="B336" s="36" t="s">
        <v>35</v>
      </c>
      <c r="C336" s="36" t="s">
        <v>36</v>
      </c>
      <c r="D336" s="36" t="s">
        <v>46</v>
      </c>
      <c r="E336" s="36" t="s">
        <v>47</v>
      </c>
      <c r="F336" s="36" t="s">
        <v>25</v>
      </c>
      <c r="G336" s="36" t="s">
        <v>25</v>
      </c>
      <c r="H336" s="36" t="s">
        <v>25</v>
      </c>
      <c r="I336" s="56">
        <v>44593</v>
      </c>
      <c r="J336" s="57">
        <f ca="1">EFEITO!$J$336*EFEITO!$Y$306</f>
        <v>1276.7000304932626</v>
      </c>
      <c r="K336" s="57">
        <f>EFEITO!$L$336*EFEITO!$Z$306</f>
        <v>0</v>
      </c>
      <c r="L336" s="57">
        <f>EFEITO!$N$336*EFEITO!$AA$306</f>
        <v>0</v>
      </c>
      <c r="M336" s="57">
        <f ca="1">$J$336-EFEITO!$K$336*EFEITO!$Y$336</f>
        <v>38.301000914797896</v>
      </c>
      <c r="N336" s="57">
        <f>$K$336-EFEITO!$M$336*EFEITO!$Z$336</f>
        <v>0</v>
      </c>
      <c r="O336" s="57">
        <f>$L$336-EFEITO!$O$336*EFEITO!$AA$336</f>
        <v>0</v>
      </c>
      <c r="P336" s="40"/>
      <c r="Q336" s="40"/>
      <c r="R336" s="40"/>
      <c r="S336" s="40"/>
      <c r="T336" s="40"/>
      <c r="U336" s="40"/>
      <c r="V336" s="40"/>
      <c r="W336" s="40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6" t="s">
        <v>21</v>
      </c>
      <c r="B337" s="36" t="s">
        <v>35</v>
      </c>
      <c r="C337" s="36" t="s">
        <v>36</v>
      </c>
      <c r="D337" s="36" t="s">
        <v>46</v>
      </c>
      <c r="E337" s="36" t="s">
        <v>47</v>
      </c>
      <c r="F337" s="36" t="s">
        <v>25</v>
      </c>
      <c r="G337" s="36" t="s">
        <v>25</v>
      </c>
      <c r="H337" s="36" t="s">
        <v>25</v>
      </c>
      <c r="I337" s="56">
        <v>44621</v>
      </c>
      <c r="J337" s="57">
        <f ca="1">EFEITO!$J$337*EFEITO!$Y$306</f>
        <v>1276.7000304932626</v>
      </c>
      <c r="K337" s="57">
        <f>EFEITO!$L$337*EFEITO!$Z$306</f>
        <v>0</v>
      </c>
      <c r="L337" s="57">
        <f>EFEITO!$N$337*EFEITO!$AA$306</f>
        <v>0</v>
      </c>
      <c r="M337" s="57">
        <f ca="1">$J$337-EFEITO!$K$337*EFEITO!$Y$337</f>
        <v>38.301000914797896</v>
      </c>
      <c r="N337" s="57">
        <f>$K$337-EFEITO!$M$337*EFEITO!$Z$337</f>
        <v>0</v>
      </c>
      <c r="O337" s="57">
        <f>$L$337-EFEITO!$O$337*EFEITO!$AA$337</f>
        <v>0</v>
      </c>
      <c r="P337" s="40"/>
      <c r="Q337" s="40"/>
      <c r="R337" s="40"/>
      <c r="S337" s="40"/>
      <c r="T337" s="40"/>
      <c r="U337" s="40"/>
      <c r="V337" s="40"/>
      <c r="W337" s="40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6" t="s">
        <v>21</v>
      </c>
      <c r="B338" s="36" t="s">
        <v>35</v>
      </c>
      <c r="C338" s="36" t="s">
        <v>36</v>
      </c>
      <c r="D338" s="36" t="s">
        <v>46</v>
      </c>
      <c r="E338" s="36" t="s">
        <v>47</v>
      </c>
      <c r="F338" s="36" t="s">
        <v>25</v>
      </c>
      <c r="G338" s="36" t="s">
        <v>25</v>
      </c>
      <c r="H338" s="36" t="s">
        <v>25</v>
      </c>
      <c r="I338" s="56">
        <v>44652</v>
      </c>
      <c r="J338" s="57">
        <f ca="1">EFEITO!$J$338*EFEITO!$Y$306</f>
        <v>1276.7000304932626</v>
      </c>
      <c r="K338" s="57">
        <f>EFEITO!$L$338*EFEITO!$Z$306</f>
        <v>0</v>
      </c>
      <c r="L338" s="57">
        <f>EFEITO!$N$338*EFEITO!$AA$306</f>
        <v>0</v>
      </c>
      <c r="M338" s="57">
        <f ca="1">$J$338-EFEITO!$K$338*EFEITO!$Y$338</f>
        <v>38.301000914797896</v>
      </c>
      <c r="N338" s="57">
        <f>$K$338-EFEITO!$M$338*EFEITO!$Z$338</f>
        <v>0</v>
      </c>
      <c r="O338" s="57">
        <f>$L$338-EFEITO!$O$338*EFEITO!$AA$338</f>
        <v>0</v>
      </c>
      <c r="P338" s="40"/>
      <c r="Q338" s="40"/>
      <c r="R338" s="40"/>
      <c r="S338" s="40"/>
      <c r="T338" s="40"/>
      <c r="U338" s="40"/>
      <c r="V338" s="40"/>
      <c r="W338" s="40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6" t="s">
        <v>21</v>
      </c>
      <c r="B339" s="36" t="s">
        <v>35</v>
      </c>
      <c r="C339" s="36" t="s">
        <v>36</v>
      </c>
      <c r="D339" s="36" t="s">
        <v>46</v>
      </c>
      <c r="E339" s="36" t="s">
        <v>47</v>
      </c>
      <c r="F339" s="36" t="s">
        <v>25</v>
      </c>
      <c r="G339" s="36" t="s">
        <v>25</v>
      </c>
      <c r="H339" s="36" t="s">
        <v>25</v>
      </c>
      <c r="I339" s="56">
        <v>44682</v>
      </c>
      <c r="J339" s="57">
        <f ca="1">EFEITO!$J$339*EFEITO!$Y$306</f>
        <v>1276.7000304932626</v>
      </c>
      <c r="K339" s="57">
        <f>EFEITO!$L$339*EFEITO!$Z$306</f>
        <v>0</v>
      </c>
      <c r="L339" s="57">
        <f>EFEITO!$N$339*EFEITO!$AA$306</f>
        <v>0</v>
      </c>
      <c r="M339" s="57">
        <f ca="1">$J$339-EFEITO!$K$339*EFEITO!$Y$339</f>
        <v>38.301000914797896</v>
      </c>
      <c r="N339" s="57">
        <f>$K$339-EFEITO!$M$339*EFEITO!$Z$339</f>
        <v>0</v>
      </c>
      <c r="O339" s="57">
        <f>$L$339-EFEITO!$O$339*EFEITO!$AA$339</f>
        <v>0</v>
      </c>
      <c r="P339" s="40"/>
      <c r="Q339" s="40"/>
      <c r="R339" s="40"/>
      <c r="S339" s="40"/>
      <c r="T339" s="40"/>
      <c r="U339" s="40"/>
      <c r="V339" s="40"/>
      <c r="W339" s="40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6" t="s">
        <v>21</v>
      </c>
      <c r="B340" s="36" t="s">
        <v>35</v>
      </c>
      <c r="C340" s="36" t="s">
        <v>36</v>
      </c>
      <c r="D340" s="36" t="s">
        <v>46</v>
      </c>
      <c r="E340" s="36" t="s">
        <v>47</v>
      </c>
      <c r="F340" s="36" t="s">
        <v>25</v>
      </c>
      <c r="G340" s="36" t="s">
        <v>25</v>
      </c>
      <c r="H340" s="36" t="s">
        <v>25</v>
      </c>
      <c r="I340" s="56">
        <v>44713</v>
      </c>
      <c r="J340" s="57">
        <f ca="1">EFEITO!$J$340*EFEITO!$Y$306</f>
        <v>1276.7000304932626</v>
      </c>
      <c r="K340" s="57">
        <f>EFEITO!$L$340*EFEITO!$Z$306</f>
        <v>0</v>
      </c>
      <c r="L340" s="57">
        <f>EFEITO!$N$340*EFEITO!$AA$306</f>
        <v>0</v>
      </c>
      <c r="M340" s="57">
        <f ca="1">$J$340-EFEITO!$K$340*EFEITO!$Y$340</f>
        <v>38.301000914797896</v>
      </c>
      <c r="N340" s="57">
        <f>$K$340-EFEITO!$M$340*EFEITO!$Z$340</f>
        <v>0</v>
      </c>
      <c r="O340" s="57">
        <f>$L$340-EFEITO!$O$340*EFEITO!$AA$340</f>
        <v>0</v>
      </c>
      <c r="P340" s="40"/>
      <c r="Q340" s="40"/>
      <c r="R340" s="40"/>
      <c r="S340" s="40"/>
      <c r="T340" s="40"/>
      <c r="U340" s="40"/>
      <c r="V340" s="40"/>
      <c r="W340" s="40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6" t="s">
        <v>21</v>
      </c>
      <c r="B341" s="36" t="s">
        <v>35</v>
      </c>
      <c r="C341" s="36" t="s">
        <v>36</v>
      </c>
      <c r="D341" s="36" t="s">
        <v>46</v>
      </c>
      <c r="E341" s="36" t="s">
        <v>47</v>
      </c>
      <c r="F341" s="36" t="s">
        <v>25</v>
      </c>
      <c r="G341" s="36" t="s">
        <v>25</v>
      </c>
      <c r="H341" s="36" t="s">
        <v>25</v>
      </c>
      <c r="I341" s="56">
        <v>44743</v>
      </c>
      <c r="J341" s="57">
        <f ca="1">EFEITO!$J$341*EFEITO!$Y$306</f>
        <v>1276.7000304932626</v>
      </c>
      <c r="K341" s="57">
        <f>EFEITO!$L$341*EFEITO!$Z$306</f>
        <v>0</v>
      </c>
      <c r="L341" s="57">
        <f>EFEITO!$N$341*EFEITO!$AA$306</f>
        <v>0</v>
      </c>
      <c r="M341" s="57">
        <f ca="1">$J$341-EFEITO!$K$341*EFEITO!$Y$341</f>
        <v>38.301000914797896</v>
      </c>
      <c r="N341" s="57">
        <f>$K$341-EFEITO!$M$341*EFEITO!$Z$341</f>
        <v>0</v>
      </c>
      <c r="O341" s="57">
        <f>$L$341-EFEITO!$O$341*EFEITO!$AA$341</f>
        <v>0</v>
      </c>
      <c r="P341" s="40"/>
      <c r="Q341" s="40"/>
      <c r="R341" s="40"/>
      <c r="S341" s="40"/>
      <c r="T341" s="40"/>
      <c r="U341" s="40"/>
      <c r="V341" s="40"/>
      <c r="W341" s="40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6" t="s">
        <v>21</v>
      </c>
      <c r="B342" s="36" t="s">
        <v>35</v>
      </c>
      <c r="C342" s="36" t="s">
        <v>36</v>
      </c>
      <c r="D342" s="36" t="s">
        <v>46</v>
      </c>
      <c r="E342" s="36" t="s">
        <v>47</v>
      </c>
      <c r="F342" s="36" t="s">
        <v>25</v>
      </c>
      <c r="G342" s="36" t="s">
        <v>25</v>
      </c>
      <c r="H342" s="36" t="s">
        <v>25</v>
      </c>
      <c r="I342" s="56">
        <v>44774</v>
      </c>
      <c r="J342" s="57">
        <f ca="1">EFEITO!$J$342*EFEITO!$Y$306</f>
        <v>1276.7000304932626</v>
      </c>
      <c r="K342" s="57">
        <f>EFEITO!$L$342*EFEITO!$Z$306</f>
        <v>0</v>
      </c>
      <c r="L342" s="57">
        <f>EFEITO!$N$342*EFEITO!$AA$306</f>
        <v>0</v>
      </c>
      <c r="M342" s="57">
        <f ca="1">$J$342-EFEITO!$K$342*EFEITO!$Y$342</f>
        <v>38.301000914797896</v>
      </c>
      <c r="N342" s="57">
        <f>$K$342-EFEITO!$M$342*EFEITO!$Z$342</f>
        <v>0</v>
      </c>
      <c r="O342" s="57">
        <f>$L$342-EFEITO!$O$342*EFEITO!$AA$342</f>
        <v>0</v>
      </c>
      <c r="P342" s="40"/>
      <c r="Q342" s="40"/>
      <c r="R342" s="40"/>
      <c r="S342" s="40"/>
      <c r="T342" s="40"/>
      <c r="U342" s="40"/>
      <c r="V342" s="40"/>
      <c r="W342" s="40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6" t="s">
        <v>21</v>
      </c>
      <c r="B343" s="36" t="s">
        <v>35</v>
      </c>
      <c r="C343" s="36" t="s">
        <v>36</v>
      </c>
      <c r="D343" s="36" t="s">
        <v>46</v>
      </c>
      <c r="E343" s="36" t="s">
        <v>47</v>
      </c>
      <c r="F343" s="36" t="s">
        <v>25</v>
      </c>
      <c r="G343" s="36" t="s">
        <v>25</v>
      </c>
      <c r="H343" s="36" t="s">
        <v>37</v>
      </c>
      <c r="I343" s="56">
        <v>44440</v>
      </c>
      <c r="J343" s="57">
        <f>EFEITO!$J$343*EFEITO!$Y$318</f>
        <v>0</v>
      </c>
      <c r="K343" s="57">
        <f ca="1">EFEITO!$L$343*EFEITO!$Z$318</f>
        <v>6480.6706363363674</v>
      </c>
      <c r="L343" s="57">
        <f>EFEITO!$N$343*EFEITO!$AA$318</f>
        <v>777.32884133566506</v>
      </c>
      <c r="M343" s="57">
        <f>$J$343-EFEITO!$K$343*EFEITO!$Y$343</f>
        <v>0</v>
      </c>
      <c r="N343" s="57">
        <f ca="1">$K$343-EFEITO!$M$343*EFEITO!$Z$343</f>
        <v>194.42011909009125</v>
      </c>
      <c r="O343" s="57">
        <f>$L$343-EFEITO!$O$343*EFEITO!$AA$343</f>
        <v>23.31986524006993</v>
      </c>
      <c r="P343" s="40"/>
      <c r="Q343" s="40"/>
      <c r="R343" s="40"/>
      <c r="S343" s="40"/>
      <c r="T343" s="40"/>
      <c r="U343" s="40"/>
      <c r="V343" s="40"/>
      <c r="W343" s="40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6" t="s">
        <v>21</v>
      </c>
      <c r="B344" s="36" t="s">
        <v>35</v>
      </c>
      <c r="C344" s="36" t="s">
        <v>36</v>
      </c>
      <c r="D344" s="36" t="s">
        <v>46</v>
      </c>
      <c r="E344" s="36" t="s">
        <v>47</v>
      </c>
      <c r="F344" s="36" t="s">
        <v>25</v>
      </c>
      <c r="G344" s="36" t="s">
        <v>25</v>
      </c>
      <c r="H344" s="36" t="s">
        <v>37</v>
      </c>
      <c r="I344" s="56">
        <v>44470</v>
      </c>
      <c r="J344" s="57">
        <f>EFEITO!$J$344*EFEITO!$Y$318</f>
        <v>0</v>
      </c>
      <c r="K344" s="57">
        <f ca="1">EFEITO!$L$344*EFEITO!$Z$318</f>
        <v>3933.8450749085218</v>
      </c>
      <c r="L344" s="57">
        <f>EFEITO!$N$344*EFEITO!$AA$318</f>
        <v>471.84796229689766</v>
      </c>
      <c r="M344" s="57">
        <f>$J$344-EFEITO!$K$344*EFEITO!$Y$344</f>
        <v>0</v>
      </c>
      <c r="N344" s="57">
        <f ca="1">$K$344-EFEITO!$M$344*EFEITO!$Z$344</f>
        <v>118.01535224725603</v>
      </c>
      <c r="O344" s="57">
        <f>$L$344-EFEITO!$O$344*EFEITO!$AA$344</f>
        <v>14.15543886890697</v>
      </c>
      <c r="P344" s="40"/>
      <c r="Q344" s="40"/>
      <c r="R344" s="40"/>
      <c r="S344" s="40"/>
      <c r="T344" s="40"/>
      <c r="U344" s="40"/>
      <c r="V344" s="40"/>
      <c r="W344" s="40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6" t="s">
        <v>21</v>
      </c>
      <c r="B345" s="36" t="s">
        <v>35</v>
      </c>
      <c r="C345" s="36" t="s">
        <v>36</v>
      </c>
      <c r="D345" s="36" t="s">
        <v>46</v>
      </c>
      <c r="E345" s="36" t="s">
        <v>47</v>
      </c>
      <c r="F345" s="36" t="s">
        <v>25</v>
      </c>
      <c r="G345" s="36" t="s">
        <v>25</v>
      </c>
      <c r="H345" s="36" t="s">
        <v>37</v>
      </c>
      <c r="I345" s="56">
        <v>44501</v>
      </c>
      <c r="J345" s="57">
        <f>EFEITO!$J$345*EFEITO!$Y$318</f>
        <v>0</v>
      </c>
      <c r="K345" s="57">
        <f ca="1">EFEITO!$L$345*EFEITO!$Z$318</f>
        <v>4712.1359755046478</v>
      </c>
      <c r="L345" s="57">
        <f>EFEITO!$N$345*EFEITO!$AA$318</f>
        <v>565.20064104443043</v>
      </c>
      <c r="M345" s="57">
        <f>$J$345-EFEITO!$K$345*EFEITO!$Y$345</f>
        <v>0</v>
      </c>
      <c r="N345" s="57">
        <f ca="1">$K$345-EFEITO!$M$345*EFEITO!$Z$345</f>
        <v>141.36407926513948</v>
      </c>
      <c r="O345" s="57">
        <f>$L$345-EFEITO!$O$345*EFEITO!$AA$345</f>
        <v>16.956019231332903</v>
      </c>
      <c r="P345" s="40"/>
      <c r="Q345" s="40"/>
      <c r="R345" s="40"/>
      <c r="S345" s="40"/>
      <c r="T345" s="40"/>
      <c r="U345" s="40"/>
      <c r="V345" s="40"/>
      <c r="W345" s="40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6" t="s">
        <v>21</v>
      </c>
      <c r="B346" s="36" t="s">
        <v>35</v>
      </c>
      <c r="C346" s="36" t="s">
        <v>36</v>
      </c>
      <c r="D346" s="36" t="s">
        <v>46</v>
      </c>
      <c r="E346" s="36" t="s">
        <v>47</v>
      </c>
      <c r="F346" s="36" t="s">
        <v>25</v>
      </c>
      <c r="G346" s="36" t="s">
        <v>25</v>
      </c>
      <c r="H346" s="36" t="s">
        <v>37</v>
      </c>
      <c r="I346" s="56">
        <v>44531</v>
      </c>
      <c r="J346" s="57">
        <f>EFEITO!$J$346*EFEITO!$Y$318</f>
        <v>0</v>
      </c>
      <c r="K346" s="57">
        <f ca="1">EFEITO!$L$346*EFEITO!$Z$318</f>
        <v>4654.4847976827132</v>
      </c>
      <c r="L346" s="57">
        <f>EFEITO!$N$346*EFEITO!$AA$318</f>
        <v>558.28562780387256</v>
      </c>
      <c r="M346" s="57">
        <f>$J$346-EFEITO!$K$346*EFEITO!$Y$346</f>
        <v>0</v>
      </c>
      <c r="N346" s="57">
        <f ca="1">$K$346-EFEITO!$M$346*EFEITO!$Z$346</f>
        <v>139.63454393048232</v>
      </c>
      <c r="O346" s="57">
        <f>$L$346-EFEITO!$O$346*EFEITO!$AA$346</f>
        <v>16.748568834116213</v>
      </c>
      <c r="P346" s="40"/>
      <c r="Q346" s="40"/>
      <c r="R346" s="40"/>
      <c r="S346" s="40"/>
      <c r="T346" s="40"/>
      <c r="U346" s="40"/>
      <c r="V346" s="40"/>
      <c r="W346" s="40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6" t="s">
        <v>21</v>
      </c>
      <c r="B347" s="36" t="s">
        <v>35</v>
      </c>
      <c r="C347" s="36" t="s">
        <v>36</v>
      </c>
      <c r="D347" s="36" t="s">
        <v>46</v>
      </c>
      <c r="E347" s="36" t="s">
        <v>47</v>
      </c>
      <c r="F347" s="36" t="s">
        <v>25</v>
      </c>
      <c r="G347" s="36" t="s">
        <v>25</v>
      </c>
      <c r="H347" s="36" t="s">
        <v>37</v>
      </c>
      <c r="I347" s="56">
        <v>44562</v>
      </c>
      <c r="J347" s="57">
        <f>EFEITO!$J$347*EFEITO!$Y$318</f>
        <v>0</v>
      </c>
      <c r="K347" s="57">
        <f ca="1">EFEITO!$L$347*EFEITO!$Z$318</f>
        <v>4086.4511338489392</v>
      </c>
      <c r="L347" s="57">
        <f>EFEITO!$N$347*EFEITO!$AA$318</f>
        <v>490.15240911013944</v>
      </c>
      <c r="M347" s="57">
        <f>$J$347-EFEITO!$K$347*EFEITO!$Y$347</f>
        <v>0</v>
      </c>
      <c r="N347" s="57">
        <f ca="1">$K$347-EFEITO!$M$347*EFEITO!$Z$347</f>
        <v>122.59353401546832</v>
      </c>
      <c r="O347" s="57">
        <f>$L$347-EFEITO!$O$347*EFEITO!$AA$347</f>
        <v>14.704572273304223</v>
      </c>
      <c r="P347" s="40"/>
      <c r="Q347" s="40"/>
      <c r="R347" s="40"/>
      <c r="S347" s="40"/>
      <c r="T347" s="40"/>
      <c r="U347" s="40"/>
      <c r="V347" s="40"/>
      <c r="W347" s="40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6" t="s">
        <v>21</v>
      </c>
      <c r="B348" s="36" t="s">
        <v>35</v>
      </c>
      <c r="C348" s="36" t="s">
        <v>36</v>
      </c>
      <c r="D348" s="36" t="s">
        <v>46</v>
      </c>
      <c r="E348" s="36" t="s">
        <v>47</v>
      </c>
      <c r="F348" s="36" t="s">
        <v>25</v>
      </c>
      <c r="G348" s="36" t="s">
        <v>25</v>
      </c>
      <c r="H348" s="36" t="s">
        <v>37</v>
      </c>
      <c r="I348" s="56">
        <v>44593</v>
      </c>
      <c r="J348" s="57">
        <f>EFEITO!$J$348*EFEITO!$Y$318</f>
        <v>0</v>
      </c>
      <c r="K348" s="57">
        <f ca="1">EFEITO!$L$348*EFEITO!$Z$318</f>
        <v>4278.0565189630179</v>
      </c>
      <c r="L348" s="57">
        <f>EFEITO!$N$348*EFEITO!$AA$318</f>
        <v>513.13465899787627</v>
      </c>
      <c r="M348" s="57">
        <f>$J$348-EFEITO!$K$348*EFEITO!$Y$348</f>
        <v>0</v>
      </c>
      <c r="N348" s="57">
        <f ca="1">$K$348-EFEITO!$M$348*EFEITO!$Z$348</f>
        <v>128.34169556889083</v>
      </c>
      <c r="O348" s="57">
        <f>$L$348-EFEITO!$O$348*EFEITO!$AA$348</f>
        <v>15.394039769936285</v>
      </c>
      <c r="P348" s="40"/>
      <c r="Q348" s="40"/>
      <c r="R348" s="40"/>
      <c r="S348" s="40"/>
      <c r="T348" s="40"/>
      <c r="U348" s="40"/>
      <c r="V348" s="40"/>
      <c r="W348" s="40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6" t="s">
        <v>21</v>
      </c>
      <c r="B349" s="36" t="s">
        <v>35</v>
      </c>
      <c r="C349" s="36" t="s">
        <v>36</v>
      </c>
      <c r="D349" s="36" t="s">
        <v>46</v>
      </c>
      <c r="E349" s="36" t="s">
        <v>47</v>
      </c>
      <c r="F349" s="36" t="s">
        <v>25</v>
      </c>
      <c r="G349" s="36" t="s">
        <v>25</v>
      </c>
      <c r="H349" s="36" t="s">
        <v>37</v>
      </c>
      <c r="I349" s="56">
        <v>44621</v>
      </c>
      <c r="J349" s="57">
        <f>EFEITO!$J$349*EFEITO!$Y$318</f>
        <v>0</v>
      </c>
      <c r="K349" s="57">
        <f ca="1">EFEITO!$L$349*EFEITO!$Z$318</f>
        <v>4778.2652677121623</v>
      </c>
      <c r="L349" s="57">
        <f>EFEITO!$N$349*EFEITO!$AA$318</f>
        <v>573.13256799683529</v>
      </c>
      <c r="M349" s="57">
        <f>$J$349-EFEITO!$K$349*EFEITO!$Y$349</f>
        <v>0</v>
      </c>
      <c r="N349" s="57">
        <f ca="1">$K$349-EFEITO!$M$349*EFEITO!$Z$349</f>
        <v>143.34795803136512</v>
      </c>
      <c r="O349" s="57">
        <f>$L$349-EFEITO!$O$349*EFEITO!$AA$349</f>
        <v>17.193977039905121</v>
      </c>
      <c r="P349" s="40"/>
      <c r="Q349" s="40"/>
      <c r="R349" s="40"/>
      <c r="S349" s="40"/>
      <c r="T349" s="40"/>
      <c r="U349" s="40"/>
      <c r="V349" s="40"/>
      <c r="W349" s="40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6" t="s">
        <v>21</v>
      </c>
      <c r="B350" s="36" t="s">
        <v>35</v>
      </c>
      <c r="C350" s="36" t="s">
        <v>36</v>
      </c>
      <c r="D350" s="36" t="s">
        <v>46</v>
      </c>
      <c r="E350" s="36" t="s">
        <v>47</v>
      </c>
      <c r="F350" s="36" t="s">
        <v>25</v>
      </c>
      <c r="G350" s="36" t="s">
        <v>25</v>
      </c>
      <c r="H350" s="36" t="s">
        <v>37</v>
      </c>
      <c r="I350" s="56">
        <v>44652</v>
      </c>
      <c r="J350" s="57">
        <f>EFEITO!$J$350*EFEITO!$Y$318</f>
        <v>0</v>
      </c>
      <c r="K350" s="57">
        <f ca="1">EFEITO!$L$350*EFEITO!$Z$318</f>
        <v>4427.2713321492038</v>
      </c>
      <c r="L350" s="57">
        <f>EFEITO!$N$350*EFEITO!$AA$318</f>
        <v>531.03234032637931</v>
      </c>
      <c r="M350" s="57">
        <f>$J$350-EFEITO!$K$350*EFEITO!$Y$350</f>
        <v>0</v>
      </c>
      <c r="N350" s="57">
        <f ca="1">$K$350-EFEITO!$M$350*EFEITO!$Z$350</f>
        <v>132.81813996447636</v>
      </c>
      <c r="O350" s="57">
        <f>$L$350-EFEITO!$O$350*EFEITO!$AA$350</f>
        <v>15.93097020979144</v>
      </c>
      <c r="P350" s="40"/>
      <c r="Q350" s="40"/>
      <c r="R350" s="40"/>
      <c r="S350" s="40"/>
      <c r="T350" s="40"/>
      <c r="U350" s="40"/>
      <c r="V350" s="40"/>
      <c r="W350" s="40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6" t="s">
        <v>21</v>
      </c>
      <c r="B351" s="36" t="s">
        <v>35</v>
      </c>
      <c r="C351" s="36" t="s">
        <v>36</v>
      </c>
      <c r="D351" s="36" t="s">
        <v>46</v>
      </c>
      <c r="E351" s="36" t="s">
        <v>47</v>
      </c>
      <c r="F351" s="36" t="s">
        <v>25</v>
      </c>
      <c r="G351" s="36" t="s">
        <v>25</v>
      </c>
      <c r="H351" s="36" t="s">
        <v>37</v>
      </c>
      <c r="I351" s="56">
        <v>44682</v>
      </c>
      <c r="J351" s="57">
        <f>EFEITO!$J$351*EFEITO!$Y$318</f>
        <v>0</v>
      </c>
      <c r="K351" s="57">
        <f ca="1">EFEITO!$L$351*EFEITO!$Z$318</f>
        <v>4710.4403526275319</v>
      </c>
      <c r="L351" s="57">
        <f>EFEITO!$N$351*EFEITO!$AA$318</f>
        <v>564.99725830206114</v>
      </c>
      <c r="M351" s="57">
        <f>$J$351-EFEITO!$K$351*EFEITO!$Y$351</f>
        <v>0</v>
      </c>
      <c r="N351" s="57">
        <f ca="1">$K$351-EFEITO!$M$351*EFEITO!$Z$351</f>
        <v>141.31321057882633</v>
      </c>
      <c r="O351" s="57">
        <f>$L$351-EFEITO!$O$351*EFEITO!$AA$351</f>
        <v>16.94991774906191</v>
      </c>
      <c r="P351" s="40"/>
      <c r="Q351" s="40"/>
      <c r="R351" s="40"/>
      <c r="S351" s="40"/>
      <c r="T351" s="40"/>
      <c r="U351" s="40"/>
      <c r="V351" s="40"/>
      <c r="W351" s="40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6" t="s">
        <v>21</v>
      </c>
      <c r="B352" s="36" t="s">
        <v>35</v>
      </c>
      <c r="C352" s="36" t="s">
        <v>36</v>
      </c>
      <c r="D352" s="36" t="s">
        <v>46</v>
      </c>
      <c r="E352" s="36" t="s">
        <v>47</v>
      </c>
      <c r="F352" s="36" t="s">
        <v>25</v>
      </c>
      <c r="G352" s="36" t="s">
        <v>25</v>
      </c>
      <c r="H352" s="36" t="s">
        <v>37</v>
      </c>
      <c r="I352" s="56">
        <v>44713</v>
      </c>
      <c r="J352" s="57">
        <f>EFEITO!$J$352*EFEITO!$Y$318</f>
        <v>0</v>
      </c>
      <c r="K352" s="57">
        <f ca="1">EFEITO!$L$352*EFEITO!$Z$318</f>
        <v>4695.1797467334909</v>
      </c>
      <c r="L352" s="57">
        <f>EFEITO!$N$352*EFEITO!$AA$318</f>
        <v>563.166813620737</v>
      </c>
      <c r="M352" s="57">
        <f>$J$352-EFEITO!$K$352*EFEITO!$Y$352</f>
        <v>0</v>
      </c>
      <c r="N352" s="57">
        <f ca="1">$K$352-EFEITO!$M$352*EFEITO!$Z$352</f>
        <v>140.85539240200524</v>
      </c>
      <c r="O352" s="57">
        <f>$L$352-EFEITO!$O$352*EFEITO!$AA$352</f>
        <v>16.895004408622185</v>
      </c>
      <c r="P352" s="40"/>
      <c r="Q352" s="40"/>
      <c r="R352" s="40"/>
      <c r="S352" s="40"/>
      <c r="T352" s="40"/>
      <c r="U352" s="40"/>
      <c r="V352" s="40"/>
      <c r="W352" s="40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6" t="s">
        <v>21</v>
      </c>
      <c r="B353" s="36" t="s">
        <v>35</v>
      </c>
      <c r="C353" s="36" t="s">
        <v>36</v>
      </c>
      <c r="D353" s="36" t="s">
        <v>46</v>
      </c>
      <c r="E353" s="36" t="s">
        <v>47</v>
      </c>
      <c r="F353" s="36" t="s">
        <v>25</v>
      </c>
      <c r="G353" s="36" t="s">
        <v>25</v>
      </c>
      <c r="H353" s="36" t="s">
        <v>37</v>
      </c>
      <c r="I353" s="56">
        <v>44743</v>
      </c>
      <c r="J353" s="57">
        <f>EFEITO!$J$353*EFEITO!$Y$318</f>
        <v>0</v>
      </c>
      <c r="K353" s="57">
        <f ca="1">EFEITO!$L$353*EFEITO!$Z$318</f>
        <v>4300.0996163655227</v>
      </c>
      <c r="L353" s="57">
        <f>EFEITO!$N$353*EFEITO!$AA$318</f>
        <v>515.77863464867778</v>
      </c>
      <c r="M353" s="57">
        <f>$J$353-EFEITO!$K$353*EFEITO!$Y$353</f>
        <v>0</v>
      </c>
      <c r="N353" s="57">
        <f ca="1">$K$353-EFEITO!$M$353*EFEITO!$Z$353</f>
        <v>129.00298849096635</v>
      </c>
      <c r="O353" s="57">
        <f>$L$353-EFEITO!$O$353*EFEITO!$AA$353</f>
        <v>15.47335903946032</v>
      </c>
      <c r="P353" s="40"/>
      <c r="Q353" s="40"/>
      <c r="R353" s="40"/>
      <c r="S353" s="40"/>
      <c r="T353" s="40"/>
      <c r="U353" s="40"/>
      <c r="V353" s="40"/>
      <c r="W353" s="40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6" t="s">
        <v>21</v>
      </c>
      <c r="B354" s="36" t="s">
        <v>35</v>
      </c>
      <c r="C354" s="36" t="s">
        <v>36</v>
      </c>
      <c r="D354" s="36" t="s">
        <v>46</v>
      </c>
      <c r="E354" s="36" t="s">
        <v>47</v>
      </c>
      <c r="F354" s="36" t="s">
        <v>25</v>
      </c>
      <c r="G354" s="36" t="s">
        <v>25</v>
      </c>
      <c r="H354" s="36" t="s">
        <v>37</v>
      </c>
      <c r="I354" s="56">
        <v>44774</v>
      </c>
      <c r="J354" s="57">
        <f>EFEITO!$J$354*EFEITO!$Y$318</f>
        <v>0</v>
      </c>
      <c r="K354" s="57">
        <f ca="1">EFEITO!$L$354*EFEITO!$Z$318</f>
        <v>4601.9204884921246</v>
      </c>
      <c r="L354" s="57">
        <f>EFEITO!$N$354*EFEITO!$AA$318</f>
        <v>551.98076279042255</v>
      </c>
      <c r="M354" s="57">
        <f>$J$354-EFEITO!$K$354*EFEITO!$Y$354</f>
        <v>0</v>
      </c>
      <c r="N354" s="57">
        <f ca="1">$K$354-EFEITO!$M$354*EFEITO!$Z$354</f>
        <v>138.05761465476371</v>
      </c>
      <c r="O354" s="57">
        <f>$L$354-EFEITO!$O$354*EFEITO!$AA$354</f>
        <v>16.559422883712728</v>
      </c>
      <c r="P354" s="40"/>
      <c r="Q354" s="40"/>
      <c r="R354" s="40"/>
      <c r="S354" s="40"/>
      <c r="T354" s="40"/>
      <c r="U354" s="40"/>
      <c r="V354" s="40"/>
      <c r="W354" s="40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6" t="s">
        <v>21</v>
      </c>
      <c r="B355" s="36" t="s">
        <v>22</v>
      </c>
      <c r="C355" s="36" t="s">
        <v>23</v>
      </c>
      <c r="D355" s="36" t="s">
        <v>24</v>
      </c>
      <c r="E355" s="36" t="s">
        <v>24</v>
      </c>
      <c r="F355" s="36" t="s">
        <v>25</v>
      </c>
      <c r="G355" s="36" t="s">
        <v>25</v>
      </c>
      <c r="H355" s="36" t="s">
        <v>25</v>
      </c>
      <c r="I355" s="56">
        <v>44440</v>
      </c>
      <c r="J355" s="57">
        <f>EFEITO!$J$355*EFEITO!$Y$355</f>
        <v>0</v>
      </c>
      <c r="K355" s="57">
        <f ca="1">EFEITO!$L$355*EFEITO!$Z$355</f>
        <v>986751.62651368743</v>
      </c>
      <c r="L355" s="57">
        <f>EFEITO!$N$355*EFEITO!$AA$355</f>
        <v>517588.33429028036</v>
      </c>
      <c r="M355" s="57">
        <f>$J$355-EFEITO!$K$355*EFEITO!$Y$355</f>
        <v>0</v>
      </c>
      <c r="N355" s="57">
        <f ca="1">$K$355-EFEITO!$M$355*EFEITO!$Z$355</f>
        <v>0</v>
      </c>
      <c r="O355" s="57">
        <f>$L$355-EFEITO!$O$355*EFEITO!$AA$355</f>
        <v>0</v>
      </c>
      <c r="P355" s="40"/>
      <c r="Q355" s="40"/>
      <c r="R355" s="40"/>
      <c r="S355" s="40"/>
      <c r="T355" s="40"/>
      <c r="U355" s="40"/>
      <c r="V355" s="40"/>
      <c r="W355" s="40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6" t="s">
        <v>27</v>
      </c>
      <c r="B356" s="36" t="s">
        <v>22</v>
      </c>
      <c r="C356" s="36" t="s">
        <v>23</v>
      </c>
      <c r="D356" s="36" t="s">
        <v>24</v>
      </c>
      <c r="E356" s="36" t="s">
        <v>24</v>
      </c>
      <c r="F356" s="36" t="s">
        <v>25</v>
      </c>
      <c r="G356" s="36" t="s">
        <v>25</v>
      </c>
      <c r="H356" s="36" t="s">
        <v>25</v>
      </c>
      <c r="I356" s="56">
        <v>44440</v>
      </c>
      <c r="J356" s="57">
        <f>EFEITO!$J$356*EFEITO!$Y$356</f>
        <v>0</v>
      </c>
      <c r="K356" s="57">
        <f ca="1">EFEITO!$L$356*EFEITO!$Z$356</f>
        <v>-695.60053800409889</v>
      </c>
      <c r="L356" s="57">
        <f>EFEITO!$N$356*EFEITO!$AA$356</f>
        <v>-364.86863981061833</v>
      </c>
      <c r="M356" s="57">
        <f>$J$356-EFEITO!$K$356*EFEITO!$Y$356</f>
        <v>0</v>
      </c>
      <c r="N356" s="57">
        <f ca="1">$K$356-EFEITO!$M$356*EFEITO!$Z$356</f>
        <v>0</v>
      </c>
      <c r="O356" s="57">
        <f>$L$356-EFEITO!$O$356*EFEITO!$AA$356</f>
        <v>0</v>
      </c>
      <c r="P356" s="40"/>
      <c r="Q356" s="40"/>
      <c r="R356" s="40"/>
      <c r="S356" s="40"/>
      <c r="T356" s="40"/>
      <c r="U356" s="40"/>
      <c r="V356" s="40"/>
      <c r="W356" s="40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6" t="s">
        <v>28</v>
      </c>
      <c r="B357" s="36" t="s">
        <v>22</v>
      </c>
      <c r="C357" s="36" t="s">
        <v>23</v>
      </c>
      <c r="D357" s="36" t="s">
        <v>24</v>
      </c>
      <c r="E357" s="36" t="s">
        <v>24</v>
      </c>
      <c r="F357" s="36" t="s">
        <v>25</v>
      </c>
      <c r="G357" s="36" t="s">
        <v>25</v>
      </c>
      <c r="H357" s="36" t="s">
        <v>25</v>
      </c>
      <c r="I357" s="56">
        <v>44440</v>
      </c>
      <c r="J357" s="57">
        <f>EFEITO!$J$357*EFEITO!$Y$357</f>
        <v>0</v>
      </c>
      <c r="K357" s="57">
        <f ca="1">EFEITO!$L$357*EFEITO!$Z$357</f>
        <v>17003.827198233976</v>
      </c>
      <c r="L357" s="57">
        <f>EFEITO!$N$357*EFEITO!$AA$357</f>
        <v>8919.1467838655826</v>
      </c>
      <c r="M357" s="57">
        <f>$J$357-EFEITO!$K$357*EFEITO!$Y$357</f>
        <v>0</v>
      </c>
      <c r="N357" s="57">
        <f ca="1">$K$357-EFEITO!$M$357*EFEITO!$Z$357</f>
        <v>0</v>
      </c>
      <c r="O357" s="57">
        <f>$L$357-EFEITO!$O$357*EFEITO!$AA$357</f>
        <v>0</v>
      </c>
      <c r="P357" s="40"/>
      <c r="Q357" s="40"/>
      <c r="R357" s="40"/>
      <c r="S357" s="40"/>
      <c r="T357" s="40"/>
      <c r="U357" s="40"/>
      <c r="V357" s="40"/>
      <c r="W357" s="40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6" t="s">
        <v>21</v>
      </c>
      <c r="B358" s="36" t="s">
        <v>22</v>
      </c>
      <c r="C358" s="36" t="s">
        <v>23</v>
      </c>
      <c r="D358" s="36" t="s">
        <v>24</v>
      </c>
      <c r="E358" s="36" t="s">
        <v>24</v>
      </c>
      <c r="F358" s="36" t="s">
        <v>25</v>
      </c>
      <c r="G358" s="36" t="s">
        <v>25</v>
      </c>
      <c r="H358" s="36" t="s">
        <v>25</v>
      </c>
      <c r="I358" s="56">
        <v>44470</v>
      </c>
      <c r="J358" s="57">
        <f>EFEITO!$J$358*EFEITO!$Y$358</f>
        <v>0</v>
      </c>
      <c r="K358" s="57">
        <f ca="1">EFEITO!$L$358*EFEITO!$Z$358</f>
        <v>981723.83823258418</v>
      </c>
      <c r="L358" s="57">
        <f>EFEITO!$N$358*EFEITO!$AA$358</f>
        <v>514951.07026997692</v>
      </c>
      <c r="M358" s="57">
        <f>$J$358-EFEITO!$K$358*EFEITO!$Y$358</f>
        <v>0</v>
      </c>
      <c r="N358" s="57">
        <f ca="1">$K$358-EFEITO!$M$358*EFEITO!$Z$358</f>
        <v>0</v>
      </c>
      <c r="O358" s="57">
        <f>$L$358-EFEITO!$O$358*EFEITO!$AA$358</f>
        <v>0</v>
      </c>
      <c r="P358" s="40"/>
      <c r="Q358" s="40"/>
      <c r="R358" s="40"/>
      <c r="S358" s="40"/>
      <c r="T358" s="40"/>
      <c r="U358" s="40"/>
      <c r="V358" s="40"/>
      <c r="W358" s="40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6" t="s">
        <v>27</v>
      </c>
      <c r="B359" s="36" t="s">
        <v>22</v>
      </c>
      <c r="C359" s="36" t="s">
        <v>23</v>
      </c>
      <c r="D359" s="36" t="s">
        <v>24</v>
      </c>
      <c r="E359" s="36" t="s">
        <v>24</v>
      </c>
      <c r="F359" s="36" t="s">
        <v>25</v>
      </c>
      <c r="G359" s="36" t="s">
        <v>25</v>
      </c>
      <c r="H359" s="36" t="s">
        <v>25</v>
      </c>
      <c r="I359" s="56">
        <v>44470</v>
      </c>
      <c r="J359" s="57">
        <f>EFEITO!$J$359*EFEITO!$Y$359</f>
        <v>0</v>
      </c>
      <c r="K359" s="57">
        <f ca="1">EFEITO!$L$359*EFEITO!$Z$359</f>
        <v>-652.56170872959774</v>
      </c>
      <c r="L359" s="57">
        <f>EFEITO!$N$359*EFEITO!$AA$359</f>
        <v>-342.29315540762019</v>
      </c>
      <c r="M359" s="57">
        <f>$J$359-EFEITO!$K$359*EFEITO!$Y$359</f>
        <v>0</v>
      </c>
      <c r="N359" s="57">
        <f ca="1">$K$359-EFEITO!$M$359*EFEITO!$Z$359</f>
        <v>0</v>
      </c>
      <c r="O359" s="57">
        <f>$L$359-EFEITO!$O$359*EFEITO!$AA$359</f>
        <v>0</v>
      </c>
      <c r="P359" s="40"/>
      <c r="Q359" s="40"/>
      <c r="R359" s="40"/>
      <c r="S359" s="40"/>
      <c r="T359" s="40"/>
      <c r="U359" s="40"/>
      <c r="V359" s="40"/>
      <c r="W359" s="40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6" t="s">
        <v>28</v>
      </c>
      <c r="B360" s="36" t="s">
        <v>22</v>
      </c>
      <c r="C360" s="36" t="s">
        <v>23</v>
      </c>
      <c r="D360" s="36" t="s">
        <v>24</v>
      </c>
      <c r="E360" s="36" t="s">
        <v>24</v>
      </c>
      <c r="F360" s="36" t="s">
        <v>25</v>
      </c>
      <c r="G360" s="36" t="s">
        <v>25</v>
      </c>
      <c r="H360" s="36" t="s">
        <v>25</v>
      </c>
      <c r="I360" s="56">
        <v>44470</v>
      </c>
      <c r="J360" s="57">
        <f>EFEITO!$J$360*EFEITO!$Y$360</f>
        <v>0</v>
      </c>
      <c r="K360" s="57">
        <f ca="1">EFEITO!$L$360*EFEITO!$Z$360</f>
        <v>15783.618227721769</v>
      </c>
      <c r="L360" s="57">
        <f>EFEITO!$N$360*EFEITO!$AA$360</f>
        <v>8279.10129362923</v>
      </c>
      <c r="M360" s="57">
        <f>$J$360-EFEITO!$K$360*EFEITO!$Y$360</f>
        <v>0</v>
      </c>
      <c r="N360" s="57">
        <f ca="1">$K$360-EFEITO!$M$360*EFEITO!$Z$360</f>
        <v>0</v>
      </c>
      <c r="O360" s="57">
        <f>$L$360-EFEITO!$O$360*EFEITO!$AA$360</f>
        <v>0</v>
      </c>
      <c r="P360" s="40"/>
      <c r="Q360" s="40"/>
      <c r="R360" s="40"/>
      <c r="S360" s="40"/>
      <c r="T360" s="40"/>
      <c r="U360" s="40"/>
      <c r="V360" s="40"/>
      <c r="W360" s="40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6" t="s">
        <v>21</v>
      </c>
      <c r="B361" s="36" t="s">
        <v>22</v>
      </c>
      <c r="C361" s="36" t="s">
        <v>23</v>
      </c>
      <c r="D361" s="36" t="s">
        <v>24</v>
      </c>
      <c r="E361" s="36" t="s">
        <v>24</v>
      </c>
      <c r="F361" s="36" t="s">
        <v>25</v>
      </c>
      <c r="G361" s="36" t="s">
        <v>25</v>
      </c>
      <c r="H361" s="36" t="s">
        <v>25</v>
      </c>
      <c r="I361" s="56">
        <v>44501</v>
      </c>
      <c r="J361" s="57">
        <f>EFEITO!$J$361*EFEITO!$Y$361</f>
        <v>0</v>
      </c>
      <c r="K361" s="57">
        <f ca="1">EFEITO!$L$361*EFEITO!$Z$361</f>
        <v>1012855.6458116741</v>
      </c>
      <c r="L361" s="57">
        <f>EFEITO!$N$361*EFEITO!$AA$361</f>
        <v>531280.8740375546</v>
      </c>
      <c r="M361" s="57">
        <f>$J$361-EFEITO!$K$361*EFEITO!$Y$361</f>
        <v>0</v>
      </c>
      <c r="N361" s="57">
        <f ca="1">$K$361-EFEITO!$M$361*EFEITO!$Z$361</f>
        <v>0</v>
      </c>
      <c r="O361" s="57">
        <f>$L$361-EFEITO!$O$361*EFEITO!$AA$361</f>
        <v>0</v>
      </c>
      <c r="P361" s="40"/>
      <c r="Q361" s="40"/>
      <c r="R361" s="40"/>
      <c r="S361" s="40"/>
      <c r="T361" s="40"/>
      <c r="U361" s="40"/>
      <c r="V361" s="40"/>
      <c r="W361" s="40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6" t="s">
        <v>27</v>
      </c>
      <c r="B362" s="36" t="s">
        <v>22</v>
      </c>
      <c r="C362" s="36" t="s">
        <v>23</v>
      </c>
      <c r="D362" s="36" t="s">
        <v>24</v>
      </c>
      <c r="E362" s="36" t="s">
        <v>24</v>
      </c>
      <c r="F362" s="36" t="s">
        <v>25</v>
      </c>
      <c r="G362" s="36" t="s">
        <v>25</v>
      </c>
      <c r="H362" s="36" t="s">
        <v>25</v>
      </c>
      <c r="I362" s="56">
        <v>44501</v>
      </c>
      <c r="J362" s="57">
        <f>EFEITO!$J$362*EFEITO!$Y$362</f>
        <v>0</v>
      </c>
      <c r="K362" s="57">
        <f ca="1">EFEITO!$L$362*EFEITO!$Z$362</f>
        <v>-699.86564721148181</v>
      </c>
      <c r="L362" s="57">
        <f>EFEITO!$N$362*EFEITO!$AA$362</f>
        <v>-367.10584997668116</v>
      </c>
      <c r="M362" s="57">
        <f>$J$362-EFEITO!$K$362*EFEITO!$Y$362</f>
        <v>0</v>
      </c>
      <c r="N362" s="57">
        <f ca="1">$K$362-EFEITO!$M$362*EFEITO!$Z$362</f>
        <v>0</v>
      </c>
      <c r="O362" s="57">
        <f>$L$362-EFEITO!$O$362*EFEITO!$AA$362</f>
        <v>0</v>
      </c>
      <c r="P362" s="40"/>
      <c r="Q362" s="40"/>
      <c r="R362" s="40"/>
      <c r="S362" s="40"/>
      <c r="T362" s="40"/>
      <c r="U362" s="40"/>
      <c r="V362" s="40"/>
      <c r="W362" s="40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6" t="s">
        <v>28</v>
      </c>
      <c r="B363" s="36" t="s">
        <v>22</v>
      </c>
      <c r="C363" s="36" t="s">
        <v>23</v>
      </c>
      <c r="D363" s="36" t="s">
        <v>24</v>
      </c>
      <c r="E363" s="36" t="s">
        <v>24</v>
      </c>
      <c r="F363" s="36" t="s">
        <v>25</v>
      </c>
      <c r="G363" s="36" t="s">
        <v>25</v>
      </c>
      <c r="H363" s="36" t="s">
        <v>25</v>
      </c>
      <c r="I363" s="56">
        <v>44501</v>
      </c>
      <c r="J363" s="57">
        <f>EFEITO!$J$363*EFEITO!$Y$363</f>
        <v>0</v>
      </c>
      <c r="K363" s="57">
        <f ca="1">EFEITO!$L$363*EFEITO!$Z$363</f>
        <v>13831.749159543044</v>
      </c>
      <c r="L363" s="57">
        <f>EFEITO!$N$363*EFEITO!$AA$363</f>
        <v>7255.2725685419109</v>
      </c>
      <c r="M363" s="57">
        <f>$J$363-EFEITO!$K$363*EFEITO!$Y$363</f>
        <v>0</v>
      </c>
      <c r="N363" s="57">
        <f ca="1">$K$363-EFEITO!$M$363*EFEITO!$Z$363</f>
        <v>0</v>
      </c>
      <c r="O363" s="57">
        <f>$L$363-EFEITO!$O$363*EFEITO!$AA$363</f>
        <v>0</v>
      </c>
      <c r="P363" s="40"/>
      <c r="Q363" s="40"/>
      <c r="R363" s="40"/>
      <c r="S363" s="40"/>
      <c r="T363" s="40"/>
      <c r="U363" s="40"/>
      <c r="V363" s="40"/>
      <c r="W363" s="40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6" t="s">
        <v>21</v>
      </c>
      <c r="B364" s="36" t="s">
        <v>22</v>
      </c>
      <c r="C364" s="36" t="s">
        <v>23</v>
      </c>
      <c r="D364" s="36" t="s">
        <v>24</v>
      </c>
      <c r="E364" s="36" t="s">
        <v>24</v>
      </c>
      <c r="F364" s="36" t="s">
        <v>25</v>
      </c>
      <c r="G364" s="36" t="s">
        <v>25</v>
      </c>
      <c r="H364" s="36" t="s">
        <v>25</v>
      </c>
      <c r="I364" s="56">
        <v>44531</v>
      </c>
      <c r="J364" s="57">
        <f>EFEITO!$J$364*EFEITO!$Y$364</f>
        <v>0</v>
      </c>
      <c r="K364" s="57">
        <f ca="1">EFEITO!$L$364*EFEITO!$Z$364</f>
        <v>1075999.0366781764</v>
      </c>
      <c r="L364" s="57">
        <f>EFEITO!$N$364*EFEITO!$AA$364</f>
        <v>564401.95701514604</v>
      </c>
      <c r="M364" s="57">
        <f>$J$364-EFEITO!$K$364*EFEITO!$Y$364</f>
        <v>0</v>
      </c>
      <c r="N364" s="57">
        <f ca="1">$K$364-EFEITO!$M$364*EFEITO!$Z$364</f>
        <v>0</v>
      </c>
      <c r="O364" s="57">
        <f>$L$364-EFEITO!$O$364*EFEITO!$AA$364</f>
        <v>0</v>
      </c>
      <c r="P364" s="40"/>
      <c r="Q364" s="40"/>
      <c r="R364" s="40"/>
      <c r="S364" s="40"/>
      <c r="T364" s="40"/>
      <c r="U364" s="40"/>
      <c r="V364" s="40"/>
      <c r="W364" s="40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6" t="s">
        <v>28</v>
      </c>
      <c r="B365" s="36" t="s">
        <v>22</v>
      </c>
      <c r="C365" s="36" t="s">
        <v>23</v>
      </c>
      <c r="D365" s="36" t="s">
        <v>24</v>
      </c>
      <c r="E365" s="36" t="s">
        <v>24</v>
      </c>
      <c r="F365" s="36" t="s">
        <v>25</v>
      </c>
      <c r="G365" s="36" t="s">
        <v>25</v>
      </c>
      <c r="H365" s="36" t="s">
        <v>25</v>
      </c>
      <c r="I365" s="56">
        <v>44531</v>
      </c>
      <c r="J365" s="57">
        <f>EFEITO!$J$365*EFEITO!$Y$365</f>
        <v>0</v>
      </c>
      <c r="K365" s="57">
        <f ca="1">EFEITO!$L$365*EFEITO!$Z$365</f>
        <v>15667.684804721086</v>
      </c>
      <c r="L365" s="57">
        <f>EFEITO!$N$365*EFEITO!$AA$365</f>
        <v>8218.2898536607936</v>
      </c>
      <c r="M365" s="57">
        <f>$J$365-EFEITO!$K$365*EFEITO!$Y$365</f>
        <v>0</v>
      </c>
      <c r="N365" s="57">
        <f ca="1">$K$365-EFEITO!$M$365*EFEITO!$Z$365</f>
        <v>0</v>
      </c>
      <c r="O365" s="57">
        <f>$L$365-EFEITO!$O$365*EFEITO!$AA$365</f>
        <v>0</v>
      </c>
      <c r="P365" s="40"/>
      <c r="Q365" s="40"/>
      <c r="R365" s="40"/>
      <c r="S365" s="40"/>
      <c r="T365" s="40"/>
      <c r="U365" s="40"/>
      <c r="V365" s="40"/>
      <c r="W365" s="40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6" t="s">
        <v>21</v>
      </c>
      <c r="B366" s="36" t="s">
        <v>22</v>
      </c>
      <c r="C366" s="36" t="s">
        <v>23</v>
      </c>
      <c r="D366" s="36" t="s">
        <v>24</v>
      </c>
      <c r="E366" s="36" t="s">
        <v>24</v>
      </c>
      <c r="F366" s="36" t="s">
        <v>25</v>
      </c>
      <c r="G366" s="36" t="s">
        <v>25</v>
      </c>
      <c r="H366" s="36" t="s">
        <v>25</v>
      </c>
      <c r="I366" s="56">
        <v>44562</v>
      </c>
      <c r="J366" s="57">
        <f>EFEITO!$J$366*EFEITO!$Y$366</f>
        <v>0</v>
      </c>
      <c r="K366" s="57">
        <f ca="1">EFEITO!$L$366*EFEITO!$Z$366</f>
        <v>1242603.8957485729</v>
      </c>
      <c r="L366" s="57">
        <f>EFEITO!$N$366*EFEITO!$AA$366</f>
        <v>651792.47067012126</v>
      </c>
      <c r="M366" s="57">
        <f>$J$366-EFEITO!$K$366*EFEITO!$Y$366</f>
        <v>0</v>
      </c>
      <c r="N366" s="57">
        <f ca="1">$K$366-EFEITO!$M$366*EFEITO!$Z$366</f>
        <v>0</v>
      </c>
      <c r="O366" s="57">
        <f>$L$366-EFEITO!$O$366*EFEITO!$AA$366</f>
        <v>0</v>
      </c>
      <c r="P366" s="40"/>
      <c r="Q366" s="40"/>
      <c r="R366" s="40"/>
      <c r="S366" s="40"/>
      <c r="T366" s="40"/>
      <c r="U366" s="40"/>
      <c r="V366" s="40"/>
      <c r="W366" s="40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6" t="s">
        <v>27</v>
      </c>
      <c r="B367" s="36" t="s">
        <v>22</v>
      </c>
      <c r="C367" s="36" t="s">
        <v>23</v>
      </c>
      <c r="D367" s="36" t="s">
        <v>24</v>
      </c>
      <c r="E367" s="36" t="s">
        <v>24</v>
      </c>
      <c r="F367" s="36" t="s">
        <v>25</v>
      </c>
      <c r="G367" s="36" t="s">
        <v>25</v>
      </c>
      <c r="H367" s="36" t="s">
        <v>25</v>
      </c>
      <c r="I367" s="56">
        <v>44562</v>
      </c>
      <c r="J367" s="57">
        <f>EFEITO!$J$367*EFEITO!$Y$367</f>
        <v>0</v>
      </c>
      <c r="K367" s="57">
        <f ca="1">EFEITO!$L$367*EFEITO!$Z$367</f>
        <v>-2552.8617292190561</v>
      </c>
      <c r="L367" s="57">
        <f>EFEITO!$N$367*EFEITO!$AA$367</f>
        <v>-1339.0719757598165</v>
      </c>
      <c r="M367" s="57">
        <f>$J$367-EFEITO!$K$367*EFEITO!$Y$367</f>
        <v>0</v>
      </c>
      <c r="N367" s="57">
        <f ca="1">$K$367-EFEITO!$M$367*EFEITO!$Z$367</f>
        <v>0</v>
      </c>
      <c r="O367" s="57">
        <f>$L$367-EFEITO!$O$367*EFEITO!$AA$367</f>
        <v>0</v>
      </c>
      <c r="P367" s="40"/>
      <c r="Q367" s="40"/>
      <c r="R367" s="40"/>
      <c r="S367" s="40"/>
      <c r="T367" s="40"/>
      <c r="U367" s="40"/>
      <c r="V367" s="40"/>
      <c r="W367" s="40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6" t="s">
        <v>28</v>
      </c>
      <c r="B368" s="36" t="s">
        <v>22</v>
      </c>
      <c r="C368" s="36" t="s">
        <v>23</v>
      </c>
      <c r="D368" s="36" t="s">
        <v>24</v>
      </c>
      <c r="E368" s="36" t="s">
        <v>24</v>
      </c>
      <c r="F368" s="36" t="s">
        <v>25</v>
      </c>
      <c r="G368" s="36" t="s">
        <v>25</v>
      </c>
      <c r="H368" s="36" t="s">
        <v>25</v>
      </c>
      <c r="I368" s="56">
        <v>44562</v>
      </c>
      <c r="J368" s="57">
        <f>EFEITO!$J$368*EFEITO!$Y$368</f>
        <v>0</v>
      </c>
      <c r="K368" s="57">
        <f ca="1">EFEITO!$L$368*EFEITO!$Z$368</f>
        <v>16584.68328430843</v>
      </c>
      <c r="L368" s="57">
        <f>EFEITO!$N$368*EFEITO!$AA$368</f>
        <v>8699.290039364314</v>
      </c>
      <c r="M368" s="57">
        <f>$J$368-EFEITO!$K$368*EFEITO!$Y$368</f>
        <v>0</v>
      </c>
      <c r="N368" s="57">
        <f ca="1">$K$368-EFEITO!$M$368*EFEITO!$Z$368</f>
        <v>0</v>
      </c>
      <c r="O368" s="57">
        <f>$L$368-EFEITO!$O$368*EFEITO!$AA$368</f>
        <v>0</v>
      </c>
      <c r="P368" s="40"/>
      <c r="Q368" s="40"/>
      <c r="R368" s="40"/>
      <c r="S368" s="40"/>
      <c r="T368" s="40"/>
      <c r="U368" s="40"/>
      <c r="V368" s="40"/>
      <c r="W368" s="40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6" t="s">
        <v>21</v>
      </c>
      <c r="B369" s="36" t="s">
        <v>22</v>
      </c>
      <c r="C369" s="36" t="s">
        <v>23</v>
      </c>
      <c r="D369" s="36" t="s">
        <v>24</v>
      </c>
      <c r="E369" s="36" t="s">
        <v>24</v>
      </c>
      <c r="F369" s="36" t="s">
        <v>25</v>
      </c>
      <c r="G369" s="36" t="s">
        <v>25</v>
      </c>
      <c r="H369" s="36" t="s">
        <v>25</v>
      </c>
      <c r="I369" s="56">
        <v>44593</v>
      </c>
      <c r="J369" s="57">
        <f>EFEITO!$J$369*EFEITO!$Y$369</f>
        <v>0</v>
      </c>
      <c r="K369" s="57">
        <f ca="1">EFEITO!$L$369*EFEITO!$Z$369</f>
        <v>1376059.5505847875</v>
      </c>
      <c r="L369" s="57">
        <f>EFEITO!$N$369*EFEITO!$AA$369</f>
        <v>721794.98014897108</v>
      </c>
      <c r="M369" s="57">
        <f>$J$369-EFEITO!$K$369*EFEITO!$Y$369</f>
        <v>0</v>
      </c>
      <c r="N369" s="57">
        <f ca="1">$K$369-EFEITO!$M$369*EFEITO!$Z$369</f>
        <v>0</v>
      </c>
      <c r="O369" s="57">
        <f>$L$369-EFEITO!$O$369*EFEITO!$AA$369</f>
        <v>0</v>
      </c>
      <c r="P369" s="40"/>
      <c r="Q369" s="40"/>
      <c r="R369" s="40"/>
      <c r="S369" s="40"/>
      <c r="T369" s="40"/>
      <c r="U369" s="40"/>
      <c r="V369" s="40"/>
      <c r="W369" s="40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6" t="s">
        <v>27</v>
      </c>
      <c r="B370" s="36" t="s">
        <v>22</v>
      </c>
      <c r="C370" s="36" t="s">
        <v>23</v>
      </c>
      <c r="D370" s="36" t="s">
        <v>24</v>
      </c>
      <c r="E370" s="36" t="s">
        <v>24</v>
      </c>
      <c r="F370" s="36" t="s">
        <v>25</v>
      </c>
      <c r="G370" s="36" t="s">
        <v>25</v>
      </c>
      <c r="H370" s="36" t="s">
        <v>25</v>
      </c>
      <c r="I370" s="56">
        <v>44593</v>
      </c>
      <c r="J370" s="57">
        <f>EFEITO!$J$370*EFEITO!$Y$370</f>
        <v>0</v>
      </c>
      <c r="K370" s="57">
        <f ca="1">EFEITO!$L$370*EFEITO!$Z$370</f>
        <v>-329.96435777117512</v>
      </c>
      <c r="L370" s="57">
        <f>EFEITO!$N$370*EFEITO!$AA$370</f>
        <v>-173.07871375631893</v>
      </c>
      <c r="M370" s="57">
        <f>$J$370-EFEITO!$K$370*EFEITO!$Y$370</f>
        <v>0</v>
      </c>
      <c r="N370" s="57">
        <f ca="1">$K$370-EFEITO!$M$370*EFEITO!$Z$370</f>
        <v>0</v>
      </c>
      <c r="O370" s="57">
        <f>$L$370-EFEITO!$O$370*EFEITO!$AA$370</f>
        <v>0</v>
      </c>
      <c r="P370" s="40"/>
      <c r="Q370" s="40"/>
      <c r="R370" s="40"/>
      <c r="S370" s="40"/>
      <c r="T370" s="40"/>
      <c r="U370" s="40"/>
      <c r="V370" s="40"/>
      <c r="W370" s="40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6" t="s">
        <v>28</v>
      </c>
      <c r="B371" s="36" t="s">
        <v>22</v>
      </c>
      <c r="C371" s="36" t="s">
        <v>23</v>
      </c>
      <c r="D371" s="36" t="s">
        <v>24</v>
      </c>
      <c r="E371" s="36" t="s">
        <v>24</v>
      </c>
      <c r="F371" s="36" t="s">
        <v>25</v>
      </c>
      <c r="G371" s="36" t="s">
        <v>25</v>
      </c>
      <c r="H371" s="36" t="s">
        <v>25</v>
      </c>
      <c r="I371" s="56">
        <v>44593</v>
      </c>
      <c r="J371" s="57">
        <f>EFEITO!$J$371*EFEITO!$Y$371</f>
        <v>0</v>
      </c>
      <c r="K371" s="57">
        <f ca="1">EFEITO!$L$371*EFEITO!$Z$371</f>
        <v>21242.570275971328</v>
      </c>
      <c r="L371" s="57">
        <f>EFEITO!$N$371*EFEITO!$AA$371</f>
        <v>11142.526923447344</v>
      </c>
      <c r="M371" s="57">
        <f>$J$371-EFEITO!$K$371*EFEITO!$Y$371</f>
        <v>0</v>
      </c>
      <c r="N371" s="57">
        <f ca="1">$K$371-EFEITO!$M$371*EFEITO!$Z$371</f>
        <v>0</v>
      </c>
      <c r="O371" s="57">
        <f>$L$371-EFEITO!$O$371*EFEITO!$AA$371</f>
        <v>0</v>
      </c>
      <c r="P371" s="40"/>
      <c r="Q371" s="40"/>
      <c r="R371" s="40"/>
      <c r="S371" s="40"/>
      <c r="T371" s="40"/>
      <c r="U371" s="40"/>
      <c r="V371" s="40"/>
      <c r="W371" s="40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6" t="s">
        <v>21</v>
      </c>
      <c r="B372" s="36" t="s">
        <v>22</v>
      </c>
      <c r="C372" s="36" t="s">
        <v>23</v>
      </c>
      <c r="D372" s="36" t="s">
        <v>24</v>
      </c>
      <c r="E372" s="36" t="s">
        <v>24</v>
      </c>
      <c r="F372" s="36" t="s">
        <v>25</v>
      </c>
      <c r="G372" s="36" t="s">
        <v>25</v>
      </c>
      <c r="H372" s="36" t="s">
        <v>25</v>
      </c>
      <c r="I372" s="56">
        <v>44621</v>
      </c>
      <c r="J372" s="57">
        <f>EFEITO!$J$372*EFEITO!$Y$372</f>
        <v>0</v>
      </c>
      <c r="K372" s="57">
        <f ca="1">EFEITO!$L$372*EFEITO!$Z$372</f>
        <v>1213776.7980902726</v>
      </c>
      <c r="L372" s="57">
        <f>EFEITO!$N$372*EFEITO!$AA$372</f>
        <v>636671.57392318698</v>
      </c>
      <c r="M372" s="57">
        <f>$J$372-EFEITO!$K$372*EFEITO!$Y$372</f>
        <v>0</v>
      </c>
      <c r="N372" s="57">
        <f ca="1">$K$372-EFEITO!$M$372*EFEITO!$Z$372</f>
        <v>0</v>
      </c>
      <c r="O372" s="57">
        <f>$L$372-EFEITO!$O$372*EFEITO!$AA$372</f>
        <v>0</v>
      </c>
      <c r="P372" s="40"/>
      <c r="Q372" s="40"/>
      <c r="R372" s="40"/>
      <c r="S372" s="40"/>
      <c r="T372" s="40"/>
      <c r="U372" s="40"/>
      <c r="V372" s="40"/>
      <c r="W372" s="40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6" t="s">
        <v>27</v>
      </c>
      <c r="B373" s="36" t="s">
        <v>22</v>
      </c>
      <c r="C373" s="36" t="s">
        <v>23</v>
      </c>
      <c r="D373" s="36" t="s">
        <v>24</v>
      </c>
      <c r="E373" s="36" t="s">
        <v>24</v>
      </c>
      <c r="F373" s="36" t="s">
        <v>25</v>
      </c>
      <c r="G373" s="36" t="s">
        <v>25</v>
      </c>
      <c r="H373" s="36" t="s">
        <v>25</v>
      </c>
      <c r="I373" s="56">
        <v>44621</v>
      </c>
      <c r="J373" s="57">
        <f>EFEITO!$J$373*EFEITO!$Y$373</f>
        <v>0</v>
      </c>
      <c r="K373" s="57">
        <f ca="1">EFEITO!$L$373*EFEITO!$Z$373</f>
        <v>-457.52989679199368</v>
      </c>
      <c r="L373" s="57">
        <f>EFEITO!$N$373*EFEITO!$AA$373</f>
        <v>-239.99163599583588</v>
      </c>
      <c r="M373" s="57">
        <f>$J$373-EFEITO!$K$373*EFEITO!$Y$373</f>
        <v>0</v>
      </c>
      <c r="N373" s="57">
        <f ca="1">$K$373-EFEITO!$M$373*EFEITO!$Z$373</f>
        <v>0</v>
      </c>
      <c r="O373" s="57">
        <f>$L$373-EFEITO!$O$373*EFEITO!$AA$373</f>
        <v>0</v>
      </c>
      <c r="P373" s="40"/>
      <c r="Q373" s="40"/>
      <c r="R373" s="40"/>
      <c r="S373" s="40"/>
      <c r="T373" s="40"/>
      <c r="U373" s="40"/>
      <c r="V373" s="40"/>
      <c r="W373" s="40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6" t="s">
        <v>28</v>
      </c>
      <c r="B374" s="36" t="s">
        <v>22</v>
      </c>
      <c r="C374" s="36" t="s">
        <v>23</v>
      </c>
      <c r="D374" s="36" t="s">
        <v>24</v>
      </c>
      <c r="E374" s="36" t="s">
        <v>24</v>
      </c>
      <c r="F374" s="36" t="s">
        <v>25</v>
      </c>
      <c r="G374" s="36" t="s">
        <v>25</v>
      </c>
      <c r="H374" s="36" t="s">
        <v>25</v>
      </c>
      <c r="I374" s="56">
        <v>44621</v>
      </c>
      <c r="J374" s="57">
        <f>EFEITO!$J$374*EFEITO!$Y$374</f>
        <v>0</v>
      </c>
      <c r="K374" s="57">
        <f ca="1">EFEITO!$L$374*EFEITO!$Z$374</f>
        <v>21855.970527433135</v>
      </c>
      <c r="L374" s="57">
        <f>EFEITO!$N$374*EFEITO!$AA$374</f>
        <v>11464.278421875661</v>
      </c>
      <c r="M374" s="57">
        <f>$J$374-EFEITO!$K$374*EFEITO!$Y$374</f>
        <v>0</v>
      </c>
      <c r="N374" s="57">
        <f ca="1">$K$374-EFEITO!$M$374*EFEITO!$Z$374</f>
        <v>0</v>
      </c>
      <c r="O374" s="57">
        <f>$L$374-EFEITO!$O$374*EFEITO!$AA$374</f>
        <v>0</v>
      </c>
      <c r="P374" s="40"/>
      <c r="Q374" s="40"/>
      <c r="R374" s="40"/>
      <c r="S374" s="40"/>
      <c r="T374" s="40"/>
      <c r="U374" s="40"/>
      <c r="V374" s="40"/>
      <c r="W374" s="40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6" t="s">
        <v>21</v>
      </c>
      <c r="B375" s="36" t="s">
        <v>22</v>
      </c>
      <c r="C375" s="36" t="s">
        <v>23</v>
      </c>
      <c r="D375" s="36" t="s">
        <v>24</v>
      </c>
      <c r="E375" s="36" t="s">
        <v>24</v>
      </c>
      <c r="F375" s="36" t="s">
        <v>25</v>
      </c>
      <c r="G375" s="36" t="s">
        <v>25</v>
      </c>
      <c r="H375" s="36" t="s">
        <v>25</v>
      </c>
      <c r="I375" s="56">
        <v>44652</v>
      </c>
      <c r="J375" s="57">
        <f>EFEITO!$J$375*EFEITO!$Y$375</f>
        <v>0</v>
      </c>
      <c r="K375" s="57">
        <f ca="1">EFEITO!$L$375*EFEITO!$Z$375</f>
        <v>991485.50999668182</v>
      </c>
      <c r="L375" s="57">
        <f>EFEITO!$N$375*EFEITO!$AA$375</f>
        <v>520071.43419186777</v>
      </c>
      <c r="M375" s="57">
        <f>$J$375-EFEITO!$K$375*EFEITO!$Y$375</f>
        <v>0</v>
      </c>
      <c r="N375" s="57">
        <f ca="1">$K$375-EFEITO!$M$375*EFEITO!$Z$375</f>
        <v>0</v>
      </c>
      <c r="O375" s="57">
        <f>$L$375-EFEITO!$O$375*EFEITO!$AA$375</f>
        <v>0</v>
      </c>
      <c r="P375" s="40"/>
      <c r="Q375" s="40"/>
      <c r="R375" s="40"/>
      <c r="S375" s="40"/>
      <c r="T375" s="40"/>
      <c r="U375" s="40"/>
      <c r="V375" s="40"/>
      <c r="W375" s="40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6" t="s">
        <v>27</v>
      </c>
      <c r="B376" s="36" t="s">
        <v>22</v>
      </c>
      <c r="C376" s="36" t="s">
        <v>23</v>
      </c>
      <c r="D376" s="36" t="s">
        <v>24</v>
      </c>
      <c r="E376" s="36" t="s">
        <v>24</v>
      </c>
      <c r="F376" s="36" t="s">
        <v>25</v>
      </c>
      <c r="G376" s="36" t="s">
        <v>25</v>
      </c>
      <c r="H376" s="36" t="s">
        <v>25</v>
      </c>
      <c r="I376" s="56">
        <v>44652</v>
      </c>
      <c r="J376" s="57">
        <f>EFEITO!$J$376*EFEITO!$Y$376</f>
        <v>0</v>
      </c>
      <c r="K376" s="57">
        <f ca="1">EFEITO!$L$376*EFEITO!$Z$376</f>
        <v>-168.66568229196378</v>
      </c>
      <c r="L376" s="57">
        <f>EFEITO!$N$376*EFEITO!$AA$376</f>
        <v>-88.471492930668319</v>
      </c>
      <c r="M376" s="57">
        <f>$J$376-EFEITO!$K$376*EFEITO!$Y$376</f>
        <v>0</v>
      </c>
      <c r="N376" s="57">
        <f ca="1">$K$376-EFEITO!$M$376*EFEITO!$Z$376</f>
        <v>0</v>
      </c>
      <c r="O376" s="57">
        <f>$L$376-EFEITO!$O$376*EFEITO!$AA$376</f>
        <v>0</v>
      </c>
      <c r="P376" s="40"/>
      <c r="Q376" s="40"/>
      <c r="R376" s="40"/>
      <c r="S376" s="40"/>
      <c r="T376" s="40"/>
      <c r="U376" s="40"/>
      <c r="V376" s="40"/>
      <c r="W376" s="40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6" t="s">
        <v>28</v>
      </c>
      <c r="B377" s="36" t="s">
        <v>22</v>
      </c>
      <c r="C377" s="36" t="s">
        <v>23</v>
      </c>
      <c r="D377" s="36" t="s">
        <v>24</v>
      </c>
      <c r="E377" s="36" t="s">
        <v>24</v>
      </c>
      <c r="F377" s="36" t="s">
        <v>25</v>
      </c>
      <c r="G377" s="36" t="s">
        <v>25</v>
      </c>
      <c r="H377" s="36" t="s">
        <v>25</v>
      </c>
      <c r="I377" s="56">
        <v>44652</v>
      </c>
      <c r="J377" s="57">
        <f>EFEITO!$J$377*EFEITO!$Y$377</f>
        <v>0</v>
      </c>
      <c r="K377" s="57">
        <f ca="1">EFEITO!$L$377*EFEITO!$Z$377</f>
        <v>18722.666208809322</v>
      </c>
      <c r="L377" s="57">
        <f>EFEITO!$N$377*EFEITO!$AA$377</f>
        <v>9820.742480788922</v>
      </c>
      <c r="M377" s="57">
        <f>$J$377-EFEITO!$K$377*EFEITO!$Y$377</f>
        <v>0</v>
      </c>
      <c r="N377" s="57">
        <f ca="1">$K$377-EFEITO!$M$377*EFEITO!$Z$377</f>
        <v>0</v>
      </c>
      <c r="O377" s="57">
        <f>$L$377-EFEITO!$O$377*EFEITO!$AA$377</f>
        <v>0</v>
      </c>
      <c r="P377" s="40"/>
      <c r="Q377" s="40"/>
      <c r="R377" s="40"/>
      <c r="S377" s="40"/>
      <c r="T377" s="40"/>
      <c r="U377" s="40"/>
      <c r="V377" s="40"/>
      <c r="W377" s="40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6" t="s">
        <v>21</v>
      </c>
      <c r="B378" s="36" t="s">
        <v>22</v>
      </c>
      <c r="C378" s="36" t="s">
        <v>23</v>
      </c>
      <c r="D378" s="36" t="s">
        <v>24</v>
      </c>
      <c r="E378" s="36" t="s">
        <v>24</v>
      </c>
      <c r="F378" s="36" t="s">
        <v>25</v>
      </c>
      <c r="G378" s="36" t="s">
        <v>25</v>
      </c>
      <c r="H378" s="36" t="s">
        <v>25</v>
      </c>
      <c r="I378" s="56">
        <v>44682</v>
      </c>
      <c r="J378" s="57">
        <f>EFEITO!$J$378*EFEITO!$Y$378</f>
        <v>0</v>
      </c>
      <c r="K378" s="57">
        <f ca="1">EFEITO!$L$378*EFEITO!$Z$378</f>
        <v>904630.05062313331</v>
      </c>
      <c r="L378" s="57">
        <f>EFEITO!$N$378*EFEITO!$AA$378</f>
        <v>474512.47960467864</v>
      </c>
      <c r="M378" s="57">
        <f>$J$378-EFEITO!$K$378*EFEITO!$Y$378</f>
        <v>0</v>
      </c>
      <c r="N378" s="57">
        <f ca="1">$K$378-EFEITO!$M$378*EFEITO!$Z$378</f>
        <v>0</v>
      </c>
      <c r="O378" s="57">
        <f>$L$378-EFEITO!$O$378*EFEITO!$AA$378</f>
        <v>0</v>
      </c>
      <c r="P378" s="40"/>
      <c r="Q378" s="40"/>
      <c r="R378" s="40"/>
      <c r="S378" s="40"/>
      <c r="T378" s="40"/>
      <c r="U378" s="40"/>
      <c r="V378" s="40"/>
      <c r="W378" s="40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6" t="s">
        <v>27</v>
      </c>
      <c r="B379" s="36" t="s">
        <v>22</v>
      </c>
      <c r="C379" s="36" t="s">
        <v>23</v>
      </c>
      <c r="D379" s="36" t="s">
        <v>24</v>
      </c>
      <c r="E379" s="36" t="s">
        <v>24</v>
      </c>
      <c r="F379" s="36" t="s">
        <v>25</v>
      </c>
      <c r="G379" s="36" t="s">
        <v>25</v>
      </c>
      <c r="H379" s="36" t="s">
        <v>25</v>
      </c>
      <c r="I379" s="56">
        <v>44682</v>
      </c>
      <c r="J379" s="57">
        <f>EFEITO!$J$379*EFEITO!$Y$379</f>
        <v>0</v>
      </c>
      <c r="K379" s="57">
        <f ca="1">EFEITO!$L$379*EFEITO!$Z$379</f>
        <v>-309.80202333627369</v>
      </c>
      <c r="L379" s="57">
        <f>EFEITO!$N$379*EFEITO!$AA$379</f>
        <v>-162.50281115311262</v>
      </c>
      <c r="M379" s="57">
        <f>$J$379-EFEITO!$K$379*EFEITO!$Y$379</f>
        <v>0</v>
      </c>
      <c r="N379" s="57">
        <f ca="1">$K$379-EFEITO!$M$379*EFEITO!$Z$379</f>
        <v>0</v>
      </c>
      <c r="O379" s="57">
        <f>$L$379-EFEITO!$O$379*EFEITO!$AA$379</f>
        <v>0</v>
      </c>
      <c r="P379" s="40"/>
      <c r="Q379" s="40"/>
      <c r="R379" s="40"/>
      <c r="S379" s="40"/>
      <c r="T379" s="40"/>
      <c r="U379" s="40"/>
      <c r="V379" s="40"/>
      <c r="W379" s="40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6" t="s">
        <v>28</v>
      </c>
      <c r="B380" s="36" t="s">
        <v>22</v>
      </c>
      <c r="C380" s="36" t="s">
        <v>23</v>
      </c>
      <c r="D380" s="36" t="s">
        <v>24</v>
      </c>
      <c r="E380" s="36" t="s">
        <v>24</v>
      </c>
      <c r="F380" s="36" t="s">
        <v>25</v>
      </c>
      <c r="G380" s="36" t="s">
        <v>25</v>
      </c>
      <c r="H380" s="36" t="s">
        <v>25</v>
      </c>
      <c r="I380" s="56">
        <v>44682</v>
      </c>
      <c r="J380" s="57">
        <f>EFEITO!$J$380*EFEITO!$Y$380</f>
        <v>0</v>
      </c>
      <c r="K380" s="57">
        <f ca="1">EFEITO!$L$380*EFEITO!$Z$380</f>
        <v>18597.039355791858</v>
      </c>
      <c r="L380" s="57">
        <f>EFEITO!$N$380*EFEITO!$AA$380</f>
        <v>9754.8464722612516</v>
      </c>
      <c r="M380" s="57">
        <f>$J$380-EFEITO!$K$380*EFEITO!$Y$380</f>
        <v>0</v>
      </c>
      <c r="N380" s="57">
        <f ca="1">$K$380-EFEITO!$M$380*EFEITO!$Z$380</f>
        <v>0</v>
      </c>
      <c r="O380" s="57">
        <f>$L$380-EFEITO!$O$380*EFEITO!$AA$380</f>
        <v>0</v>
      </c>
      <c r="P380" s="40"/>
      <c r="Q380" s="40"/>
      <c r="R380" s="40"/>
      <c r="S380" s="40"/>
      <c r="T380" s="40"/>
      <c r="U380" s="40"/>
      <c r="V380" s="40"/>
      <c r="W380" s="40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6" t="s">
        <v>21</v>
      </c>
      <c r="B381" s="36" t="s">
        <v>22</v>
      </c>
      <c r="C381" s="36" t="s">
        <v>23</v>
      </c>
      <c r="D381" s="36" t="s">
        <v>24</v>
      </c>
      <c r="E381" s="36" t="s">
        <v>24</v>
      </c>
      <c r="F381" s="36" t="s">
        <v>25</v>
      </c>
      <c r="G381" s="36" t="s">
        <v>25</v>
      </c>
      <c r="H381" s="36" t="s">
        <v>25</v>
      </c>
      <c r="I381" s="56">
        <v>44713</v>
      </c>
      <c r="J381" s="57">
        <f>EFEITO!$J$381*EFEITO!$Y$381</f>
        <v>0</v>
      </c>
      <c r="K381" s="57">
        <f ca="1">EFEITO!$L$381*EFEITO!$Z$381</f>
        <v>1033669.378743703</v>
      </c>
      <c r="L381" s="57">
        <f>EFEITO!$N$381*EFEITO!$AA$381</f>
        <v>542198.45964794152</v>
      </c>
      <c r="M381" s="57">
        <f>$J$381-EFEITO!$K$381*EFEITO!$Y$381</f>
        <v>0</v>
      </c>
      <c r="N381" s="57">
        <f ca="1">$K$381-EFEITO!$M$381*EFEITO!$Z$381</f>
        <v>0</v>
      </c>
      <c r="O381" s="57">
        <f>$L$381-EFEITO!$O$381*EFEITO!$AA$381</f>
        <v>0</v>
      </c>
      <c r="P381" s="40"/>
      <c r="Q381" s="40"/>
      <c r="R381" s="40"/>
      <c r="S381" s="40"/>
      <c r="T381" s="40"/>
      <c r="U381" s="40"/>
      <c r="V381" s="40"/>
      <c r="W381" s="40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6" t="s">
        <v>27</v>
      </c>
      <c r="B382" s="36" t="s">
        <v>22</v>
      </c>
      <c r="C382" s="36" t="s">
        <v>23</v>
      </c>
      <c r="D382" s="36" t="s">
        <v>24</v>
      </c>
      <c r="E382" s="36" t="s">
        <v>24</v>
      </c>
      <c r="F382" s="36" t="s">
        <v>25</v>
      </c>
      <c r="G382" s="36" t="s">
        <v>25</v>
      </c>
      <c r="H382" s="36" t="s">
        <v>25</v>
      </c>
      <c r="I382" s="56">
        <v>44713</v>
      </c>
      <c r="J382" s="57">
        <f>EFEITO!$J$382*EFEITO!$Y$382</f>
        <v>0</v>
      </c>
      <c r="K382" s="57">
        <f ca="1">EFEITO!$L$382*EFEITO!$Z$382</f>
        <v>-711.8855004322885</v>
      </c>
      <c r="L382" s="57">
        <f>EFEITO!$N$382*EFEITO!$AA$382</f>
        <v>-373.41071499013111</v>
      </c>
      <c r="M382" s="57">
        <f>$J$382-EFEITO!$K$382*EFEITO!$Y$382</f>
        <v>0</v>
      </c>
      <c r="N382" s="57">
        <f ca="1">$K$382-EFEITO!$M$382*EFEITO!$Z$382</f>
        <v>0</v>
      </c>
      <c r="O382" s="57">
        <f>$L$382-EFEITO!$O$382*EFEITO!$AA$382</f>
        <v>0</v>
      </c>
      <c r="P382" s="40"/>
      <c r="Q382" s="40"/>
      <c r="R382" s="40"/>
      <c r="S382" s="40"/>
      <c r="T382" s="40"/>
      <c r="U382" s="40"/>
      <c r="V382" s="40"/>
      <c r="W382" s="40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6" t="s">
        <v>28</v>
      </c>
      <c r="B383" s="36" t="s">
        <v>22</v>
      </c>
      <c r="C383" s="36" t="s">
        <v>23</v>
      </c>
      <c r="D383" s="36" t="s">
        <v>24</v>
      </c>
      <c r="E383" s="36" t="s">
        <v>24</v>
      </c>
      <c r="F383" s="36" t="s">
        <v>25</v>
      </c>
      <c r="G383" s="36" t="s">
        <v>25</v>
      </c>
      <c r="H383" s="36" t="s">
        <v>25</v>
      </c>
      <c r="I383" s="56">
        <v>44713</v>
      </c>
      <c r="J383" s="57">
        <f>EFEITO!$J$383*EFEITO!$Y$383</f>
        <v>0</v>
      </c>
      <c r="K383" s="57">
        <f ca="1">EFEITO!$L$383*EFEITO!$Z$383</f>
        <v>31193.070056795845</v>
      </c>
      <c r="L383" s="57">
        <f>EFEITO!$N$383*EFEITO!$AA$383</f>
        <v>16361.938240872036</v>
      </c>
      <c r="M383" s="57">
        <f>$J$383-EFEITO!$K$383*EFEITO!$Y$383</f>
        <v>0</v>
      </c>
      <c r="N383" s="57">
        <f ca="1">$K$383-EFEITO!$M$383*EFEITO!$Z$383</f>
        <v>0</v>
      </c>
      <c r="O383" s="57">
        <f>$L$383-EFEITO!$O$383*EFEITO!$AA$383</f>
        <v>0</v>
      </c>
      <c r="P383" s="40"/>
      <c r="Q383" s="40"/>
      <c r="R383" s="40"/>
      <c r="S383" s="40"/>
      <c r="T383" s="40"/>
      <c r="U383" s="40"/>
      <c r="V383" s="40"/>
      <c r="W383" s="40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6" t="s">
        <v>21</v>
      </c>
      <c r="B384" s="36" t="s">
        <v>22</v>
      </c>
      <c r="C384" s="36" t="s">
        <v>23</v>
      </c>
      <c r="D384" s="36" t="s">
        <v>24</v>
      </c>
      <c r="E384" s="36" t="s">
        <v>24</v>
      </c>
      <c r="F384" s="36" t="s">
        <v>25</v>
      </c>
      <c r="G384" s="36" t="s">
        <v>25</v>
      </c>
      <c r="H384" s="36" t="s">
        <v>25</v>
      </c>
      <c r="I384" s="56">
        <v>44743</v>
      </c>
      <c r="J384" s="57">
        <f>EFEITO!$J$384*EFEITO!$Y$384</f>
        <v>0</v>
      </c>
      <c r="K384" s="57">
        <f ca="1">EFEITO!$L$384*EFEITO!$Z$384</f>
        <v>995107.7509253521</v>
      </c>
      <c r="L384" s="57">
        <f>EFEITO!$N$384*EFEITO!$AA$384</f>
        <v>521971.43577108224</v>
      </c>
      <c r="M384" s="57">
        <f>$J$384-EFEITO!$K$384*EFEITO!$Y$384</f>
        <v>0</v>
      </c>
      <c r="N384" s="57">
        <f ca="1">$K$384-EFEITO!$M$384*EFEITO!$Z$384</f>
        <v>0</v>
      </c>
      <c r="O384" s="57">
        <f>$L$384-EFEITO!$O$384*EFEITO!$AA$384</f>
        <v>0</v>
      </c>
      <c r="P384" s="40"/>
      <c r="Q384" s="40"/>
      <c r="R384" s="40"/>
      <c r="S384" s="40"/>
      <c r="T384" s="40"/>
      <c r="U384" s="40"/>
      <c r="V384" s="40"/>
      <c r="W384" s="40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6" t="s">
        <v>27</v>
      </c>
      <c r="B385" s="36" t="s">
        <v>22</v>
      </c>
      <c r="C385" s="36" t="s">
        <v>23</v>
      </c>
      <c r="D385" s="36" t="s">
        <v>24</v>
      </c>
      <c r="E385" s="36" t="s">
        <v>24</v>
      </c>
      <c r="F385" s="36" t="s">
        <v>25</v>
      </c>
      <c r="G385" s="36" t="s">
        <v>25</v>
      </c>
      <c r="H385" s="36" t="s">
        <v>25</v>
      </c>
      <c r="I385" s="56">
        <v>44743</v>
      </c>
      <c r="J385" s="57">
        <f>EFEITO!$J$385*EFEITO!$Y$385</f>
        <v>0</v>
      </c>
      <c r="K385" s="57">
        <f ca="1">EFEITO!$L$385*EFEITO!$Z$385</f>
        <v>959.64957166117324</v>
      </c>
      <c r="L385" s="57">
        <f>EFEITO!$N$385*EFEITO!$AA$385</f>
        <v>503.37228736414733</v>
      </c>
      <c r="M385" s="57">
        <f>$J$385-EFEITO!$K$385*EFEITO!$Y$385</f>
        <v>0</v>
      </c>
      <c r="N385" s="57">
        <f ca="1">$K$385-EFEITO!$M$385*EFEITO!$Z$385</f>
        <v>0</v>
      </c>
      <c r="O385" s="57">
        <f>$L$385-EFEITO!$O$385*EFEITO!$AA$385</f>
        <v>0</v>
      </c>
      <c r="P385" s="40"/>
      <c r="Q385" s="40"/>
      <c r="R385" s="40"/>
      <c r="S385" s="40"/>
      <c r="T385" s="40"/>
      <c r="U385" s="40"/>
      <c r="V385" s="40"/>
      <c r="W385" s="40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6" t="s">
        <v>21</v>
      </c>
      <c r="B386" s="36" t="s">
        <v>22</v>
      </c>
      <c r="C386" s="36" t="s">
        <v>23</v>
      </c>
      <c r="D386" s="36" t="s">
        <v>24</v>
      </c>
      <c r="E386" s="36" t="s">
        <v>24</v>
      </c>
      <c r="F386" s="36" t="s">
        <v>25</v>
      </c>
      <c r="G386" s="36" t="s">
        <v>25</v>
      </c>
      <c r="H386" s="36" t="s">
        <v>25</v>
      </c>
      <c r="I386" s="56">
        <v>44774</v>
      </c>
      <c r="J386" s="57">
        <f>EFEITO!$J$386*EFEITO!$Y$386</f>
        <v>0</v>
      </c>
      <c r="K386" s="57">
        <f ca="1">EFEITO!$L$386*EFEITO!$Z$386</f>
        <v>1007230.3545043365</v>
      </c>
      <c r="L386" s="57">
        <f>EFEITO!$N$386*EFEITO!$AA$386</f>
        <v>528330.19721126009</v>
      </c>
      <c r="M386" s="57">
        <f>$J$386-EFEITO!$K$386*EFEITO!$Y$386</f>
        <v>0</v>
      </c>
      <c r="N386" s="57">
        <f ca="1">$K$386-EFEITO!$M$386*EFEITO!$Z$386</f>
        <v>0</v>
      </c>
      <c r="O386" s="57">
        <f>$L$386-EFEITO!$O$386*EFEITO!$AA$386</f>
        <v>0</v>
      </c>
      <c r="P386" s="40"/>
      <c r="Q386" s="40"/>
      <c r="R386" s="40"/>
      <c r="S386" s="40"/>
      <c r="T386" s="40"/>
      <c r="U386" s="40"/>
      <c r="V386" s="40"/>
      <c r="W386" s="40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6" t="s">
        <v>28</v>
      </c>
      <c r="B387" s="36" t="s">
        <v>22</v>
      </c>
      <c r="C387" s="36" t="s">
        <v>23</v>
      </c>
      <c r="D387" s="36" t="s">
        <v>24</v>
      </c>
      <c r="E387" s="36" t="s">
        <v>24</v>
      </c>
      <c r="F387" s="36" t="s">
        <v>25</v>
      </c>
      <c r="G387" s="36" t="s">
        <v>25</v>
      </c>
      <c r="H387" s="36" t="s">
        <v>25</v>
      </c>
      <c r="I387" s="56">
        <v>44774</v>
      </c>
      <c r="J387" s="57">
        <f>EFEITO!$J$387*EFEITO!$Y$387</f>
        <v>0</v>
      </c>
      <c r="K387" s="57">
        <f ca="1">EFEITO!$L$387*EFEITO!$Z$387</f>
        <v>25616.245899542249</v>
      </c>
      <c r="L387" s="57">
        <f>EFEITO!$N$387*EFEITO!$AA$387</f>
        <v>13436.684257373639</v>
      </c>
      <c r="M387" s="57">
        <f>$J$387-EFEITO!$K$387*EFEITO!$Y$387</f>
        <v>0</v>
      </c>
      <c r="N387" s="57">
        <f ca="1">$K$387-EFEITO!$M$387*EFEITO!$Z$387</f>
        <v>0</v>
      </c>
      <c r="O387" s="57">
        <f>$L$387-EFEITO!$O$387*EFEITO!$AA$387</f>
        <v>0</v>
      </c>
      <c r="P387" s="40"/>
      <c r="Q387" s="40"/>
      <c r="R387" s="40"/>
      <c r="S387" s="40"/>
      <c r="T387" s="40"/>
      <c r="U387" s="40"/>
      <c r="V387" s="40"/>
      <c r="W387" s="40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6" t="s">
        <v>21</v>
      </c>
      <c r="B388" s="36" t="s">
        <v>22</v>
      </c>
      <c r="C388" s="36" t="s">
        <v>23</v>
      </c>
      <c r="D388" s="36" t="s">
        <v>24</v>
      </c>
      <c r="E388" s="36" t="s">
        <v>29</v>
      </c>
      <c r="F388" s="36" t="s">
        <v>25</v>
      </c>
      <c r="G388" s="36" t="s">
        <v>25</v>
      </c>
      <c r="H388" s="36" t="s">
        <v>25</v>
      </c>
      <c r="I388" s="56">
        <v>44440</v>
      </c>
      <c r="J388" s="57">
        <f>EFEITO!$J$388*EFEITO!$Y$355</f>
        <v>0</v>
      </c>
      <c r="K388" s="57">
        <f ca="1">EFEITO!$L$388*EFEITO!$Z$427</f>
        <v>3332.5269234410234</v>
      </c>
      <c r="L388" s="57">
        <f>EFEITO!$N$388*EFEITO!$AA$427</f>
        <v>2422.2884616189876</v>
      </c>
      <c r="M388" s="57">
        <f>$J$388-EFEITO!$K$388*EFEITO!$Y$388</f>
        <v>0</v>
      </c>
      <c r="N388" s="57">
        <f ca="1">$K$388-EFEITO!$M$388*EFEITO!$Z$388</f>
        <v>2166.142500236665</v>
      </c>
      <c r="O388" s="57">
        <f>$L$388-EFEITO!$O$388*EFEITO!$AA$388</f>
        <v>1574.4875000523421</v>
      </c>
      <c r="P388" s="40"/>
      <c r="Q388" s="40"/>
      <c r="R388" s="40"/>
      <c r="S388" s="40"/>
      <c r="T388" s="40"/>
      <c r="U388" s="40"/>
      <c r="V388" s="40"/>
      <c r="W388" s="40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6" t="s">
        <v>21</v>
      </c>
      <c r="B389" s="36" t="s">
        <v>22</v>
      </c>
      <c r="C389" s="36" t="s">
        <v>23</v>
      </c>
      <c r="D389" s="36" t="s">
        <v>24</v>
      </c>
      <c r="E389" s="36" t="s">
        <v>29</v>
      </c>
      <c r="F389" s="36" t="s">
        <v>25</v>
      </c>
      <c r="G389" s="36" t="s">
        <v>25</v>
      </c>
      <c r="H389" s="36" t="s">
        <v>25</v>
      </c>
      <c r="I389" s="56">
        <v>44470</v>
      </c>
      <c r="J389" s="57">
        <f>EFEITO!$J$389*EFEITO!$Y$355</f>
        <v>0</v>
      </c>
      <c r="K389" s="57">
        <f ca="1">EFEITO!$L$389*EFEITO!$Z$427</f>
        <v>3391.2868440054744</v>
      </c>
      <c r="L389" s="57">
        <f>EFEITO!$N$389*EFEITO!$AA$427</f>
        <v>2464.9988375165517</v>
      </c>
      <c r="M389" s="57">
        <f>$J$389-EFEITO!$K$389*EFEITO!$Y$389</f>
        <v>0</v>
      </c>
      <c r="N389" s="57">
        <f ca="1">$K$389-EFEITO!$M$389*EFEITO!$Z$389</f>
        <v>2204.3364486035584</v>
      </c>
      <c r="O389" s="57">
        <f>$L$389-EFEITO!$O$389*EFEITO!$AA$389</f>
        <v>1602.2492443857586</v>
      </c>
      <c r="P389" s="40"/>
      <c r="Q389" s="40"/>
      <c r="R389" s="40"/>
      <c r="S389" s="40"/>
      <c r="T389" s="40"/>
      <c r="U389" s="40"/>
      <c r="V389" s="40"/>
      <c r="W389" s="40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6" t="s">
        <v>21</v>
      </c>
      <c r="B390" s="36" t="s">
        <v>22</v>
      </c>
      <c r="C390" s="36" t="s">
        <v>23</v>
      </c>
      <c r="D390" s="36" t="s">
        <v>24</v>
      </c>
      <c r="E390" s="36" t="s">
        <v>29</v>
      </c>
      <c r="F390" s="36" t="s">
        <v>25</v>
      </c>
      <c r="G390" s="36" t="s">
        <v>25</v>
      </c>
      <c r="H390" s="36" t="s">
        <v>25</v>
      </c>
      <c r="I390" s="56">
        <v>44501</v>
      </c>
      <c r="J390" s="57">
        <f>EFEITO!$J$390*EFEITO!$Y$355</f>
        <v>0</v>
      </c>
      <c r="K390" s="57">
        <f ca="1">EFEITO!$L$390*EFEITO!$Z$427</f>
        <v>3441.6524902035762</v>
      </c>
      <c r="L390" s="57">
        <f>EFEITO!$N$390*EFEITO!$AA$427</f>
        <v>2501.6077311430354</v>
      </c>
      <c r="M390" s="57">
        <f>$J$390-EFEITO!$K$390*EFEITO!$Y$390</f>
        <v>0</v>
      </c>
      <c r="N390" s="57">
        <f ca="1">$K$390-EFEITO!$M$390*EFEITO!$Z$390</f>
        <v>2237.0741186323248</v>
      </c>
      <c r="O390" s="57">
        <f>$L$390-EFEITO!$O$390*EFEITO!$AA$390</f>
        <v>1626.0450252429732</v>
      </c>
      <c r="P390" s="40"/>
      <c r="Q390" s="40"/>
      <c r="R390" s="40"/>
      <c r="S390" s="40"/>
      <c r="T390" s="40"/>
      <c r="U390" s="40"/>
      <c r="V390" s="40"/>
      <c r="W390" s="40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6" t="s">
        <v>21</v>
      </c>
      <c r="B391" s="36" t="s">
        <v>22</v>
      </c>
      <c r="C391" s="36" t="s">
        <v>23</v>
      </c>
      <c r="D391" s="36" t="s">
        <v>24</v>
      </c>
      <c r="E391" s="36" t="s">
        <v>29</v>
      </c>
      <c r="F391" s="36" t="s">
        <v>25</v>
      </c>
      <c r="G391" s="36" t="s">
        <v>25</v>
      </c>
      <c r="H391" s="36" t="s">
        <v>25</v>
      </c>
      <c r="I391" s="56">
        <v>44531</v>
      </c>
      <c r="J391" s="57">
        <f>EFEITO!$J$391*EFEITO!$Y$355</f>
        <v>0</v>
      </c>
      <c r="K391" s="57">
        <f ca="1">EFEITO!$L$391*EFEITO!$Z$427</f>
        <v>3424.8639414708755</v>
      </c>
      <c r="L391" s="57">
        <f>EFEITO!$N$391*EFEITO!$AA$427</f>
        <v>2489.4047666008742</v>
      </c>
      <c r="M391" s="57">
        <f>$J$391-EFEITO!$K$391*EFEITO!$Y$391</f>
        <v>0</v>
      </c>
      <c r="N391" s="57">
        <f ca="1">$K$391-EFEITO!$M$391*EFEITO!$Z$391</f>
        <v>2226.1615619560689</v>
      </c>
      <c r="O391" s="57">
        <f>$L$391-EFEITO!$O$391*EFEITO!$AA$391</f>
        <v>1618.1130982905684</v>
      </c>
      <c r="P391" s="40"/>
      <c r="Q391" s="40"/>
      <c r="R391" s="40"/>
      <c r="S391" s="40"/>
      <c r="T391" s="40"/>
      <c r="U391" s="40"/>
      <c r="V391" s="40"/>
      <c r="W391" s="40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6" t="s">
        <v>21</v>
      </c>
      <c r="B392" s="36" t="s">
        <v>22</v>
      </c>
      <c r="C392" s="36" t="s">
        <v>23</v>
      </c>
      <c r="D392" s="36" t="s">
        <v>24</v>
      </c>
      <c r="E392" s="36" t="s">
        <v>29</v>
      </c>
      <c r="F392" s="36" t="s">
        <v>25</v>
      </c>
      <c r="G392" s="36" t="s">
        <v>25</v>
      </c>
      <c r="H392" s="36" t="s">
        <v>25</v>
      </c>
      <c r="I392" s="56">
        <v>44562</v>
      </c>
      <c r="J392" s="57">
        <f>EFEITO!$J$392*EFEITO!$Y$355</f>
        <v>0</v>
      </c>
      <c r="K392" s="57">
        <f ca="1">EFEITO!$L$392*EFEITO!$Z$427</f>
        <v>3727.0578186594821</v>
      </c>
      <c r="L392" s="57">
        <f>EFEITO!$N$392*EFEITO!$AA$427</f>
        <v>2709.0581283597749</v>
      </c>
      <c r="M392" s="57">
        <f>$J$392-EFEITO!$K$392*EFEITO!$Y$392</f>
        <v>0</v>
      </c>
      <c r="N392" s="57">
        <f ca="1">$K$392-EFEITO!$M$392*EFEITO!$Z$392</f>
        <v>2422.5875821286636</v>
      </c>
      <c r="O392" s="57">
        <f>$L$392-EFEITO!$O$392*EFEITO!$AA$392</f>
        <v>1760.8877834338539</v>
      </c>
      <c r="P392" s="40"/>
      <c r="Q392" s="40"/>
      <c r="R392" s="40"/>
      <c r="S392" s="40"/>
      <c r="T392" s="40"/>
      <c r="U392" s="40"/>
      <c r="V392" s="40"/>
      <c r="W392" s="40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6" t="s">
        <v>21</v>
      </c>
      <c r="B393" s="36" t="s">
        <v>22</v>
      </c>
      <c r="C393" s="36" t="s">
        <v>23</v>
      </c>
      <c r="D393" s="36" t="s">
        <v>24</v>
      </c>
      <c r="E393" s="36" t="s">
        <v>29</v>
      </c>
      <c r="F393" s="36" t="s">
        <v>25</v>
      </c>
      <c r="G393" s="36" t="s">
        <v>25</v>
      </c>
      <c r="H393" s="36" t="s">
        <v>25</v>
      </c>
      <c r="I393" s="56">
        <v>44593</v>
      </c>
      <c r="J393" s="57">
        <f>EFEITO!$J$393*EFEITO!$Y$355</f>
        <v>0</v>
      </c>
      <c r="K393" s="57">
        <f ca="1">EFEITO!$L$393*EFEITO!$Z$427</f>
        <v>4482.5425116309989</v>
      </c>
      <c r="L393" s="57">
        <f>EFEITO!$N$393*EFEITO!$AA$427</f>
        <v>3258.1915327570264</v>
      </c>
      <c r="M393" s="57">
        <f>$J$393-EFEITO!$K$393*EFEITO!$Y$393</f>
        <v>0</v>
      </c>
      <c r="N393" s="57">
        <f ca="1">$K$393-EFEITO!$M$393*EFEITO!$Z$393</f>
        <v>2913.6526325601494</v>
      </c>
      <c r="O393" s="57">
        <f>$L$393-EFEITO!$O$393*EFEITO!$AA$393</f>
        <v>2117.8244962920671</v>
      </c>
      <c r="P393" s="40"/>
      <c r="Q393" s="40"/>
      <c r="R393" s="40"/>
      <c r="S393" s="40"/>
      <c r="T393" s="40"/>
      <c r="U393" s="40"/>
      <c r="V393" s="40"/>
      <c r="W393" s="40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6" t="s">
        <v>21</v>
      </c>
      <c r="B394" s="36" t="s">
        <v>22</v>
      </c>
      <c r="C394" s="36" t="s">
        <v>23</v>
      </c>
      <c r="D394" s="36" t="s">
        <v>24</v>
      </c>
      <c r="E394" s="36" t="s">
        <v>29</v>
      </c>
      <c r="F394" s="36" t="s">
        <v>25</v>
      </c>
      <c r="G394" s="36" t="s">
        <v>25</v>
      </c>
      <c r="H394" s="36" t="s">
        <v>25</v>
      </c>
      <c r="I394" s="56">
        <v>44621</v>
      </c>
      <c r="J394" s="57">
        <f>EFEITO!$J$394*EFEITO!$Y$355</f>
        <v>0</v>
      </c>
      <c r="K394" s="57">
        <f ca="1">EFEITO!$L$394*EFEITO!$Z$427</f>
        <v>4667.216547690703</v>
      </c>
      <c r="L394" s="57">
        <f>EFEITO!$N$394*EFEITO!$AA$427</f>
        <v>3392.424142720799</v>
      </c>
      <c r="M394" s="57">
        <f>$J$394-EFEITO!$K$394*EFEITO!$Y$394</f>
        <v>0</v>
      </c>
      <c r="N394" s="57">
        <f ca="1">$K$394-EFEITO!$M$394*EFEITO!$Z$394</f>
        <v>3033.6907559989568</v>
      </c>
      <c r="O394" s="57">
        <f>$L$394-EFEITO!$O$394*EFEITO!$AA$394</f>
        <v>2205.0756927685197</v>
      </c>
      <c r="P394" s="40"/>
      <c r="Q394" s="40"/>
      <c r="R394" s="40"/>
      <c r="S394" s="40"/>
      <c r="T394" s="40"/>
      <c r="U394" s="40"/>
      <c r="V394" s="40"/>
      <c r="W394" s="40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6" t="s">
        <v>21</v>
      </c>
      <c r="B395" s="36" t="s">
        <v>22</v>
      </c>
      <c r="C395" s="36" t="s">
        <v>23</v>
      </c>
      <c r="D395" s="36" t="s">
        <v>24</v>
      </c>
      <c r="E395" s="36" t="s">
        <v>29</v>
      </c>
      <c r="F395" s="36" t="s">
        <v>25</v>
      </c>
      <c r="G395" s="36" t="s">
        <v>25</v>
      </c>
      <c r="H395" s="36" t="s">
        <v>25</v>
      </c>
      <c r="I395" s="56">
        <v>44652</v>
      </c>
      <c r="J395" s="57">
        <f>EFEITO!$J$395*EFEITO!$Y$355</f>
        <v>0</v>
      </c>
      <c r="K395" s="57">
        <f ca="1">EFEITO!$L$395*EFEITO!$Z$427</f>
        <v>4709.1879195224537</v>
      </c>
      <c r="L395" s="57">
        <f>EFEITO!$N$395*EFEITO!$AA$427</f>
        <v>3422.9315540762013</v>
      </c>
      <c r="M395" s="57">
        <f>$J$395-EFEITO!$K$395*EFEITO!$Y$395</f>
        <v>0</v>
      </c>
      <c r="N395" s="57">
        <f ca="1">$K$395-EFEITO!$M$395*EFEITO!$Z$395</f>
        <v>3060.9721476895947</v>
      </c>
      <c r="O395" s="57">
        <f>$L$395-EFEITO!$O$395*EFEITO!$AA$395</f>
        <v>2224.905510149531</v>
      </c>
      <c r="P395" s="40"/>
      <c r="Q395" s="40"/>
      <c r="R395" s="40"/>
      <c r="S395" s="40"/>
      <c r="T395" s="40"/>
      <c r="U395" s="40"/>
      <c r="V395" s="40"/>
      <c r="W395" s="40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6" t="s">
        <v>21</v>
      </c>
      <c r="B396" s="36" t="s">
        <v>22</v>
      </c>
      <c r="C396" s="36" t="s">
        <v>23</v>
      </c>
      <c r="D396" s="36" t="s">
        <v>24</v>
      </c>
      <c r="E396" s="36" t="s">
        <v>29</v>
      </c>
      <c r="F396" s="36" t="s">
        <v>25</v>
      </c>
      <c r="G396" s="36" t="s">
        <v>25</v>
      </c>
      <c r="H396" s="36" t="s">
        <v>25</v>
      </c>
      <c r="I396" s="56">
        <v>44682</v>
      </c>
      <c r="J396" s="57">
        <f>EFEITO!$J$396*EFEITO!$Y$355</f>
        <v>0</v>
      </c>
      <c r="K396" s="57">
        <f ca="1">EFEITO!$L$396*EFEITO!$Z$427</f>
        <v>4700.7936451561036</v>
      </c>
      <c r="L396" s="57">
        <f>EFEITO!$N$396*EFEITO!$AA$427</f>
        <v>3416.8300718051214</v>
      </c>
      <c r="M396" s="57">
        <f>$J$396-EFEITO!$K$396*EFEITO!$Y$396</f>
        <v>0</v>
      </c>
      <c r="N396" s="57">
        <f ca="1">$K$396-EFEITO!$M$396*EFEITO!$Z$396</f>
        <v>3055.5158693514672</v>
      </c>
      <c r="O396" s="57">
        <f>$L$396-EFEITO!$O$396*EFEITO!$AA$396</f>
        <v>2220.939546673329</v>
      </c>
      <c r="P396" s="40"/>
      <c r="Q396" s="40"/>
      <c r="R396" s="40"/>
      <c r="S396" s="40"/>
      <c r="T396" s="40"/>
      <c r="U396" s="40"/>
      <c r="V396" s="40"/>
      <c r="W396" s="40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6" t="s">
        <v>28</v>
      </c>
      <c r="B397" s="36" t="s">
        <v>22</v>
      </c>
      <c r="C397" s="36" t="s">
        <v>23</v>
      </c>
      <c r="D397" s="36" t="s">
        <v>24</v>
      </c>
      <c r="E397" s="36" t="s">
        <v>29</v>
      </c>
      <c r="F397" s="36" t="s">
        <v>25</v>
      </c>
      <c r="G397" s="36" t="s">
        <v>25</v>
      </c>
      <c r="H397" s="36" t="s">
        <v>25</v>
      </c>
      <c r="I397" s="56">
        <v>44682</v>
      </c>
      <c r="J397" s="57">
        <f>EFEITO!$J$397*EFEITO!$Y$355</f>
        <v>0</v>
      </c>
      <c r="K397" s="57">
        <f ca="1">EFEITO!$L$397*EFEITO!$Z$427</f>
        <v>8.3942743663501851</v>
      </c>
      <c r="L397" s="57">
        <f>EFEITO!$N$397*EFEITO!$AA$427</f>
        <v>6.1014822710805738</v>
      </c>
      <c r="M397" s="57">
        <f>$J$397-EFEITO!$K$397*EFEITO!$Y$397</f>
        <v>0</v>
      </c>
      <c r="N397" s="57">
        <f ca="1">$K$397-EFEITO!$M$397*EFEITO!$Z$397</f>
        <v>7.3659757564722872</v>
      </c>
      <c r="O397" s="57">
        <f>$L$397-EFEITO!$O$397*EFEITO!$AA$397</f>
        <v>5.3540506928732032</v>
      </c>
      <c r="P397" s="40"/>
      <c r="Q397" s="40"/>
      <c r="R397" s="40"/>
      <c r="S397" s="40"/>
      <c r="T397" s="40"/>
      <c r="U397" s="40"/>
      <c r="V397" s="40"/>
      <c r="W397" s="40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6" t="s">
        <v>21</v>
      </c>
      <c r="B398" s="36" t="s">
        <v>22</v>
      </c>
      <c r="C398" s="36" t="s">
        <v>23</v>
      </c>
      <c r="D398" s="36" t="s">
        <v>24</v>
      </c>
      <c r="E398" s="36" t="s">
        <v>29</v>
      </c>
      <c r="F398" s="36" t="s">
        <v>25</v>
      </c>
      <c r="G398" s="36" t="s">
        <v>25</v>
      </c>
      <c r="H398" s="36" t="s">
        <v>25</v>
      </c>
      <c r="I398" s="56">
        <v>44713</v>
      </c>
      <c r="J398" s="57">
        <f>EFEITO!$J$398*EFEITO!$Y$355</f>
        <v>0</v>
      </c>
      <c r="K398" s="57">
        <f ca="1">EFEITO!$L$398*EFEITO!$Z$427</f>
        <v>4255.897103739544</v>
      </c>
      <c r="L398" s="57">
        <f>EFEITO!$N$398*EFEITO!$AA$427</f>
        <v>3093.451511437851</v>
      </c>
      <c r="M398" s="57">
        <f>$J$398-EFEITO!$K$398*EFEITO!$Y$398</f>
        <v>0</v>
      </c>
      <c r="N398" s="57">
        <f ca="1">$K$398-EFEITO!$M$398*EFEITO!$Z$398</f>
        <v>2766.3331174307036</v>
      </c>
      <c r="O398" s="57">
        <f>$L$398-EFEITO!$O$398*EFEITO!$AA$398</f>
        <v>2010.7434824346033</v>
      </c>
      <c r="P398" s="40"/>
      <c r="Q398" s="40"/>
      <c r="R398" s="40"/>
      <c r="S398" s="40"/>
      <c r="T398" s="40"/>
      <c r="U398" s="40"/>
      <c r="V398" s="40"/>
      <c r="W398" s="40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6" t="s">
        <v>21</v>
      </c>
      <c r="B399" s="36" t="s">
        <v>22</v>
      </c>
      <c r="C399" s="36" t="s">
        <v>23</v>
      </c>
      <c r="D399" s="36" t="s">
        <v>24</v>
      </c>
      <c r="E399" s="36" t="s">
        <v>29</v>
      </c>
      <c r="F399" s="36" t="s">
        <v>25</v>
      </c>
      <c r="G399" s="36" t="s">
        <v>25</v>
      </c>
      <c r="H399" s="36" t="s">
        <v>25</v>
      </c>
      <c r="I399" s="56">
        <v>44743</v>
      </c>
      <c r="J399" s="57">
        <f>EFEITO!$J$399*EFEITO!$Y$355</f>
        <v>0</v>
      </c>
      <c r="K399" s="57">
        <f ca="1">EFEITO!$L$399*EFEITO!$Z$427</f>
        <v>4188.7429088087429</v>
      </c>
      <c r="L399" s="57">
        <f>EFEITO!$N$399*EFEITO!$AA$427</f>
        <v>3044.6396532692065</v>
      </c>
      <c r="M399" s="57">
        <f>$J$399-EFEITO!$K$399*EFEITO!$Y$399</f>
        <v>0</v>
      </c>
      <c r="N399" s="57">
        <f ca="1">$K$399-EFEITO!$M$399*EFEITO!$Z$399</f>
        <v>2722.6828907256831</v>
      </c>
      <c r="O399" s="57">
        <f>$L$399-EFEITO!$O$399*EFEITO!$AA$399</f>
        <v>1979.0157746249845</v>
      </c>
      <c r="P399" s="40"/>
      <c r="Q399" s="40"/>
      <c r="R399" s="40"/>
      <c r="S399" s="40"/>
      <c r="T399" s="40"/>
      <c r="U399" s="40"/>
      <c r="V399" s="40"/>
      <c r="W399" s="40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6" t="s">
        <v>21</v>
      </c>
      <c r="B400" s="36" t="s">
        <v>22</v>
      </c>
      <c r="C400" s="36" t="s">
        <v>23</v>
      </c>
      <c r="D400" s="36" t="s">
        <v>24</v>
      </c>
      <c r="E400" s="36" t="s">
        <v>29</v>
      </c>
      <c r="F400" s="36" t="s">
        <v>25</v>
      </c>
      <c r="G400" s="36" t="s">
        <v>25</v>
      </c>
      <c r="H400" s="36" t="s">
        <v>25</v>
      </c>
      <c r="I400" s="56">
        <v>44774</v>
      </c>
      <c r="J400" s="57">
        <f>EFEITO!$J$400*EFEITO!$Y$355</f>
        <v>0</v>
      </c>
      <c r="K400" s="57">
        <f ca="1">EFEITO!$L$400*EFEITO!$Z$427</f>
        <v>4532.9081578290998</v>
      </c>
      <c r="L400" s="57">
        <f>EFEITO!$N$400*EFEITO!$AA$427</f>
        <v>3294.8004263835096</v>
      </c>
      <c r="M400" s="57">
        <f>$J$400-EFEITO!$K$400*EFEITO!$Y$400</f>
        <v>0</v>
      </c>
      <c r="N400" s="57">
        <f ca="1">$K$400-EFEITO!$M$400*EFEITO!$Z$400</f>
        <v>2946.3903025889149</v>
      </c>
      <c r="O400" s="57">
        <f>$L$400-EFEITO!$O$400*EFEITO!$AA$400</f>
        <v>2141.6202771492817</v>
      </c>
      <c r="P400" s="40"/>
      <c r="Q400" s="40"/>
      <c r="R400" s="40"/>
      <c r="S400" s="40"/>
      <c r="T400" s="40"/>
      <c r="U400" s="40"/>
      <c r="V400" s="40"/>
      <c r="W400" s="40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6" t="s">
        <v>21</v>
      </c>
      <c r="B401" s="36" t="s">
        <v>22</v>
      </c>
      <c r="C401" s="36" t="s">
        <v>23</v>
      </c>
      <c r="D401" s="36" t="s">
        <v>24</v>
      </c>
      <c r="E401" s="36" t="s">
        <v>30</v>
      </c>
      <c r="F401" s="36" t="s">
        <v>25</v>
      </c>
      <c r="G401" s="36" t="s">
        <v>25</v>
      </c>
      <c r="H401" s="36" t="s">
        <v>25</v>
      </c>
      <c r="I401" s="56">
        <v>44440</v>
      </c>
      <c r="J401" s="57">
        <f>EFEITO!$J$401*EFEITO!$Y$355</f>
        <v>0</v>
      </c>
      <c r="K401" s="57">
        <f ca="1">EFEITO!$L$401*EFEITO!$Z$427</f>
        <v>7139.3303485808328</v>
      </c>
      <c r="L401" s="57">
        <f>EFEITO!$N$401*EFEITO!$AA$427</f>
        <v>5189.310671554028</v>
      </c>
      <c r="M401" s="57">
        <f>$J$401-EFEITO!$K$401*EFEITO!$Y$401</f>
        <v>0</v>
      </c>
      <c r="N401" s="57">
        <f ca="1">$K$401-EFEITO!$M$401*EFEITO!$Z$401</f>
        <v>2855.7321394323335</v>
      </c>
      <c r="O401" s="57">
        <f>$L$401-EFEITO!$O$401*EFEITO!$AA$401</f>
        <v>2075.7242686216114</v>
      </c>
      <c r="P401" s="40"/>
      <c r="Q401" s="40"/>
      <c r="R401" s="40"/>
      <c r="S401" s="40"/>
      <c r="T401" s="40"/>
      <c r="U401" s="40"/>
      <c r="V401" s="40"/>
      <c r="W401" s="40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6" t="s">
        <v>21</v>
      </c>
      <c r="B402" s="36" t="s">
        <v>22</v>
      </c>
      <c r="C402" s="36" t="s">
        <v>23</v>
      </c>
      <c r="D402" s="36" t="s">
        <v>24</v>
      </c>
      <c r="E402" s="36" t="s">
        <v>30</v>
      </c>
      <c r="F402" s="36" t="s">
        <v>25</v>
      </c>
      <c r="G402" s="36" t="s">
        <v>25</v>
      </c>
      <c r="H402" s="36" t="s">
        <v>25</v>
      </c>
      <c r="I402" s="56">
        <v>44470</v>
      </c>
      <c r="J402" s="57">
        <f>EFEITO!$J$402*EFEITO!$Y$355</f>
        <v>0</v>
      </c>
      <c r="K402" s="57">
        <f ca="1">EFEITO!$L$402*EFEITO!$Z$427</f>
        <v>7245.9376330334799</v>
      </c>
      <c r="L402" s="57">
        <f>EFEITO!$N$402*EFEITO!$AA$427</f>
        <v>5266.7994963967512</v>
      </c>
      <c r="M402" s="57">
        <f>$J$402-EFEITO!$K$402*EFEITO!$Y$402</f>
        <v>0</v>
      </c>
      <c r="N402" s="57">
        <f ca="1">$K$402-EFEITO!$M$402*EFEITO!$Z$402</f>
        <v>2898.3750532133927</v>
      </c>
      <c r="O402" s="57">
        <f>$L$402-EFEITO!$O$402*EFEITO!$AA$402</f>
        <v>2106.7197985587009</v>
      </c>
      <c r="P402" s="40"/>
      <c r="Q402" s="40"/>
      <c r="R402" s="40"/>
      <c r="S402" s="40"/>
      <c r="T402" s="40"/>
      <c r="U402" s="40"/>
      <c r="V402" s="40"/>
      <c r="W402" s="40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6" t="s">
        <v>21</v>
      </c>
      <c r="B403" s="36" t="s">
        <v>22</v>
      </c>
      <c r="C403" s="36" t="s">
        <v>23</v>
      </c>
      <c r="D403" s="36" t="s">
        <v>24</v>
      </c>
      <c r="E403" s="36" t="s">
        <v>30</v>
      </c>
      <c r="F403" s="36" t="s">
        <v>25</v>
      </c>
      <c r="G403" s="36" t="s">
        <v>25</v>
      </c>
      <c r="H403" s="36" t="s">
        <v>25</v>
      </c>
      <c r="I403" s="56">
        <v>44501</v>
      </c>
      <c r="J403" s="57">
        <f>EFEITO!$J$403*EFEITO!$Y$355</f>
        <v>0</v>
      </c>
      <c r="K403" s="57">
        <f ca="1">EFEITO!$L$403*EFEITO!$Z$427</f>
        <v>7481.5369335823752</v>
      </c>
      <c r="L403" s="57">
        <f>EFEITO!$N$403*EFEITO!$AA$427</f>
        <v>5438.0477654717461</v>
      </c>
      <c r="M403" s="57">
        <f>$J$403-EFEITO!$K$403*EFEITO!$Y$403</f>
        <v>0</v>
      </c>
      <c r="N403" s="57">
        <f ca="1">$K$403-EFEITO!$M$403*EFEITO!$Z$403</f>
        <v>2992.6147734329506</v>
      </c>
      <c r="O403" s="57">
        <f>$L$403-EFEITO!$O$403*EFEITO!$AA$403</f>
        <v>2175.2191061886988</v>
      </c>
      <c r="P403" s="40"/>
      <c r="Q403" s="40"/>
      <c r="R403" s="40"/>
      <c r="S403" s="40"/>
      <c r="T403" s="40"/>
      <c r="U403" s="40"/>
      <c r="V403" s="40"/>
      <c r="W403" s="40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6" t="s">
        <v>21</v>
      </c>
      <c r="B404" s="36" t="s">
        <v>22</v>
      </c>
      <c r="C404" s="36" t="s">
        <v>23</v>
      </c>
      <c r="D404" s="36" t="s">
        <v>24</v>
      </c>
      <c r="E404" s="36" t="s">
        <v>30</v>
      </c>
      <c r="F404" s="36" t="s">
        <v>25</v>
      </c>
      <c r="G404" s="36" t="s">
        <v>25</v>
      </c>
      <c r="H404" s="36" t="s">
        <v>25</v>
      </c>
      <c r="I404" s="56">
        <v>44531</v>
      </c>
      <c r="J404" s="57">
        <f>EFEITO!$J$404*EFEITO!$Y$355</f>
        <v>0</v>
      </c>
      <c r="K404" s="57">
        <f ca="1">EFEITO!$L$404*EFEITO!$Z$427</f>
        <v>7512.595748737871</v>
      </c>
      <c r="L404" s="57">
        <f>EFEITO!$N$404*EFEITO!$AA$427</f>
        <v>5460.623249874744</v>
      </c>
      <c r="M404" s="57">
        <f>$J$404-EFEITO!$K$404*EFEITO!$Y$404</f>
        <v>0</v>
      </c>
      <c r="N404" s="57">
        <f ca="1">$K$404-EFEITO!$M$404*EFEITO!$Z$404</f>
        <v>3005.0382994951487</v>
      </c>
      <c r="O404" s="57">
        <f>$L$404-EFEITO!$O$404*EFEITO!$AA$404</f>
        <v>2184.2492999498977</v>
      </c>
      <c r="P404" s="40"/>
      <c r="Q404" s="40"/>
      <c r="R404" s="40"/>
      <c r="S404" s="40"/>
      <c r="T404" s="40"/>
      <c r="U404" s="40"/>
      <c r="V404" s="40"/>
      <c r="W404" s="40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6" t="s">
        <v>21</v>
      </c>
      <c r="B405" s="36" t="s">
        <v>22</v>
      </c>
      <c r="C405" s="36" t="s">
        <v>23</v>
      </c>
      <c r="D405" s="36" t="s">
        <v>24</v>
      </c>
      <c r="E405" s="36" t="s">
        <v>30</v>
      </c>
      <c r="F405" s="36" t="s">
        <v>25</v>
      </c>
      <c r="G405" s="36" t="s">
        <v>25</v>
      </c>
      <c r="H405" s="36" t="s">
        <v>25</v>
      </c>
      <c r="I405" s="56">
        <v>44562</v>
      </c>
      <c r="J405" s="57">
        <f>EFEITO!$J$405*EFEITO!$Y$355</f>
        <v>0</v>
      </c>
      <c r="K405" s="57">
        <f ca="1">EFEITO!$L$405*EFEITO!$Z$427</f>
        <v>8307.2537220856884</v>
      </c>
      <c r="L405" s="57">
        <f>EFEITO!$N$405*EFEITO!$AA$427</f>
        <v>6038.2302382037051</v>
      </c>
      <c r="M405" s="57">
        <f>$J$405-EFEITO!$K$405*EFEITO!$Y$405</f>
        <v>0</v>
      </c>
      <c r="N405" s="57">
        <f ca="1">$K$405-EFEITO!$M$405*EFEITO!$Z$405</f>
        <v>3322.9014888342763</v>
      </c>
      <c r="O405" s="57">
        <f>$L$405-EFEITO!$O$405*EFEITO!$AA$405</f>
        <v>2415.2920952814825</v>
      </c>
      <c r="P405" s="40"/>
      <c r="Q405" s="40"/>
      <c r="R405" s="40"/>
      <c r="S405" s="40"/>
      <c r="T405" s="40"/>
      <c r="U405" s="40"/>
      <c r="V405" s="40"/>
      <c r="W405" s="40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6" t="s">
        <v>21</v>
      </c>
      <c r="B406" s="36" t="s">
        <v>22</v>
      </c>
      <c r="C406" s="36" t="s">
        <v>23</v>
      </c>
      <c r="D406" s="36" t="s">
        <v>24</v>
      </c>
      <c r="E406" s="36" t="s">
        <v>30</v>
      </c>
      <c r="F406" s="36" t="s">
        <v>25</v>
      </c>
      <c r="G406" s="36" t="s">
        <v>25</v>
      </c>
      <c r="H406" s="36" t="s">
        <v>25</v>
      </c>
      <c r="I406" s="56">
        <v>44593</v>
      </c>
      <c r="J406" s="57">
        <f>EFEITO!$J$406*EFEITO!$Y$355</f>
        <v>0</v>
      </c>
      <c r="K406" s="57">
        <f ca="1">EFEITO!$L$406*EFEITO!$Z$427</f>
        <v>10032.556913516195</v>
      </c>
      <c r="L406" s="57">
        <f>EFEITO!$N$406*EFEITO!$AA$427</f>
        <v>7292.2882276531318</v>
      </c>
      <c r="M406" s="57">
        <f>$J$406-EFEITO!$K$406*EFEITO!$Y$406</f>
        <v>0</v>
      </c>
      <c r="N406" s="57">
        <f ca="1">$K$406-EFEITO!$M$406*EFEITO!$Z$406</f>
        <v>4013.0227654064784</v>
      </c>
      <c r="O406" s="57">
        <f>$L$406-EFEITO!$O$406*EFEITO!$AA$406</f>
        <v>2916.9152910612529</v>
      </c>
      <c r="P406" s="40"/>
      <c r="Q406" s="40"/>
      <c r="R406" s="40"/>
      <c r="S406" s="40"/>
      <c r="T406" s="40"/>
      <c r="U406" s="40"/>
      <c r="V406" s="40"/>
      <c r="W406" s="40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6" t="s">
        <v>21</v>
      </c>
      <c r="B407" s="36" t="s">
        <v>22</v>
      </c>
      <c r="C407" s="36" t="s">
        <v>23</v>
      </c>
      <c r="D407" s="36" t="s">
        <v>24</v>
      </c>
      <c r="E407" s="36" t="s">
        <v>30</v>
      </c>
      <c r="F407" s="36" t="s">
        <v>25</v>
      </c>
      <c r="G407" s="36" t="s">
        <v>25</v>
      </c>
      <c r="H407" s="36" t="s">
        <v>25</v>
      </c>
      <c r="I407" s="56">
        <v>44621</v>
      </c>
      <c r="J407" s="57">
        <f>EFEITO!$J$407*EFEITO!$Y$355</f>
        <v>0</v>
      </c>
      <c r="K407" s="57">
        <f ca="1">EFEITO!$L$407*EFEITO!$Z$427</f>
        <v>10411.978114875224</v>
      </c>
      <c r="L407" s="57">
        <f>EFEITO!$N$407*EFEITO!$AA$427</f>
        <v>7568.075226305974</v>
      </c>
      <c r="M407" s="57">
        <f>$J$407-EFEITO!$K$407*EFEITO!$Y$407</f>
        <v>0</v>
      </c>
      <c r="N407" s="57">
        <f ca="1">$K$407-EFEITO!$M$407*EFEITO!$Z$407</f>
        <v>4164.7912459500903</v>
      </c>
      <c r="O407" s="57">
        <f>$L$407-EFEITO!$O$407*EFEITO!$AA$407</f>
        <v>3027.2300905223901</v>
      </c>
      <c r="P407" s="40"/>
      <c r="Q407" s="40"/>
      <c r="R407" s="40"/>
      <c r="S407" s="40"/>
      <c r="T407" s="40"/>
      <c r="U407" s="40"/>
      <c r="V407" s="40"/>
      <c r="W407" s="40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6" t="s">
        <v>21</v>
      </c>
      <c r="B408" s="36" t="s">
        <v>22</v>
      </c>
      <c r="C408" s="36" t="s">
        <v>23</v>
      </c>
      <c r="D408" s="36" t="s">
        <v>24</v>
      </c>
      <c r="E408" s="36" t="s">
        <v>30</v>
      </c>
      <c r="F408" s="36" t="s">
        <v>25</v>
      </c>
      <c r="G408" s="36" t="s">
        <v>25</v>
      </c>
      <c r="H408" s="36" t="s">
        <v>25</v>
      </c>
      <c r="I408" s="56">
        <v>44652</v>
      </c>
      <c r="J408" s="57">
        <f>EFEITO!$J$408*EFEITO!$Y$355</f>
        <v>0</v>
      </c>
      <c r="K408" s="57">
        <f ca="1">EFEITO!$L$408*EFEITO!$Z$427</f>
        <v>10285.224571943338</v>
      </c>
      <c r="L408" s="57">
        <f>EFEITO!$N$408*EFEITO!$AA$427</f>
        <v>7475.9428440126585</v>
      </c>
      <c r="M408" s="57">
        <f>$J$408-EFEITO!$K$408*EFEITO!$Y$408</f>
        <v>0</v>
      </c>
      <c r="N408" s="57">
        <f ca="1">$K$408-EFEITO!$M$408*EFEITO!$Z$408</f>
        <v>4114.0898287773352</v>
      </c>
      <c r="O408" s="57">
        <f>$L$408-EFEITO!$O$408*EFEITO!$AA$408</f>
        <v>2990.3771376050636</v>
      </c>
      <c r="P408" s="40"/>
      <c r="Q408" s="40"/>
      <c r="R408" s="40"/>
      <c r="S408" s="40"/>
      <c r="T408" s="40"/>
      <c r="U408" s="40"/>
      <c r="V408" s="40"/>
      <c r="W408" s="40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6" t="s">
        <v>21</v>
      </c>
      <c r="B409" s="36" t="s">
        <v>22</v>
      </c>
      <c r="C409" s="36" t="s">
        <v>23</v>
      </c>
      <c r="D409" s="36" t="s">
        <v>24</v>
      </c>
      <c r="E409" s="36" t="s">
        <v>30</v>
      </c>
      <c r="F409" s="36" t="s">
        <v>25</v>
      </c>
      <c r="G409" s="36" t="s">
        <v>25</v>
      </c>
      <c r="H409" s="36" t="s">
        <v>25</v>
      </c>
      <c r="I409" s="56">
        <v>44682</v>
      </c>
      <c r="J409" s="57">
        <f>EFEITO!$J$409*EFEITO!$Y$355</f>
        <v>0</v>
      </c>
      <c r="K409" s="57">
        <f ca="1">EFEITO!$L$409*EFEITO!$Z$427</f>
        <v>10094.954352972734</v>
      </c>
      <c r="L409" s="57">
        <f>EFEITO!$N$409*EFEITO!$AA$427</f>
        <v>7337.6425792014988</v>
      </c>
      <c r="M409" s="57">
        <f>$J$409-EFEITO!$K$409*EFEITO!$Y$409</f>
        <v>0</v>
      </c>
      <c r="N409" s="57">
        <f ca="1">$K$409-EFEITO!$M$409*EFEITO!$Z$409</f>
        <v>4037.9817411890945</v>
      </c>
      <c r="O409" s="57">
        <f>$L$409-EFEITO!$O$409*EFEITO!$AA$409</f>
        <v>2935.0570316805997</v>
      </c>
      <c r="P409" s="40"/>
      <c r="Q409" s="40"/>
      <c r="R409" s="40"/>
      <c r="S409" s="40"/>
      <c r="T409" s="40"/>
      <c r="U409" s="40"/>
      <c r="V409" s="40"/>
      <c r="W409" s="40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6" t="s">
        <v>28</v>
      </c>
      <c r="B410" s="36" t="s">
        <v>22</v>
      </c>
      <c r="C410" s="36" t="s">
        <v>23</v>
      </c>
      <c r="D410" s="36" t="s">
        <v>24</v>
      </c>
      <c r="E410" s="36" t="s">
        <v>30</v>
      </c>
      <c r="F410" s="36" t="s">
        <v>25</v>
      </c>
      <c r="G410" s="36" t="s">
        <v>25</v>
      </c>
      <c r="H410" s="36" t="s">
        <v>25</v>
      </c>
      <c r="I410" s="56">
        <v>44682</v>
      </c>
      <c r="J410" s="57">
        <f>EFEITO!$J$410*EFEITO!$Y$355</f>
        <v>0</v>
      </c>
      <c r="K410" s="57">
        <f ca="1">EFEITO!$L$410*EFEITO!$Z$427</f>
        <v>19.586640188150433</v>
      </c>
      <c r="L410" s="57">
        <f>EFEITO!$N$410*EFEITO!$AA$427</f>
        <v>14.236791965854673</v>
      </c>
      <c r="M410" s="57">
        <f>$J$410-EFEITO!$K$410*EFEITO!$Y$410</f>
        <v>0</v>
      </c>
      <c r="N410" s="57">
        <f ca="1">$K$410-EFEITO!$M$410*EFEITO!$Z$410</f>
        <v>12.535449720416278</v>
      </c>
      <c r="O410" s="57">
        <f>$L$410-EFEITO!$O$410*EFEITO!$AA$410</f>
        <v>9.1115468581469905</v>
      </c>
      <c r="P410" s="40"/>
      <c r="Q410" s="40"/>
      <c r="R410" s="40"/>
      <c r="S410" s="40"/>
      <c r="T410" s="40"/>
      <c r="U410" s="40"/>
      <c r="V410" s="40"/>
      <c r="W410" s="40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6" t="s">
        <v>21</v>
      </c>
      <c r="B411" s="36" t="s">
        <v>22</v>
      </c>
      <c r="C411" s="36" t="s">
        <v>23</v>
      </c>
      <c r="D411" s="36" t="s">
        <v>24</v>
      </c>
      <c r="E411" s="36" t="s">
        <v>30</v>
      </c>
      <c r="F411" s="36" t="s">
        <v>25</v>
      </c>
      <c r="G411" s="36" t="s">
        <v>25</v>
      </c>
      <c r="H411" s="36" t="s">
        <v>25</v>
      </c>
      <c r="I411" s="56">
        <v>44713</v>
      </c>
      <c r="J411" s="57">
        <f>EFEITO!$J$411*EFEITO!$Y$355</f>
        <v>0</v>
      </c>
      <c r="K411" s="57">
        <f ca="1">EFEITO!$L$411*EFEITO!$Z$427</f>
        <v>9134.0897471711814</v>
      </c>
      <c r="L411" s="57">
        <f>EFEITO!$N$411*EFEITO!$AA$427</f>
        <v>6639.2262419051413</v>
      </c>
      <c r="M411" s="57">
        <f>$J$411-EFEITO!$K$411*EFEITO!$Y$411</f>
        <v>0</v>
      </c>
      <c r="N411" s="57">
        <f ca="1">$K$411-EFEITO!$M$411*EFEITO!$Z$411</f>
        <v>3653.6358988684733</v>
      </c>
      <c r="O411" s="57">
        <f>$L$411-EFEITO!$O$411*EFEITO!$AA$411</f>
        <v>2655.6904967620567</v>
      </c>
      <c r="P411" s="40"/>
      <c r="Q411" s="40"/>
      <c r="R411" s="40"/>
      <c r="S411" s="40"/>
      <c r="T411" s="40"/>
      <c r="U411" s="40"/>
      <c r="V411" s="40"/>
      <c r="W411" s="40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6" t="s">
        <v>21</v>
      </c>
      <c r="B412" s="36" t="s">
        <v>22</v>
      </c>
      <c r="C412" s="36" t="s">
        <v>23</v>
      </c>
      <c r="D412" s="36" t="s">
        <v>24</v>
      </c>
      <c r="E412" s="36" t="s">
        <v>30</v>
      </c>
      <c r="F412" s="36" t="s">
        <v>25</v>
      </c>
      <c r="G412" s="36" t="s">
        <v>25</v>
      </c>
      <c r="H412" s="36" t="s">
        <v>25</v>
      </c>
      <c r="I412" s="56">
        <v>44743</v>
      </c>
      <c r="J412" s="57">
        <f>EFEITO!$J$412*EFEITO!$Y$355</f>
        <v>0</v>
      </c>
      <c r="K412" s="57">
        <f ca="1">EFEITO!$L$412*EFEITO!$Z$427</f>
        <v>8961.7273135154574</v>
      </c>
      <c r="L412" s="57">
        <f>EFEITO!$N$412*EFEITO!$AA$427</f>
        <v>6513.9424726056204</v>
      </c>
      <c r="M412" s="57">
        <f>$J$412-EFEITO!$K$412*EFEITO!$Y$412</f>
        <v>0</v>
      </c>
      <c r="N412" s="57">
        <f ca="1">$K$412-EFEITO!$M$412*EFEITO!$Z$412</f>
        <v>3584.6909254061839</v>
      </c>
      <c r="O412" s="57">
        <f>$L$412-EFEITO!$O$412*EFEITO!$AA$412</f>
        <v>2605.5769890422484</v>
      </c>
      <c r="P412" s="40"/>
      <c r="Q412" s="40"/>
      <c r="R412" s="40"/>
      <c r="S412" s="40"/>
      <c r="T412" s="40"/>
      <c r="U412" s="40"/>
      <c r="V412" s="40"/>
      <c r="W412" s="40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6" t="s">
        <v>21</v>
      </c>
      <c r="B413" s="36" t="s">
        <v>22</v>
      </c>
      <c r="C413" s="36" t="s">
        <v>23</v>
      </c>
      <c r="D413" s="36" t="s">
        <v>24</v>
      </c>
      <c r="E413" s="36" t="s">
        <v>30</v>
      </c>
      <c r="F413" s="36" t="s">
        <v>25</v>
      </c>
      <c r="G413" s="36" t="s">
        <v>25</v>
      </c>
      <c r="H413" s="36" t="s">
        <v>25</v>
      </c>
      <c r="I413" s="56">
        <v>44774</v>
      </c>
      <c r="J413" s="57">
        <f>EFEITO!$J$413*EFEITO!$Y$355</f>
        <v>0</v>
      </c>
      <c r="K413" s="57">
        <f ca="1">EFEITO!$L$413*EFEITO!$Z$427</f>
        <v>10249.409001313577</v>
      </c>
      <c r="L413" s="57">
        <f>EFEITO!$N$413*EFEITO!$AA$427</f>
        <v>7449.9098529893809</v>
      </c>
      <c r="M413" s="57">
        <f>$J$413-EFEITO!$K$413*EFEITO!$Y$413</f>
        <v>0</v>
      </c>
      <c r="N413" s="57">
        <f ca="1">$K$413-EFEITO!$M$413*EFEITO!$Z$413</f>
        <v>4099.7636005254317</v>
      </c>
      <c r="O413" s="57">
        <f>$L$413-EFEITO!$O$413*EFEITO!$AA$413</f>
        <v>2979.9639411957523</v>
      </c>
      <c r="P413" s="40"/>
      <c r="Q413" s="40"/>
      <c r="R413" s="40"/>
      <c r="S413" s="40"/>
      <c r="T413" s="40"/>
      <c r="U413" s="40"/>
      <c r="V413" s="40"/>
      <c r="W413" s="40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6" t="s">
        <v>21</v>
      </c>
      <c r="B414" s="36" t="s">
        <v>22</v>
      </c>
      <c r="C414" s="36" t="s">
        <v>23</v>
      </c>
      <c r="D414" s="36" t="s">
        <v>24</v>
      </c>
      <c r="E414" s="36" t="s">
        <v>31</v>
      </c>
      <c r="F414" s="36" t="s">
        <v>25</v>
      </c>
      <c r="G414" s="36" t="s">
        <v>25</v>
      </c>
      <c r="H414" s="36" t="s">
        <v>25</v>
      </c>
      <c r="I414" s="56">
        <v>44440</v>
      </c>
      <c r="J414" s="57">
        <f>EFEITO!$J$414*EFEITO!$Y$355</f>
        <v>0</v>
      </c>
      <c r="K414" s="57">
        <f ca="1">EFEITO!$L$414*EFEITO!$Z$427</f>
        <v>8598.2552334524953</v>
      </c>
      <c r="L414" s="57">
        <f>EFEITO!$N$414*EFEITO!$AA$427</f>
        <v>6249.7482902678312</v>
      </c>
      <c r="M414" s="57">
        <f>$J$414-EFEITO!$K$414*EFEITO!$Y$414</f>
        <v>0</v>
      </c>
      <c r="N414" s="57">
        <f ca="1">$K$414-EFEITO!$M$414*EFEITO!$Z$414</f>
        <v>859.82552334525008</v>
      </c>
      <c r="O414" s="57">
        <f>$L$414-EFEITO!$O$414*EFEITO!$AA$414</f>
        <v>624.97482902678257</v>
      </c>
      <c r="P414" s="40"/>
      <c r="Q414" s="40"/>
      <c r="R414" s="40"/>
      <c r="S414" s="40"/>
      <c r="T414" s="40"/>
      <c r="U414" s="40"/>
      <c r="V414" s="40"/>
      <c r="W414" s="40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6" t="s">
        <v>21</v>
      </c>
      <c r="B415" s="36" t="s">
        <v>22</v>
      </c>
      <c r="C415" s="36" t="s">
        <v>23</v>
      </c>
      <c r="D415" s="36" t="s">
        <v>24</v>
      </c>
      <c r="E415" s="36" t="s">
        <v>31</v>
      </c>
      <c r="F415" s="36" t="s">
        <v>25</v>
      </c>
      <c r="G415" s="36" t="s">
        <v>25</v>
      </c>
      <c r="H415" s="36" t="s">
        <v>25</v>
      </c>
      <c r="I415" s="56">
        <v>44470</v>
      </c>
      <c r="J415" s="57">
        <f>EFEITO!$J$415*EFEITO!$Y$355</f>
        <v>0</v>
      </c>
      <c r="K415" s="57">
        <f ca="1">EFEITO!$L$415*EFEITO!$Z$427</f>
        <v>8730.0453410041919</v>
      </c>
      <c r="L415" s="57">
        <f>EFEITO!$N$415*EFEITO!$AA$427</f>
        <v>6345.5415619237965</v>
      </c>
      <c r="M415" s="57">
        <f>$J$415-EFEITO!$K$415*EFEITO!$Y$415</f>
        <v>0</v>
      </c>
      <c r="N415" s="57">
        <f ca="1">$K$415-EFEITO!$M$415*EFEITO!$Z$415</f>
        <v>873.00453410041791</v>
      </c>
      <c r="O415" s="57">
        <f>$L$415-EFEITO!$O$415*EFEITO!$AA$415</f>
        <v>634.5541561923792</v>
      </c>
      <c r="P415" s="40"/>
      <c r="Q415" s="40"/>
      <c r="R415" s="40"/>
      <c r="S415" s="40"/>
      <c r="T415" s="40"/>
      <c r="U415" s="40"/>
      <c r="V415" s="40"/>
      <c r="W415" s="40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6" t="s">
        <v>21</v>
      </c>
      <c r="B416" s="36" t="s">
        <v>22</v>
      </c>
      <c r="C416" s="36" t="s">
        <v>23</v>
      </c>
      <c r="D416" s="36" t="s">
        <v>24</v>
      </c>
      <c r="E416" s="36" t="s">
        <v>31</v>
      </c>
      <c r="F416" s="36" t="s">
        <v>25</v>
      </c>
      <c r="G416" s="36" t="s">
        <v>25</v>
      </c>
      <c r="H416" s="36" t="s">
        <v>25</v>
      </c>
      <c r="I416" s="56">
        <v>44501</v>
      </c>
      <c r="J416" s="57">
        <f>EFEITO!$J$416*EFEITO!$Y$355</f>
        <v>0</v>
      </c>
      <c r="K416" s="57">
        <f ca="1">EFEITO!$L$416*EFEITO!$Z$427</f>
        <v>9110.0261606543118</v>
      </c>
      <c r="L416" s="57">
        <f>EFEITO!$N$416*EFEITO!$AA$427</f>
        <v>6621.7353260613772</v>
      </c>
      <c r="M416" s="57">
        <f>$J$416-EFEITO!$K$416*EFEITO!$Y$416</f>
        <v>0</v>
      </c>
      <c r="N416" s="57">
        <f ca="1">$K$416-EFEITO!$M$416*EFEITO!$Z$416</f>
        <v>911.00261606543063</v>
      </c>
      <c r="O416" s="57">
        <f>$L$416-EFEITO!$O$416*EFEITO!$AA$416</f>
        <v>662.17353260613709</v>
      </c>
      <c r="P416" s="40"/>
      <c r="Q416" s="40"/>
      <c r="R416" s="40"/>
      <c r="S416" s="40"/>
      <c r="T416" s="40"/>
      <c r="U416" s="40"/>
      <c r="V416" s="40"/>
      <c r="W416" s="40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6" t="s">
        <v>21</v>
      </c>
      <c r="B417" s="36" t="s">
        <v>22</v>
      </c>
      <c r="C417" s="36" t="s">
        <v>23</v>
      </c>
      <c r="D417" s="36" t="s">
        <v>24</v>
      </c>
      <c r="E417" s="36" t="s">
        <v>31</v>
      </c>
      <c r="F417" s="36" t="s">
        <v>25</v>
      </c>
      <c r="G417" s="36" t="s">
        <v>25</v>
      </c>
      <c r="H417" s="36" t="s">
        <v>25</v>
      </c>
      <c r="I417" s="56">
        <v>44531</v>
      </c>
      <c r="J417" s="57">
        <f>EFEITO!$J$417*EFEITO!$Y$355</f>
        <v>0</v>
      </c>
      <c r="K417" s="57">
        <f ca="1">EFEITO!$L$417*EFEITO!$Z$427</f>
        <v>9282.6684034555783</v>
      </c>
      <c r="L417" s="57">
        <f>EFEITO!$N$417*EFEITO!$AA$427</f>
        <v>6747.2224781032673</v>
      </c>
      <c r="M417" s="57">
        <f>$J$417-EFEITO!$K$417*EFEITO!$Y$417</f>
        <v>0</v>
      </c>
      <c r="N417" s="57">
        <f ca="1">$K$417-EFEITO!$M$417*EFEITO!$Z$417</f>
        <v>928.26684034555728</v>
      </c>
      <c r="O417" s="57">
        <f>$L$417-EFEITO!$O$417*EFEITO!$AA$417</f>
        <v>674.72224781032673</v>
      </c>
      <c r="P417" s="40"/>
      <c r="Q417" s="40"/>
      <c r="R417" s="40"/>
      <c r="S417" s="40"/>
      <c r="T417" s="40"/>
      <c r="U417" s="40"/>
      <c r="V417" s="40"/>
      <c r="W417" s="40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6" t="s">
        <v>21</v>
      </c>
      <c r="B418" s="36" t="s">
        <v>22</v>
      </c>
      <c r="C418" s="36" t="s">
        <v>23</v>
      </c>
      <c r="D418" s="36" t="s">
        <v>24</v>
      </c>
      <c r="E418" s="36" t="s">
        <v>31</v>
      </c>
      <c r="F418" s="36" t="s">
        <v>25</v>
      </c>
      <c r="G418" s="36" t="s">
        <v>25</v>
      </c>
      <c r="H418" s="36" t="s">
        <v>25</v>
      </c>
      <c r="I418" s="56">
        <v>44562</v>
      </c>
      <c r="J418" s="57">
        <f>EFEITO!$J$418*EFEITO!$Y$355</f>
        <v>0</v>
      </c>
      <c r="K418" s="57">
        <f ca="1">EFEITO!$L$418*EFEITO!$Z$427</f>
        <v>11227.901583284463</v>
      </c>
      <c r="L418" s="57">
        <f>EFEITO!$N$418*EFEITO!$AA$427</f>
        <v>8161.1393030550062</v>
      </c>
      <c r="M418" s="57">
        <f>$J$418-EFEITO!$K$418*EFEITO!$Y$418</f>
        <v>0</v>
      </c>
      <c r="N418" s="57">
        <f ca="1">$K$418-EFEITO!$M$418*EFEITO!$Z$418</f>
        <v>1122.7901583284456</v>
      </c>
      <c r="O418" s="57">
        <f>$L$418-EFEITO!$O$418*EFEITO!$AA$418</f>
        <v>816.11393030549971</v>
      </c>
      <c r="P418" s="40"/>
      <c r="Q418" s="40"/>
      <c r="R418" s="40"/>
      <c r="S418" s="40"/>
      <c r="T418" s="40"/>
      <c r="U418" s="40"/>
      <c r="V418" s="40"/>
      <c r="W418" s="40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6" t="s">
        <v>21</v>
      </c>
      <c r="B419" s="36" t="s">
        <v>22</v>
      </c>
      <c r="C419" s="36" t="s">
        <v>23</v>
      </c>
      <c r="D419" s="36" t="s">
        <v>24</v>
      </c>
      <c r="E419" s="36" t="s">
        <v>31</v>
      </c>
      <c r="F419" s="36" t="s">
        <v>25</v>
      </c>
      <c r="G419" s="36" t="s">
        <v>25</v>
      </c>
      <c r="H419" s="36" t="s">
        <v>25</v>
      </c>
      <c r="I419" s="56">
        <v>44593</v>
      </c>
      <c r="J419" s="57">
        <f>EFEITO!$J$419*EFEITO!$Y$355</f>
        <v>0</v>
      </c>
      <c r="K419" s="57">
        <f ca="1">EFEITO!$L$419*EFEITO!$Z$427</f>
        <v>13539.125125486215</v>
      </c>
      <c r="L419" s="57">
        <f>EFEITO!$N$419*EFEITO!$AA$427</f>
        <v>9841.0807550258578</v>
      </c>
      <c r="M419" s="57">
        <f>$J$419-EFEITO!$K$419*EFEITO!$Y$419</f>
        <v>0</v>
      </c>
      <c r="N419" s="57">
        <f ca="1">$K$419-EFEITO!$M$419*EFEITO!$Z$419</f>
        <v>1353.9125125486207</v>
      </c>
      <c r="O419" s="57">
        <f>$L$419-EFEITO!$O$419*EFEITO!$AA$419</f>
        <v>984.10807550258505</v>
      </c>
      <c r="P419" s="40"/>
      <c r="Q419" s="40"/>
      <c r="R419" s="40"/>
      <c r="S419" s="40"/>
      <c r="T419" s="40"/>
      <c r="U419" s="40"/>
      <c r="V419" s="40"/>
      <c r="W419" s="40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6" t="s">
        <v>21</v>
      </c>
      <c r="B420" s="36" t="s">
        <v>22</v>
      </c>
      <c r="C420" s="36" t="s">
        <v>23</v>
      </c>
      <c r="D420" s="36" t="s">
        <v>24</v>
      </c>
      <c r="E420" s="36" t="s">
        <v>31</v>
      </c>
      <c r="F420" s="36" t="s">
        <v>25</v>
      </c>
      <c r="G420" s="36" t="s">
        <v>25</v>
      </c>
      <c r="H420" s="36" t="s">
        <v>25</v>
      </c>
      <c r="I420" s="56">
        <v>44621</v>
      </c>
      <c r="J420" s="57">
        <f>EFEITO!$J$420*EFEITO!$Y$355</f>
        <v>0</v>
      </c>
      <c r="K420" s="57">
        <f ca="1">EFEITO!$L$420*EFEITO!$Z$427</f>
        <v>13455.182381822713</v>
      </c>
      <c r="L420" s="57">
        <f>EFEITO!$N$420*EFEITO!$AA$427</f>
        <v>9780.0659323150521</v>
      </c>
      <c r="M420" s="57">
        <f>$J$420-EFEITO!$K$420*EFEITO!$Y$420</f>
        <v>0</v>
      </c>
      <c r="N420" s="57">
        <f ca="1">$K$420-EFEITO!$M$420*EFEITO!$Z$420</f>
        <v>1345.5182381822706</v>
      </c>
      <c r="O420" s="57">
        <f>$L$420-EFEITO!$O$420*EFEITO!$AA$420</f>
        <v>978.00659323150467</v>
      </c>
      <c r="P420" s="40"/>
      <c r="Q420" s="40"/>
      <c r="R420" s="40"/>
      <c r="S420" s="40"/>
      <c r="T420" s="40"/>
      <c r="U420" s="40"/>
      <c r="V420" s="40"/>
      <c r="W420" s="40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6" t="s">
        <v>21</v>
      </c>
      <c r="B421" s="36" t="s">
        <v>22</v>
      </c>
      <c r="C421" s="36" t="s">
        <v>23</v>
      </c>
      <c r="D421" s="36" t="s">
        <v>24</v>
      </c>
      <c r="E421" s="36" t="s">
        <v>31</v>
      </c>
      <c r="F421" s="36" t="s">
        <v>25</v>
      </c>
      <c r="G421" s="36" t="s">
        <v>25</v>
      </c>
      <c r="H421" s="36" t="s">
        <v>25</v>
      </c>
      <c r="I421" s="56">
        <v>44652</v>
      </c>
      <c r="J421" s="57">
        <f>EFEITO!$J$421*EFEITO!$Y$355</f>
        <v>0</v>
      </c>
      <c r="K421" s="57">
        <f ca="1">EFEITO!$L$421*EFEITO!$Z$427</f>
        <v>12377.637362328893</v>
      </c>
      <c r="L421" s="57">
        <f>EFEITO!$N$421*EFEITO!$AA$427</f>
        <v>8996.8389914506752</v>
      </c>
      <c r="M421" s="57">
        <f>$J$421-EFEITO!$K$421*EFEITO!$Y$421</f>
        <v>0</v>
      </c>
      <c r="N421" s="57">
        <f ca="1">$K$421-EFEITO!$M$421*EFEITO!$Z$421</f>
        <v>1237.7637362328896</v>
      </c>
      <c r="O421" s="57">
        <f>$L$421-EFEITO!$O$421*EFEITO!$AA$421</f>
        <v>899.6838991450677</v>
      </c>
      <c r="P421" s="40"/>
      <c r="Q421" s="40"/>
      <c r="R421" s="40"/>
      <c r="S421" s="40"/>
      <c r="T421" s="40"/>
      <c r="U421" s="40"/>
      <c r="V421" s="40"/>
      <c r="W421" s="40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6" t="s">
        <v>21</v>
      </c>
      <c r="B422" s="36" t="s">
        <v>22</v>
      </c>
      <c r="C422" s="36" t="s">
        <v>23</v>
      </c>
      <c r="D422" s="36" t="s">
        <v>24</v>
      </c>
      <c r="E422" s="36" t="s">
        <v>31</v>
      </c>
      <c r="F422" s="36" t="s">
        <v>25</v>
      </c>
      <c r="G422" s="36" t="s">
        <v>25</v>
      </c>
      <c r="H422" s="36" t="s">
        <v>25</v>
      </c>
      <c r="I422" s="56">
        <v>44682</v>
      </c>
      <c r="J422" s="57">
        <f>EFEITO!$J$422*EFEITO!$Y$355</f>
        <v>0</v>
      </c>
      <c r="K422" s="57">
        <f ca="1">EFEITO!$L$422*EFEITO!$Z$427</f>
        <v>10950.330910903816</v>
      </c>
      <c r="L422" s="57">
        <f>EFEITO!$N$422*EFEITO!$AA$427</f>
        <v>7959.3836226246076</v>
      </c>
      <c r="M422" s="57">
        <f>$J$422-EFEITO!$K$422*EFEITO!$Y$422</f>
        <v>0</v>
      </c>
      <c r="N422" s="57">
        <f ca="1">$K$422-EFEITO!$M$422*EFEITO!$Z$422</f>
        <v>1095.0330910903813</v>
      </c>
      <c r="O422" s="57">
        <f>$L$422-EFEITO!$O$422*EFEITO!$AA$422</f>
        <v>795.93836226246003</v>
      </c>
      <c r="P422" s="40"/>
      <c r="Q422" s="40"/>
      <c r="R422" s="40"/>
      <c r="S422" s="40"/>
      <c r="T422" s="40"/>
      <c r="U422" s="40"/>
      <c r="V422" s="40"/>
      <c r="W422" s="40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6" t="s">
        <v>28</v>
      </c>
      <c r="B423" s="36" t="s">
        <v>22</v>
      </c>
      <c r="C423" s="36" t="s">
        <v>23</v>
      </c>
      <c r="D423" s="36" t="s">
        <v>24</v>
      </c>
      <c r="E423" s="36" t="s">
        <v>31</v>
      </c>
      <c r="F423" s="36" t="s">
        <v>25</v>
      </c>
      <c r="G423" s="36" t="s">
        <v>25</v>
      </c>
      <c r="H423" s="36" t="s">
        <v>25</v>
      </c>
      <c r="I423" s="56">
        <v>44682</v>
      </c>
      <c r="J423" s="57">
        <f>EFEITO!$J$423*EFEITO!$Y$355</f>
        <v>0</v>
      </c>
      <c r="K423" s="57">
        <f ca="1">EFEITO!$L$423*EFEITO!$Z$427</f>
        <v>9.2337018029852036</v>
      </c>
      <c r="L423" s="57">
        <f>EFEITO!$N$423*EFEITO!$AA$427</f>
        <v>6.7116304981886312</v>
      </c>
      <c r="M423" s="57">
        <f>$J$423-EFEITO!$K$423*EFEITO!$Y$423</f>
        <v>0</v>
      </c>
      <c r="N423" s="57">
        <f ca="1">$K$423-EFEITO!$M$423*EFEITO!$Z$423</f>
        <v>1.7544033425671879</v>
      </c>
      <c r="O423" s="57">
        <f>$L$423-EFEITO!$O$423*EFEITO!$AA$423</f>
        <v>1.2752097946558392</v>
      </c>
      <c r="P423" s="40"/>
      <c r="Q423" s="40"/>
      <c r="R423" s="40"/>
      <c r="S423" s="40"/>
      <c r="T423" s="40"/>
      <c r="U423" s="40"/>
      <c r="V423" s="40"/>
      <c r="W423" s="40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6" t="s">
        <v>21</v>
      </c>
      <c r="B424" s="36" t="s">
        <v>22</v>
      </c>
      <c r="C424" s="36" t="s">
        <v>23</v>
      </c>
      <c r="D424" s="36" t="s">
        <v>24</v>
      </c>
      <c r="E424" s="36" t="s">
        <v>31</v>
      </c>
      <c r="F424" s="36" t="s">
        <v>25</v>
      </c>
      <c r="G424" s="36" t="s">
        <v>25</v>
      </c>
      <c r="H424" s="36" t="s">
        <v>25</v>
      </c>
      <c r="I424" s="56">
        <v>44713</v>
      </c>
      <c r="J424" s="57">
        <f>EFEITO!$J$424*EFEITO!$Y$355</f>
        <v>0</v>
      </c>
      <c r="K424" s="57">
        <f ca="1">EFEITO!$L$424*EFEITO!$Z$427</f>
        <v>11054.140103901014</v>
      </c>
      <c r="L424" s="57">
        <f>EFEITO!$N$424*EFEITO!$AA$427</f>
        <v>8034.838620043638</v>
      </c>
      <c r="M424" s="57">
        <f>$J$424-EFEITO!$K$424*EFEITO!$Y$424</f>
        <v>0</v>
      </c>
      <c r="N424" s="57">
        <f ca="1">$K$424-EFEITO!$M$424*EFEITO!$Z$424</f>
        <v>1105.4140103901009</v>
      </c>
      <c r="O424" s="57">
        <f>$L$424-EFEITO!$O$424*EFEITO!$AA$424</f>
        <v>803.48386200436289</v>
      </c>
      <c r="P424" s="40"/>
      <c r="Q424" s="40"/>
      <c r="R424" s="40"/>
      <c r="S424" s="40"/>
      <c r="T424" s="40"/>
      <c r="U424" s="40"/>
      <c r="V424" s="40"/>
      <c r="W424" s="40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6" t="s">
        <v>21</v>
      </c>
      <c r="B425" s="36" t="s">
        <v>22</v>
      </c>
      <c r="C425" s="36" t="s">
        <v>23</v>
      </c>
      <c r="D425" s="36" t="s">
        <v>24</v>
      </c>
      <c r="E425" s="36" t="s">
        <v>31</v>
      </c>
      <c r="F425" s="36" t="s">
        <v>25</v>
      </c>
      <c r="G425" s="36" t="s">
        <v>25</v>
      </c>
      <c r="H425" s="36" t="s">
        <v>25</v>
      </c>
      <c r="I425" s="56">
        <v>44743</v>
      </c>
      <c r="J425" s="57">
        <f>EFEITO!$J$425*EFEITO!$Y$355</f>
        <v>0</v>
      </c>
      <c r="K425" s="57">
        <f ca="1">EFEITO!$L$425*EFEITO!$Z$427</f>
        <v>10407.221359400961</v>
      </c>
      <c r="L425" s="57">
        <f>EFEITO!$N$425*EFEITO!$AA$427</f>
        <v>7564.6177196856961</v>
      </c>
      <c r="M425" s="57">
        <f>$J$425-EFEITO!$K$425*EFEITO!$Y$425</f>
        <v>0</v>
      </c>
      <c r="N425" s="57">
        <f ca="1">$K$425-EFEITO!$M$425*EFEITO!$Z$425</f>
        <v>1040.7221359400955</v>
      </c>
      <c r="O425" s="57">
        <f>$L$425-EFEITO!$O$425*EFEITO!$AA$425</f>
        <v>756.46177196856934</v>
      </c>
      <c r="P425" s="40"/>
      <c r="Q425" s="40"/>
      <c r="R425" s="40"/>
      <c r="S425" s="40"/>
      <c r="T425" s="40"/>
      <c r="U425" s="40"/>
      <c r="V425" s="40"/>
      <c r="W425" s="40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6" t="s">
        <v>21</v>
      </c>
      <c r="B426" s="36" t="s">
        <v>22</v>
      </c>
      <c r="C426" s="36" t="s">
        <v>23</v>
      </c>
      <c r="D426" s="36" t="s">
        <v>24</v>
      </c>
      <c r="E426" s="36" t="s">
        <v>31</v>
      </c>
      <c r="F426" s="36" t="s">
        <v>25</v>
      </c>
      <c r="G426" s="36" t="s">
        <v>25</v>
      </c>
      <c r="H426" s="36" t="s">
        <v>25</v>
      </c>
      <c r="I426" s="56">
        <v>44774</v>
      </c>
      <c r="J426" s="57">
        <f>EFEITO!$J$426*EFEITO!$Y$355</f>
        <v>0</v>
      </c>
      <c r="K426" s="57">
        <f ca="1">EFEITO!$L$426*EFEITO!$Z$427</f>
        <v>11538.209925693875</v>
      </c>
      <c r="L426" s="57">
        <f>EFEITO!$N$426*EFEITO!$AA$427</f>
        <v>8386.6907643426166</v>
      </c>
      <c r="M426" s="57">
        <f>$J$426-EFEITO!$K$426*EFEITO!$Y$426</f>
        <v>0</v>
      </c>
      <c r="N426" s="57">
        <f ca="1">$K$426-EFEITO!$M$426*EFEITO!$Z$426</f>
        <v>1153.8209925693882</v>
      </c>
      <c r="O426" s="57">
        <f>$L$426-EFEITO!$O$426*EFEITO!$AA$426</f>
        <v>838.66907643426021</v>
      </c>
      <c r="P426" s="40"/>
      <c r="Q426" s="40"/>
      <c r="R426" s="40"/>
      <c r="S426" s="40"/>
      <c r="T426" s="40"/>
      <c r="U426" s="40"/>
      <c r="V426" s="40"/>
      <c r="W426" s="40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6" t="s">
        <v>21</v>
      </c>
      <c r="B427" s="36" t="s">
        <v>22</v>
      </c>
      <c r="C427" s="36" t="s">
        <v>23</v>
      </c>
      <c r="D427" s="36" t="s">
        <v>24</v>
      </c>
      <c r="E427" s="36" t="s">
        <v>32</v>
      </c>
      <c r="F427" s="36" t="s">
        <v>25</v>
      </c>
      <c r="G427" s="36" t="s">
        <v>25</v>
      </c>
      <c r="H427" s="36" t="s">
        <v>25</v>
      </c>
      <c r="I427" s="56">
        <v>44440</v>
      </c>
      <c r="J427" s="57">
        <f>EFEITO!$J$427*EFEITO!$Y$355</f>
        <v>0</v>
      </c>
      <c r="K427" s="57">
        <f ca="1">EFEITO!$L$427*EFEITO!$Z$427</f>
        <v>4623.0067026945917</v>
      </c>
      <c r="L427" s="57">
        <f>EFEITO!$N$427*EFEITO!$AA$427</f>
        <v>3360.2896694264409</v>
      </c>
      <c r="M427" s="57">
        <f>$J$427-EFEITO!$K$427*EFEITO!$Y$427</f>
        <v>0</v>
      </c>
      <c r="N427" s="57">
        <f ca="1">$K$427-EFEITO!$M$427*EFEITO!$Z$427</f>
        <v>0</v>
      </c>
      <c r="O427" s="57">
        <f>$L$427-EFEITO!$O$427*EFEITO!$AA$427</f>
        <v>0</v>
      </c>
      <c r="P427" s="40"/>
      <c r="Q427" s="40"/>
      <c r="R427" s="40"/>
      <c r="S427" s="40"/>
      <c r="T427" s="40"/>
      <c r="U427" s="40"/>
      <c r="V427" s="40"/>
      <c r="W427" s="40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6" t="s">
        <v>21</v>
      </c>
      <c r="B428" s="36" t="s">
        <v>22</v>
      </c>
      <c r="C428" s="36" t="s">
        <v>23</v>
      </c>
      <c r="D428" s="36" t="s">
        <v>24</v>
      </c>
      <c r="E428" s="36" t="s">
        <v>32</v>
      </c>
      <c r="F428" s="36" t="s">
        <v>25</v>
      </c>
      <c r="G428" s="36" t="s">
        <v>25</v>
      </c>
      <c r="H428" s="36" t="s">
        <v>25</v>
      </c>
      <c r="I428" s="56">
        <v>44470</v>
      </c>
      <c r="J428" s="57">
        <f>EFEITO!$J$428*EFEITO!$Y$355</f>
        <v>0</v>
      </c>
      <c r="K428" s="57">
        <f ca="1">EFEITO!$L$428*EFEITO!$Z$427</f>
        <v>4787.2546711295108</v>
      </c>
      <c r="L428" s="57">
        <f>EFEITO!$N$428*EFEITO!$AA$427</f>
        <v>3479.6753391972516</v>
      </c>
      <c r="M428" s="57">
        <f>$J$428-EFEITO!$K$428*EFEITO!$Y$428</f>
        <v>0</v>
      </c>
      <c r="N428" s="57">
        <f ca="1">$K$428-EFEITO!$M$428*EFEITO!$Z$428</f>
        <v>0</v>
      </c>
      <c r="O428" s="57">
        <f>$L$428-EFEITO!$O$428*EFEITO!$AA$428</f>
        <v>0</v>
      </c>
      <c r="P428" s="40"/>
      <c r="Q428" s="40"/>
      <c r="R428" s="40"/>
      <c r="S428" s="40"/>
      <c r="T428" s="40"/>
      <c r="U428" s="40"/>
      <c r="V428" s="40"/>
      <c r="W428" s="40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6" t="s">
        <v>21</v>
      </c>
      <c r="B429" s="36" t="s">
        <v>22</v>
      </c>
      <c r="C429" s="36" t="s">
        <v>23</v>
      </c>
      <c r="D429" s="36" t="s">
        <v>24</v>
      </c>
      <c r="E429" s="36" t="s">
        <v>32</v>
      </c>
      <c r="F429" s="36" t="s">
        <v>25</v>
      </c>
      <c r="G429" s="36" t="s">
        <v>25</v>
      </c>
      <c r="H429" s="36" t="s">
        <v>25</v>
      </c>
      <c r="I429" s="56">
        <v>44501</v>
      </c>
      <c r="J429" s="57">
        <f>EFEITO!$J$429*EFEITO!$Y$355</f>
        <v>0</v>
      </c>
      <c r="K429" s="57">
        <f ca="1">EFEITO!$L$429*EFEITO!$Z$427</f>
        <v>5288.1130416550723</v>
      </c>
      <c r="L429" s="57">
        <f>EFEITO!$N$429*EFEITO!$AA$427</f>
        <v>3843.7304480383923</v>
      </c>
      <c r="M429" s="57">
        <f>$J$429-EFEITO!$K$429*EFEITO!$Y$429</f>
        <v>0</v>
      </c>
      <c r="N429" s="57">
        <f ca="1">$K$429-EFEITO!$M$429*EFEITO!$Z$429</f>
        <v>0</v>
      </c>
      <c r="O429" s="57">
        <f>$L$429-EFEITO!$O$429*EFEITO!$AA$429</f>
        <v>0</v>
      </c>
      <c r="P429" s="40"/>
      <c r="Q429" s="40"/>
      <c r="R429" s="40"/>
      <c r="S429" s="40"/>
      <c r="T429" s="40"/>
      <c r="U429" s="40"/>
      <c r="V429" s="40"/>
      <c r="W429" s="40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6" t="s">
        <v>21</v>
      </c>
      <c r="B430" s="36" t="s">
        <v>22</v>
      </c>
      <c r="C430" s="36" t="s">
        <v>23</v>
      </c>
      <c r="D430" s="36" t="s">
        <v>24</v>
      </c>
      <c r="E430" s="36" t="s">
        <v>32</v>
      </c>
      <c r="F430" s="36" t="s">
        <v>25</v>
      </c>
      <c r="G430" s="36" t="s">
        <v>25</v>
      </c>
      <c r="H430" s="36" t="s">
        <v>25</v>
      </c>
      <c r="I430" s="56">
        <v>44531</v>
      </c>
      <c r="J430" s="57">
        <f>EFEITO!$J$430*EFEITO!$Y$355</f>
        <v>0</v>
      </c>
      <c r="K430" s="57">
        <f ca="1">EFEITO!$L$430*EFEITO!$Z$427</f>
        <v>5996.5897981750277</v>
      </c>
      <c r="L430" s="57">
        <f>EFEITO!$N$430*EFEITO!$AA$427</f>
        <v>4358.6955517175929</v>
      </c>
      <c r="M430" s="57">
        <f>$J$430-EFEITO!$K$430*EFEITO!$Y$430</f>
        <v>0</v>
      </c>
      <c r="N430" s="57">
        <f ca="1">$K$430-EFEITO!$M$430*EFEITO!$Z$430</f>
        <v>0</v>
      </c>
      <c r="O430" s="57">
        <f>$L$430-EFEITO!$O$430*EFEITO!$AA$430</f>
        <v>0</v>
      </c>
      <c r="P430" s="40"/>
      <c r="Q430" s="40"/>
      <c r="R430" s="40"/>
      <c r="S430" s="40"/>
      <c r="T430" s="40"/>
      <c r="U430" s="40"/>
      <c r="V430" s="40"/>
      <c r="W430" s="40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6" t="s">
        <v>21</v>
      </c>
      <c r="B431" s="36" t="s">
        <v>22</v>
      </c>
      <c r="C431" s="36" t="s">
        <v>23</v>
      </c>
      <c r="D431" s="36" t="s">
        <v>24</v>
      </c>
      <c r="E431" s="36" t="s">
        <v>32</v>
      </c>
      <c r="F431" s="36" t="s">
        <v>25</v>
      </c>
      <c r="G431" s="36" t="s">
        <v>25</v>
      </c>
      <c r="H431" s="36" t="s">
        <v>25</v>
      </c>
      <c r="I431" s="56">
        <v>44562</v>
      </c>
      <c r="J431" s="57">
        <f>EFEITO!$J$431*EFEITO!$Y$355</f>
        <v>0</v>
      </c>
      <c r="K431" s="57">
        <f ca="1">EFEITO!$L$431*EFEITO!$Z$427</f>
        <v>9507.6349564737648</v>
      </c>
      <c r="L431" s="57">
        <f>EFEITO!$N$431*EFEITO!$AA$427</f>
        <v>6910.7422029682266</v>
      </c>
      <c r="M431" s="57">
        <f>$J$431-EFEITO!$K$431*EFEITO!$Y$431</f>
        <v>0</v>
      </c>
      <c r="N431" s="57">
        <f ca="1">$K$431-EFEITO!$M$431*EFEITO!$Z$431</f>
        <v>0</v>
      </c>
      <c r="O431" s="57">
        <f>$L$431-EFEITO!$O$431*EFEITO!$AA$431</f>
        <v>0</v>
      </c>
      <c r="P431" s="40"/>
      <c r="Q431" s="40"/>
      <c r="R431" s="40"/>
      <c r="S431" s="40"/>
      <c r="T431" s="40"/>
      <c r="U431" s="40"/>
      <c r="V431" s="40"/>
      <c r="W431" s="40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6" t="s">
        <v>21</v>
      </c>
      <c r="B432" s="36" t="s">
        <v>22</v>
      </c>
      <c r="C432" s="36" t="s">
        <v>23</v>
      </c>
      <c r="D432" s="36" t="s">
        <v>24</v>
      </c>
      <c r="E432" s="36" t="s">
        <v>32</v>
      </c>
      <c r="F432" s="36" t="s">
        <v>25</v>
      </c>
      <c r="G432" s="36" t="s">
        <v>25</v>
      </c>
      <c r="H432" s="36" t="s">
        <v>25</v>
      </c>
      <c r="I432" s="56">
        <v>44593</v>
      </c>
      <c r="J432" s="57">
        <f>EFEITO!$J$432*EFEITO!$Y$355</f>
        <v>0</v>
      </c>
      <c r="K432" s="57">
        <f ca="1">EFEITO!$L$432*EFEITO!$Z$427</f>
        <v>14076.358684932626</v>
      </c>
      <c r="L432" s="57">
        <f>EFEITO!$N$432*EFEITO!$AA$427</f>
        <v>10231.575620375015</v>
      </c>
      <c r="M432" s="57">
        <f>$J$432-EFEITO!$K$432*EFEITO!$Y$432</f>
        <v>0</v>
      </c>
      <c r="N432" s="57">
        <f ca="1">$K$432-EFEITO!$M$432*EFEITO!$Z$432</f>
        <v>0</v>
      </c>
      <c r="O432" s="57">
        <f>$L$432-EFEITO!$O$432*EFEITO!$AA$432</f>
        <v>0</v>
      </c>
      <c r="P432" s="40"/>
      <c r="Q432" s="40"/>
      <c r="R432" s="40"/>
      <c r="S432" s="40"/>
      <c r="T432" s="40"/>
      <c r="U432" s="40"/>
      <c r="V432" s="40"/>
      <c r="W432" s="40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6" t="s">
        <v>21</v>
      </c>
      <c r="B433" s="36" t="s">
        <v>22</v>
      </c>
      <c r="C433" s="36" t="s">
        <v>23</v>
      </c>
      <c r="D433" s="36" t="s">
        <v>24</v>
      </c>
      <c r="E433" s="36" t="s">
        <v>32</v>
      </c>
      <c r="F433" s="36" t="s">
        <v>25</v>
      </c>
      <c r="G433" s="36" t="s">
        <v>25</v>
      </c>
      <c r="H433" s="36" t="s">
        <v>25</v>
      </c>
      <c r="I433" s="56">
        <v>44621</v>
      </c>
      <c r="J433" s="57">
        <f>EFEITO!$J$433*EFEITO!$Y$355</f>
        <v>0</v>
      </c>
      <c r="K433" s="57">
        <f ca="1">EFEITO!$L$433*EFEITO!$Z$427</f>
        <v>10832.531260629368</v>
      </c>
      <c r="L433" s="57">
        <f>EFEITO!$N$433*EFEITO!$AA$427</f>
        <v>7873.7594880871111</v>
      </c>
      <c r="M433" s="57">
        <f>$J$433-EFEITO!$K$433*EFEITO!$Y$433</f>
        <v>0</v>
      </c>
      <c r="N433" s="57">
        <f ca="1">$K$433-EFEITO!$M$433*EFEITO!$Z$433</f>
        <v>0</v>
      </c>
      <c r="O433" s="57">
        <f>$L$433-EFEITO!$O$433*EFEITO!$AA$433</f>
        <v>0</v>
      </c>
      <c r="P433" s="40"/>
      <c r="Q433" s="40"/>
      <c r="R433" s="40"/>
      <c r="S433" s="40"/>
      <c r="T433" s="40"/>
      <c r="U433" s="40"/>
      <c r="V433" s="40"/>
      <c r="W433" s="40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6" t="s">
        <v>21</v>
      </c>
      <c r="B434" s="36" t="s">
        <v>22</v>
      </c>
      <c r="C434" s="36" t="s">
        <v>23</v>
      </c>
      <c r="D434" s="36" t="s">
        <v>24</v>
      </c>
      <c r="E434" s="36" t="s">
        <v>32</v>
      </c>
      <c r="F434" s="36" t="s">
        <v>25</v>
      </c>
      <c r="G434" s="36" t="s">
        <v>25</v>
      </c>
      <c r="H434" s="36" t="s">
        <v>25</v>
      </c>
      <c r="I434" s="56">
        <v>44652</v>
      </c>
      <c r="J434" s="57">
        <f>EFEITO!$J$434*EFEITO!$Y$355</f>
        <v>0</v>
      </c>
      <c r="K434" s="57">
        <f ca="1">EFEITO!$L$434*EFEITO!$Z$427</f>
        <v>6675.9664035583028</v>
      </c>
      <c r="L434" s="57">
        <f>EFEITO!$N$434*EFEITO!$AA$427</f>
        <v>4852.5088501903811</v>
      </c>
      <c r="M434" s="57">
        <f>$J$434-EFEITO!$K$434*EFEITO!$Y$434</f>
        <v>0</v>
      </c>
      <c r="N434" s="57">
        <f ca="1">$K$434-EFEITO!$M$434*EFEITO!$Z$434</f>
        <v>0</v>
      </c>
      <c r="O434" s="57">
        <f>$L$434-EFEITO!$O$434*EFEITO!$AA$434</f>
        <v>0</v>
      </c>
      <c r="P434" s="40"/>
      <c r="Q434" s="40"/>
      <c r="R434" s="40"/>
      <c r="S434" s="40"/>
      <c r="T434" s="40"/>
      <c r="U434" s="40"/>
      <c r="V434" s="40"/>
      <c r="W434" s="40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6" t="s">
        <v>21</v>
      </c>
      <c r="B435" s="36" t="s">
        <v>22</v>
      </c>
      <c r="C435" s="36" t="s">
        <v>23</v>
      </c>
      <c r="D435" s="36" t="s">
        <v>24</v>
      </c>
      <c r="E435" s="36" t="s">
        <v>32</v>
      </c>
      <c r="F435" s="36" t="s">
        <v>25</v>
      </c>
      <c r="G435" s="36" t="s">
        <v>25</v>
      </c>
      <c r="H435" s="36" t="s">
        <v>25</v>
      </c>
      <c r="I435" s="56">
        <v>44682</v>
      </c>
      <c r="J435" s="57">
        <f>EFEITO!$J$435*EFEITO!$Y$355</f>
        <v>0</v>
      </c>
      <c r="K435" s="57">
        <f ca="1">EFEITO!$L$435*EFEITO!$Z$427</f>
        <v>5108.7553793607221</v>
      </c>
      <c r="L435" s="57">
        <f>EFEITO!$N$435*EFEITO!$AA$427</f>
        <v>3713.3621101796371</v>
      </c>
      <c r="M435" s="57">
        <f>$J$435-EFEITO!$K$435*EFEITO!$Y$435</f>
        <v>0</v>
      </c>
      <c r="N435" s="57">
        <f ca="1">$K$435-EFEITO!$M$435*EFEITO!$Z$435</f>
        <v>0</v>
      </c>
      <c r="O435" s="57">
        <f>$L$435-EFEITO!$O$435*EFEITO!$AA$435</f>
        <v>0</v>
      </c>
      <c r="P435" s="40"/>
      <c r="Q435" s="40"/>
      <c r="R435" s="40"/>
      <c r="S435" s="40"/>
      <c r="T435" s="40"/>
      <c r="U435" s="40"/>
      <c r="V435" s="40"/>
      <c r="W435" s="40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6" t="s">
        <v>21</v>
      </c>
      <c r="B436" s="36" t="s">
        <v>22</v>
      </c>
      <c r="C436" s="36" t="s">
        <v>23</v>
      </c>
      <c r="D436" s="36" t="s">
        <v>24</v>
      </c>
      <c r="E436" s="36" t="s">
        <v>32</v>
      </c>
      <c r="F436" s="36" t="s">
        <v>25</v>
      </c>
      <c r="G436" s="36" t="s">
        <v>25</v>
      </c>
      <c r="H436" s="36" t="s">
        <v>25</v>
      </c>
      <c r="I436" s="56">
        <v>44713</v>
      </c>
      <c r="J436" s="57">
        <f>EFEITO!$J$436*EFEITO!$Y$355</f>
        <v>0</v>
      </c>
      <c r="K436" s="57">
        <f ca="1">EFEITO!$L$436*EFEITO!$Z$427</f>
        <v>7328.201521823712</v>
      </c>
      <c r="L436" s="57">
        <f>EFEITO!$N$436*EFEITO!$AA$427</f>
        <v>5326.5940226533412</v>
      </c>
      <c r="M436" s="57">
        <f>$J$436-EFEITO!$K$436*EFEITO!$Y$436</f>
        <v>0</v>
      </c>
      <c r="N436" s="57">
        <f ca="1">$K$436-EFEITO!$M$436*EFEITO!$Z$436</f>
        <v>0</v>
      </c>
      <c r="O436" s="57">
        <f>$L$436-EFEITO!$O$436*EFEITO!$AA$436</f>
        <v>0</v>
      </c>
      <c r="P436" s="40"/>
      <c r="Q436" s="40"/>
      <c r="R436" s="40"/>
      <c r="S436" s="40"/>
      <c r="T436" s="40"/>
      <c r="U436" s="40"/>
      <c r="V436" s="40"/>
      <c r="W436" s="40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6" t="s">
        <v>21</v>
      </c>
      <c r="B437" s="36" t="s">
        <v>22</v>
      </c>
      <c r="C437" s="36" t="s">
        <v>23</v>
      </c>
      <c r="D437" s="36" t="s">
        <v>24</v>
      </c>
      <c r="E437" s="36" t="s">
        <v>32</v>
      </c>
      <c r="F437" s="36" t="s">
        <v>25</v>
      </c>
      <c r="G437" s="36" t="s">
        <v>25</v>
      </c>
      <c r="H437" s="36" t="s">
        <v>25</v>
      </c>
      <c r="I437" s="56">
        <v>44743</v>
      </c>
      <c r="J437" s="57">
        <f>EFEITO!$J$437*EFEITO!$Y$355</f>
        <v>0</v>
      </c>
      <c r="K437" s="57">
        <f ca="1">EFEITO!$L$437*EFEITO!$Z$427</f>
        <v>6552.2907612274103</v>
      </c>
      <c r="L437" s="57">
        <f>EFEITO!$N$437*EFEITO!$AA$427</f>
        <v>4762.6136780631268</v>
      </c>
      <c r="M437" s="57">
        <f>$J$437-EFEITO!$K$437*EFEITO!$Y$437</f>
        <v>0</v>
      </c>
      <c r="N437" s="57">
        <f ca="1">$K$437-EFEITO!$M$437*EFEITO!$Z$437</f>
        <v>0</v>
      </c>
      <c r="O437" s="57">
        <f>$L$437-EFEITO!$O$437*EFEITO!$AA$437</f>
        <v>0</v>
      </c>
      <c r="P437" s="40"/>
      <c r="Q437" s="40"/>
      <c r="R437" s="40"/>
      <c r="S437" s="40"/>
      <c r="T437" s="40"/>
      <c r="U437" s="40"/>
      <c r="V437" s="40"/>
      <c r="W437" s="40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6" t="s">
        <v>21</v>
      </c>
      <c r="B438" s="36" t="s">
        <v>22</v>
      </c>
      <c r="C438" s="36" t="s">
        <v>23</v>
      </c>
      <c r="D438" s="36" t="s">
        <v>24</v>
      </c>
      <c r="E438" s="36" t="s">
        <v>32</v>
      </c>
      <c r="F438" s="36" t="s">
        <v>25</v>
      </c>
      <c r="G438" s="36" t="s">
        <v>25</v>
      </c>
      <c r="H438" s="36" t="s">
        <v>25</v>
      </c>
      <c r="I438" s="56">
        <v>44774</v>
      </c>
      <c r="J438" s="57">
        <f>EFEITO!$J$438*EFEITO!$Y$355</f>
        <v>0</v>
      </c>
      <c r="K438" s="57">
        <f ca="1">EFEITO!$L$438*EFEITO!$Z$427</f>
        <v>7963.9279005019653</v>
      </c>
      <c r="L438" s="57">
        <f>EFEITO!$N$438*EFEITO!$AA$427</f>
        <v>5788.6796133165099</v>
      </c>
      <c r="M438" s="57">
        <f>$J$438-EFEITO!$K$438*EFEITO!$Y$438</f>
        <v>0</v>
      </c>
      <c r="N438" s="57">
        <f ca="1">$K$438-EFEITO!$M$438*EFEITO!$Z$438</f>
        <v>0</v>
      </c>
      <c r="O438" s="57">
        <f>$L$438-EFEITO!$O$438*EFEITO!$AA$438</f>
        <v>0</v>
      </c>
      <c r="P438" s="40"/>
      <c r="Q438" s="40"/>
      <c r="R438" s="40"/>
      <c r="S438" s="40"/>
      <c r="T438" s="40"/>
      <c r="U438" s="40"/>
      <c r="V438" s="40"/>
      <c r="W438" s="40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6" t="s">
        <v>21</v>
      </c>
      <c r="B439" s="36" t="s">
        <v>40</v>
      </c>
      <c r="C439" s="36" t="s">
        <v>23</v>
      </c>
      <c r="D439" s="36" t="s">
        <v>41</v>
      </c>
      <c r="E439" s="36" t="s">
        <v>50</v>
      </c>
      <c r="F439" s="36" t="s">
        <v>51</v>
      </c>
      <c r="G439" s="36" t="s">
        <v>25</v>
      </c>
      <c r="H439" s="36" t="s">
        <v>25</v>
      </c>
      <c r="I439" s="56">
        <v>44440</v>
      </c>
      <c r="J439" s="57">
        <f>EFEITO!$J$439*EFEITO!$Y$355</f>
        <v>0</v>
      </c>
      <c r="K439" s="57">
        <f ca="1">EFEITO!$L$439*EFEITO!$Z$355</f>
        <v>283.43589369063335</v>
      </c>
      <c r="L439" s="57">
        <f>EFEITO!$N$439*EFEITO!$AA$355</f>
        <v>148.67278467199665</v>
      </c>
      <c r="M439" s="57">
        <f>$J$439-EFEITO!$K$439*EFEITO!$Y$439</f>
        <v>0</v>
      </c>
      <c r="N439" s="57">
        <f ca="1">$K$439-EFEITO!$M$439*EFEITO!$Z$439</f>
        <v>17.006153621437988</v>
      </c>
      <c r="O439" s="57">
        <f>$L$439-EFEITO!$O$439*EFEITO!$AA$439</f>
        <v>8.9203670803198349</v>
      </c>
      <c r="P439" s="40"/>
      <c r="Q439" s="40"/>
      <c r="R439" s="40"/>
      <c r="S439" s="40"/>
      <c r="T439" s="40"/>
      <c r="U439" s="40"/>
      <c r="V439" s="40"/>
      <c r="W439" s="40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6" t="s">
        <v>21</v>
      </c>
      <c r="B440" s="36" t="s">
        <v>40</v>
      </c>
      <c r="C440" s="36" t="s">
        <v>23</v>
      </c>
      <c r="D440" s="36" t="s">
        <v>41</v>
      </c>
      <c r="E440" s="36" t="s">
        <v>50</v>
      </c>
      <c r="F440" s="36" t="s">
        <v>51</v>
      </c>
      <c r="G440" s="36" t="s">
        <v>25</v>
      </c>
      <c r="H440" s="36" t="s">
        <v>25</v>
      </c>
      <c r="I440" s="56">
        <v>44470</v>
      </c>
      <c r="J440" s="57">
        <f>EFEITO!$J$440*EFEITO!$Y$355</f>
        <v>0</v>
      </c>
      <c r="K440" s="57">
        <f ca="1">EFEITO!$L$440*EFEITO!$Z$355</f>
        <v>196.97049794096</v>
      </c>
      <c r="L440" s="57">
        <f>EFEITO!$N$440*EFEITO!$AA$355</f>
        <v>103.31843312363105</v>
      </c>
      <c r="M440" s="57">
        <f>$J$440-EFEITO!$K$440*EFEITO!$Y$440</f>
        <v>0</v>
      </c>
      <c r="N440" s="57">
        <f ca="1">$K$440-EFEITO!$M$440*EFEITO!$Z$440</f>
        <v>11.818229876457622</v>
      </c>
      <c r="O440" s="57">
        <f>$L$440-EFEITO!$O$440*EFEITO!$AA$440</f>
        <v>6.1991059874178802</v>
      </c>
      <c r="P440" s="40"/>
      <c r="Q440" s="40"/>
      <c r="R440" s="40"/>
      <c r="S440" s="40"/>
      <c r="T440" s="40"/>
      <c r="U440" s="40"/>
      <c r="V440" s="40"/>
      <c r="W440" s="40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6" t="s">
        <v>21</v>
      </c>
      <c r="B441" s="36" t="s">
        <v>40</v>
      </c>
      <c r="C441" s="36" t="s">
        <v>23</v>
      </c>
      <c r="D441" s="36" t="s">
        <v>41</v>
      </c>
      <c r="E441" s="36" t="s">
        <v>50</v>
      </c>
      <c r="F441" s="36" t="s">
        <v>51</v>
      </c>
      <c r="G441" s="36" t="s">
        <v>25</v>
      </c>
      <c r="H441" s="36" t="s">
        <v>25</v>
      </c>
      <c r="I441" s="56">
        <v>44501</v>
      </c>
      <c r="J441" s="57">
        <f>EFEITO!$J$441*EFEITO!$Y$355</f>
        <v>0</v>
      </c>
      <c r="K441" s="57">
        <f ca="1">EFEITO!$L$441*EFEITO!$Z$355</f>
        <v>402.47121429668596</v>
      </c>
      <c r="L441" s="57">
        <f>EFEITO!$N$441*EFEITO!$AA$355</f>
        <v>211.11128657938787</v>
      </c>
      <c r="M441" s="57">
        <f>$J$441-EFEITO!$K$441*EFEITO!$Y$441</f>
        <v>0</v>
      </c>
      <c r="N441" s="57">
        <f ca="1">$K$441-EFEITO!$M$441*EFEITO!$Z$441</f>
        <v>24.148272857801146</v>
      </c>
      <c r="O441" s="57">
        <f>$L$441-EFEITO!$O$441*EFEITO!$AA$441</f>
        <v>12.666677194763309</v>
      </c>
      <c r="P441" s="40"/>
      <c r="Q441" s="40"/>
      <c r="R441" s="40"/>
      <c r="S441" s="40"/>
      <c r="T441" s="40"/>
      <c r="U441" s="40"/>
      <c r="V441" s="40"/>
      <c r="W441" s="40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6" t="s">
        <v>21</v>
      </c>
      <c r="B442" s="36" t="s">
        <v>40</v>
      </c>
      <c r="C442" s="36" t="s">
        <v>23</v>
      </c>
      <c r="D442" s="36" t="s">
        <v>41</v>
      </c>
      <c r="E442" s="36" t="s">
        <v>50</v>
      </c>
      <c r="F442" s="36" t="s">
        <v>51</v>
      </c>
      <c r="G442" s="36" t="s">
        <v>25</v>
      </c>
      <c r="H442" s="36" t="s">
        <v>25</v>
      </c>
      <c r="I442" s="56">
        <v>44531</v>
      </c>
      <c r="J442" s="57">
        <f>EFEITO!$J$442*EFEITO!$Y$355</f>
        <v>0</v>
      </c>
      <c r="K442" s="57">
        <f ca="1">EFEITO!$L$442*EFEITO!$Z$355</f>
        <v>608.74740505375428</v>
      </c>
      <c r="L442" s="57">
        <f>EFEITO!$N$442*EFEITO!$AA$355</f>
        <v>319.31090551988336</v>
      </c>
      <c r="M442" s="57">
        <f>$J$442-EFEITO!$K$442*EFEITO!$Y$442</f>
        <v>0</v>
      </c>
      <c r="N442" s="57">
        <f ca="1">$K$442-EFEITO!$M$442*EFEITO!$Z$442</f>
        <v>36.524844303225223</v>
      </c>
      <c r="O442" s="57">
        <f>$L$442-EFEITO!$O$442*EFEITO!$AA$442</f>
        <v>19.15865433119302</v>
      </c>
      <c r="P442" s="40"/>
      <c r="Q442" s="40"/>
      <c r="R442" s="40"/>
      <c r="S442" s="40"/>
      <c r="T442" s="40"/>
      <c r="U442" s="40"/>
      <c r="V442" s="40"/>
      <c r="W442" s="40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6" t="s">
        <v>21</v>
      </c>
      <c r="B443" s="36" t="s">
        <v>40</v>
      </c>
      <c r="C443" s="36" t="s">
        <v>23</v>
      </c>
      <c r="D443" s="36" t="s">
        <v>41</v>
      </c>
      <c r="E443" s="36" t="s">
        <v>50</v>
      </c>
      <c r="F443" s="36" t="s">
        <v>51</v>
      </c>
      <c r="G443" s="36" t="s">
        <v>25</v>
      </c>
      <c r="H443" s="36" t="s">
        <v>25</v>
      </c>
      <c r="I443" s="56">
        <v>44562</v>
      </c>
      <c r="J443" s="57">
        <f>EFEITO!$J$443*EFEITO!$Y$355</f>
        <v>0</v>
      </c>
      <c r="K443" s="57">
        <f ca="1">EFEITO!$L$443*EFEITO!$Z$355</f>
        <v>839.45103945310711</v>
      </c>
      <c r="L443" s="57">
        <f>EFEITO!$N$443*EFEITO!$AA$355</f>
        <v>440.32363722964806</v>
      </c>
      <c r="M443" s="57">
        <f>$J$443-EFEITO!$K$443*EFEITO!$Y$443</f>
        <v>0</v>
      </c>
      <c r="N443" s="57">
        <f ca="1">$K$443-EFEITO!$M$443*EFEITO!$Z$443</f>
        <v>50.367062367186463</v>
      </c>
      <c r="O443" s="57">
        <f>$L$443-EFEITO!$O$443*EFEITO!$AA$443</f>
        <v>26.419418233778913</v>
      </c>
      <c r="P443" s="40"/>
      <c r="Q443" s="40"/>
      <c r="R443" s="40"/>
      <c r="S443" s="40"/>
      <c r="T443" s="40"/>
      <c r="U443" s="40"/>
      <c r="V443" s="40"/>
      <c r="W443" s="40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6" t="s">
        <v>21</v>
      </c>
      <c r="B444" s="36" t="s">
        <v>40</v>
      </c>
      <c r="C444" s="36" t="s">
        <v>23</v>
      </c>
      <c r="D444" s="36" t="s">
        <v>41</v>
      </c>
      <c r="E444" s="36" t="s">
        <v>50</v>
      </c>
      <c r="F444" s="36" t="s">
        <v>51</v>
      </c>
      <c r="G444" s="36" t="s">
        <v>25</v>
      </c>
      <c r="H444" s="36" t="s">
        <v>25</v>
      </c>
      <c r="I444" s="56">
        <v>44593</v>
      </c>
      <c r="J444" s="57">
        <f>EFEITO!$J$444*EFEITO!$Y$355</f>
        <v>0</v>
      </c>
      <c r="K444" s="57">
        <f ca="1">EFEITO!$L$444*EFEITO!$Z$355</f>
        <v>553.68872255844656</v>
      </c>
      <c r="L444" s="57">
        <f>EFEITO!$N$444*EFEITO!$AA$355</f>
        <v>290.43055610343532</v>
      </c>
      <c r="M444" s="57">
        <f>$J$444-EFEITO!$K$444*EFEITO!$Y$444</f>
        <v>0</v>
      </c>
      <c r="N444" s="57">
        <f ca="1">$K$444-EFEITO!$M$444*EFEITO!$Z$444</f>
        <v>33.221323353506818</v>
      </c>
      <c r="O444" s="57">
        <f>$L$444-EFEITO!$O$444*EFEITO!$AA$444</f>
        <v>17.425833366206177</v>
      </c>
      <c r="P444" s="40"/>
      <c r="Q444" s="40"/>
      <c r="R444" s="40"/>
      <c r="S444" s="40"/>
      <c r="T444" s="40"/>
      <c r="U444" s="40"/>
      <c r="V444" s="40"/>
      <c r="W444" s="40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6" t="s">
        <v>21</v>
      </c>
      <c r="B445" s="36" t="s">
        <v>40</v>
      </c>
      <c r="C445" s="36" t="s">
        <v>23</v>
      </c>
      <c r="D445" s="36" t="s">
        <v>41</v>
      </c>
      <c r="E445" s="36" t="s">
        <v>50</v>
      </c>
      <c r="F445" s="36" t="s">
        <v>51</v>
      </c>
      <c r="G445" s="36" t="s">
        <v>25</v>
      </c>
      <c r="H445" s="36" t="s">
        <v>25</v>
      </c>
      <c r="I445" s="56">
        <v>44621</v>
      </c>
      <c r="J445" s="57">
        <f>EFEITO!$J$445*EFEITO!$Y$355</f>
        <v>0</v>
      </c>
      <c r="K445" s="57">
        <f ca="1">EFEITO!$L$445*EFEITO!$Z$355</f>
        <v>222.17341598458674</v>
      </c>
      <c r="L445" s="57">
        <f>EFEITO!$N$445*EFEITO!$AA$355</f>
        <v>116.53831137763895</v>
      </c>
      <c r="M445" s="57">
        <f>$J$445-EFEITO!$K$445*EFEITO!$Y$445</f>
        <v>0</v>
      </c>
      <c r="N445" s="57">
        <f ca="1">$K$445-EFEITO!$M$445*EFEITO!$Z$445</f>
        <v>13.330404959075224</v>
      </c>
      <c r="O445" s="57">
        <f>$L$445-EFEITO!$O$445*EFEITO!$AA$445</f>
        <v>6.992298682658344</v>
      </c>
      <c r="P445" s="40"/>
      <c r="Q445" s="40"/>
      <c r="R445" s="40"/>
      <c r="S445" s="40"/>
      <c r="T445" s="40"/>
      <c r="U445" s="40"/>
      <c r="V445" s="40"/>
      <c r="W445" s="40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6" t="s">
        <v>21</v>
      </c>
      <c r="B446" s="36" t="s">
        <v>40</v>
      </c>
      <c r="C446" s="36" t="s">
        <v>23</v>
      </c>
      <c r="D446" s="36" t="s">
        <v>41</v>
      </c>
      <c r="E446" s="36" t="s">
        <v>50</v>
      </c>
      <c r="F446" s="36" t="s">
        <v>51</v>
      </c>
      <c r="G446" s="36" t="s">
        <v>25</v>
      </c>
      <c r="H446" s="36" t="s">
        <v>25</v>
      </c>
      <c r="I446" s="56">
        <v>44652</v>
      </c>
      <c r="J446" s="57">
        <f>EFEITO!$J$446*EFEITO!$Y$355</f>
        <v>0</v>
      </c>
      <c r="K446" s="57">
        <f ca="1">EFEITO!$L$446*EFEITO!$Z$355</f>
        <v>241.56027601814583</v>
      </c>
      <c r="L446" s="57">
        <f>EFEITO!$N$446*EFEITO!$AA$355</f>
        <v>126.70744849610658</v>
      </c>
      <c r="M446" s="57">
        <f>$J$446-EFEITO!$K$446*EFEITO!$Y$446</f>
        <v>0</v>
      </c>
      <c r="N446" s="57">
        <f ca="1">$K$446-EFEITO!$M$446*EFEITO!$Z$446</f>
        <v>14.493616561088771</v>
      </c>
      <c r="O446" s="57">
        <f>$L$446-EFEITO!$O$446*EFEITO!$AA$446</f>
        <v>7.6024469097664138</v>
      </c>
      <c r="P446" s="40"/>
      <c r="Q446" s="40"/>
      <c r="R446" s="40"/>
      <c r="S446" s="40"/>
      <c r="T446" s="40"/>
      <c r="U446" s="40"/>
      <c r="V446" s="40"/>
      <c r="W446" s="40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6" t="s">
        <v>21</v>
      </c>
      <c r="B447" s="36" t="s">
        <v>40</v>
      </c>
      <c r="C447" s="36" t="s">
        <v>23</v>
      </c>
      <c r="D447" s="36" t="s">
        <v>41</v>
      </c>
      <c r="E447" s="36" t="s">
        <v>50</v>
      </c>
      <c r="F447" s="36" t="s">
        <v>51</v>
      </c>
      <c r="G447" s="36" t="s">
        <v>25</v>
      </c>
      <c r="H447" s="36" t="s">
        <v>25</v>
      </c>
      <c r="I447" s="56">
        <v>44682</v>
      </c>
      <c r="J447" s="57">
        <f>EFEITO!$J$447*EFEITO!$Y$355</f>
        <v>0</v>
      </c>
      <c r="K447" s="57">
        <f ca="1">EFEITO!$L$447*EFEITO!$Z$355</f>
        <v>278.00757288123685</v>
      </c>
      <c r="L447" s="57">
        <f>EFEITO!$N$447*EFEITO!$AA$355</f>
        <v>145.82542627882572</v>
      </c>
      <c r="M447" s="57">
        <f>$J$447-EFEITO!$K$447*EFEITO!$Y$447</f>
        <v>0</v>
      </c>
      <c r="N447" s="57">
        <f ca="1">$K$447-EFEITO!$M$447*EFEITO!$Z$447</f>
        <v>16.680454372874237</v>
      </c>
      <c r="O447" s="57">
        <f>$L$447-EFEITO!$O$447*EFEITO!$AA$447</f>
        <v>8.7495255767295816</v>
      </c>
      <c r="P447" s="40"/>
      <c r="Q447" s="40"/>
      <c r="R447" s="40"/>
      <c r="S447" s="40"/>
      <c r="T447" s="40"/>
      <c r="U447" s="40"/>
      <c r="V447" s="40"/>
      <c r="W447" s="40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6" t="s">
        <v>21</v>
      </c>
      <c r="B448" s="36" t="s">
        <v>40</v>
      </c>
      <c r="C448" s="36" t="s">
        <v>23</v>
      </c>
      <c r="D448" s="36" t="s">
        <v>41</v>
      </c>
      <c r="E448" s="36" t="s">
        <v>50</v>
      </c>
      <c r="F448" s="36" t="s">
        <v>51</v>
      </c>
      <c r="G448" s="36" t="s">
        <v>25</v>
      </c>
      <c r="H448" s="36" t="s">
        <v>25</v>
      </c>
      <c r="I448" s="56">
        <v>44713</v>
      </c>
      <c r="J448" s="57">
        <f>EFEITO!$J$448*EFEITO!$Y$355</f>
        <v>0</v>
      </c>
      <c r="K448" s="57">
        <f ca="1">EFEITO!$L$448*EFEITO!$Z$355</f>
        <v>324.92377416244972</v>
      </c>
      <c r="L448" s="57">
        <f>EFEITO!$N$448*EFEITO!$AA$355</f>
        <v>170.43473810551734</v>
      </c>
      <c r="M448" s="57">
        <f>$J$448-EFEITO!$K$448*EFEITO!$Y$448</f>
        <v>0</v>
      </c>
      <c r="N448" s="57">
        <f ca="1">$K$448-EFEITO!$M$448*EFEITO!$Z$448</f>
        <v>19.495426449746958</v>
      </c>
      <c r="O448" s="57">
        <f>$L$448-EFEITO!$O$448*EFEITO!$AA$448</f>
        <v>10.226084286331059</v>
      </c>
      <c r="P448" s="40"/>
      <c r="Q448" s="40"/>
      <c r="R448" s="40"/>
      <c r="S448" s="40"/>
      <c r="T448" s="40"/>
      <c r="U448" s="40"/>
      <c r="V448" s="40"/>
      <c r="W448" s="40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6" t="s">
        <v>21</v>
      </c>
      <c r="B449" s="36" t="s">
        <v>40</v>
      </c>
      <c r="C449" s="36" t="s">
        <v>23</v>
      </c>
      <c r="D449" s="36" t="s">
        <v>41</v>
      </c>
      <c r="E449" s="36" t="s">
        <v>50</v>
      </c>
      <c r="F449" s="36" t="s">
        <v>51</v>
      </c>
      <c r="G449" s="36" t="s">
        <v>25</v>
      </c>
      <c r="H449" s="36" t="s">
        <v>25</v>
      </c>
      <c r="I449" s="56">
        <v>44743</v>
      </c>
      <c r="J449" s="57">
        <f>EFEITO!$J$449*EFEITO!$Y$355</f>
        <v>0</v>
      </c>
      <c r="K449" s="57">
        <f ca="1">EFEITO!$L$449*EFEITO!$Z$355</f>
        <v>290.41516330271463</v>
      </c>
      <c r="L449" s="57">
        <f>EFEITO!$N$449*EFEITO!$AA$355</f>
        <v>152.33367403464499</v>
      </c>
      <c r="M449" s="57">
        <f>$J$449-EFEITO!$K$449*EFEITO!$Y$449</f>
        <v>0</v>
      </c>
      <c r="N449" s="57">
        <f ca="1">$K$449-EFEITO!$M$449*EFEITO!$Z$449</f>
        <v>17.424909798162901</v>
      </c>
      <c r="O449" s="57">
        <f>$L$449-EFEITO!$O$449*EFEITO!$AA$449</f>
        <v>9.1400204420787077</v>
      </c>
      <c r="P449" s="40"/>
      <c r="Q449" s="40"/>
      <c r="R449" s="40"/>
      <c r="S449" s="40"/>
      <c r="T449" s="40"/>
      <c r="U449" s="40"/>
      <c r="V449" s="40"/>
      <c r="W449" s="40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6" t="s">
        <v>21</v>
      </c>
      <c r="B450" s="36" t="s">
        <v>40</v>
      </c>
      <c r="C450" s="36" t="s">
        <v>23</v>
      </c>
      <c r="D450" s="36" t="s">
        <v>41</v>
      </c>
      <c r="E450" s="36" t="s">
        <v>50</v>
      </c>
      <c r="F450" s="36" t="s">
        <v>51</v>
      </c>
      <c r="G450" s="36" t="s">
        <v>25</v>
      </c>
      <c r="H450" s="36" t="s">
        <v>25</v>
      </c>
      <c r="I450" s="56">
        <v>44774</v>
      </c>
      <c r="J450" s="57">
        <f>EFEITO!$J$450*EFEITO!$Y$355</f>
        <v>0</v>
      </c>
      <c r="K450" s="57">
        <f ca="1">EFEITO!$L$450*EFEITO!$Z$355</f>
        <v>350.12669220607654</v>
      </c>
      <c r="L450" s="57">
        <f>EFEITO!$N$450*EFEITO!$AA$355</f>
        <v>183.65461635952528</v>
      </c>
      <c r="M450" s="57">
        <f>$J$450-EFEITO!$K$450*EFEITO!$Y$450</f>
        <v>0</v>
      </c>
      <c r="N450" s="57">
        <f ca="1">$K$450-EFEITO!$M$450*EFEITO!$Z$450</f>
        <v>21.007601532364617</v>
      </c>
      <c r="O450" s="57">
        <f>$L$450-EFEITO!$O$450*EFEITO!$AA$450</f>
        <v>11.019276981571551</v>
      </c>
      <c r="P450" s="40"/>
      <c r="Q450" s="40"/>
      <c r="R450" s="40"/>
      <c r="S450" s="40"/>
      <c r="T450" s="40"/>
      <c r="U450" s="40"/>
      <c r="V450" s="40"/>
      <c r="W450" s="40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6" t="s">
        <v>21</v>
      </c>
      <c r="B451" s="36" t="s">
        <v>40</v>
      </c>
      <c r="C451" s="36" t="s">
        <v>23</v>
      </c>
      <c r="D451" s="36" t="s">
        <v>41</v>
      </c>
      <c r="E451" s="36" t="s">
        <v>50</v>
      </c>
      <c r="F451" s="36" t="s">
        <v>52</v>
      </c>
      <c r="G451" s="36" t="s">
        <v>25</v>
      </c>
      <c r="H451" s="36" t="s">
        <v>25</v>
      </c>
      <c r="I451" s="56">
        <v>44440</v>
      </c>
      <c r="J451" s="57">
        <f>EFEITO!$J$451*EFEITO!$Y$355</f>
        <v>0</v>
      </c>
      <c r="K451" s="57">
        <f ca="1">EFEITO!$L$451*EFEITO!$Z$355</f>
        <v>55.446419695978889</v>
      </c>
      <c r="L451" s="57">
        <f>EFEITO!$N$451*EFEITO!$AA$355</f>
        <v>29.083732158817398</v>
      </c>
      <c r="M451" s="57">
        <f>$J$451-EFEITO!$K$451*EFEITO!$Y$451</f>
        <v>0</v>
      </c>
      <c r="N451" s="57">
        <f ca="1">$K$451-EFEITO!$M$451*EFEITO!$Z$451</f>
        <v>34.598565890290828</v>
      </c>
      <c r="O451" s="57">
        <f>$L$451-EFEITO!$O$451*EFEITO!$AA$451</f>
        <v>18.148248867102055</v>
      </c>
      <c r="P451" s="40"/>
      <c r="Q451" s="40"/>
      <c r="R451" s="40"/>
      <c r="S451" s="40"/>
      <c r="T451" s="40"/>
      <c r="U451" s="40"/>
      <c r="V451" s="40"/>
      <c r="W451" s="40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6" t="s">
        <v>21</v>
      </c>
      <c r="B452" s="36" t="s">
        <v>40</v>
      </c>
      <c r="C452" s="36" t="s">
        <v>23</v>
      </c>
      <c r="D452" s="36" t="s">
        <v>41</v>
      </c>
      <c r="E452" s="36" t="s">
        <v>50</v>
      </c>
      <c r="F452" s="36" t="s">
        <v>52</v>
      </c>
      <c r="G452" s="36" t="s">
        <v>25</v>
      </c>
      <c r="H452" s="36" t="s">
        <v>25</v>
      </c>
      <c r="I452" s="56">
        <v>44470</v>
      </c>
      <c r="J452" s="57">
        <f>EFEITO!$J$452*EFEITO!$Y$355</f>
        <v>0</v>
      </c>
      <c r="K452" s="57">
        <f ca="1">EFEITO!$L$452*EFEITO!$Z$355</f>
        <v>16.672699628860784</v>
      </c>
      <c r="L452" s="57">
        <f>EFEITO!$N$452*EFEITO!$AA$355</f>
        <v>8.7454579218821547</v>
      </c>
      <c r="M452" s="57">
        <f>$J$452-EFEITO!$K$452*EFEITO!$Y$452</f>
        <v>0</v>
      </c>
      <c r="N452" s="57">
        <f ca="1">$K$452-EFEITO!$M$452*EFEITO!$Z$452</f>
        <v>10.403764568409128</v>
      </c>
      <c r="O452" s="57">
        <f>$L$452-EFEITO!$O$452*EFEITO!$AA$452</f>
        <v>5.457165743254464</v>
      </c>
      <c r="P452" s="40"/>
      <c r="Q452" s="40"/>
      <c r="R452" s="40"/>
      <c r="S452" s="40"/>
      <c r="T452" s="40"/>
      <c r="U452" s="40"/>
      <c r="V452" s="40"/>
      <c r="W452" s="40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6" t="s">
        <v>21</v>
      </c>
      <c r="B453" s="36" t="s">
        <v>40</v>
      </c>
      <c r="C453" s="36" t="s">
        <v>23</v>
      </c>
      <c r="D453" s="36" t="s">
        <v>41</v>
      </c>
      <c r="E453" s="36" t="s">
        <v>50</v>
      </c>
      <c r="F453" s="36" t="s">
        <v>52</v>
      </c>
      <c r="G453" s="36" t="s">
        <v>25</v>
      </c>
      <c r="H453" s="36" t="s">
        <v>25</v>
      </c>
      <c r="I453" s="56">
        <v>44501</v>
      </c>
      <c r="J453" s="57">
        <f>EFEITO!$J$453*EFEITO!$Y$355</f>
        <v>0</v>
      </c>
      <c r="K453" s="57">
        <f ca="1">EFEITO!$L$453*EFEITO!$Z$355</f>
        <v>72.119119324839687</v>
      </c>
      <c r="L453" s="57">
        <f>EFEITO!$N$453*EFEITO!$AA$355</f>
        <v>37.829190080699554</v>
      </c>
      <c r="M453" s="57">
        <f>$J$453-EFEITO!$K$453*EFEITO!$Y$453</f>
        <v>0</v>
      </c>
      <c r="N453" s="57">
        <f ca="1">$K$453-EFEITO!$M$453*EFEITO!$Z$453</f>
        <v>45.002330458699973</v>
      </c>
      <c r="O453" s="57">
        <f>$L$453-EFEITO!$O$453*EFEITO!$AA$453</f>
        <v>23.605414610356526</v>
      </c>
      <c r="P453" s="40"/>
      <c r="Q453" s="40"/>
      <c r="R453" s="40"/>
      <c r="S453" s="40"/>
      <c r="T453" s="40"/>
      <c r="U453" s="40"/>
      <c r="V453" s="40"/>
      <c r="W453" s="40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6" t="s">
        <v>21</v>
      </c>
      <c r="B454" s="36" t="s">
        <v>40</v>
      </c>
      <c r="C454" s="36" t="s">
        <v>23</v>
      </c>
      <c r="D454" s="36" t="s">
        <v>41</v>
      </c>
      <c r="E454" s="36" t="s">
        <v>50</v>
      </c>
      <c r="F454" s="36" t="s">
        <v>52</v>
      </c>
      <c r="G454" s="36" t="s">
        <v>25</v>
      </c>
      <c r="H454" s="36" t="s">
        <v>25</v>
      </c>
      <c r="I454" s="56">
        <v>44531</v>
      </c>
      <c r="J454" s="57">
        <f>EFEITO!$J$454*EFEITO!$Y$355</f>
        <v>0</v>
      </c>
      <c r="K454" s="57">
        <f ca="1">EFEITO!$L$454*EFEITO!$Z$355</f>
        <v>63.201163709402522</v>
      </c>
      <c r="L454" s="57">
        <f>EFEITO!$N$454*EFEITO!$AA$355</f>
        <v>33.151387006204452</v>
      </c>
      <c r="M454" s="57">
        <f>$J$454-EFEITO!$K$454*EFEITO!$Y$454</f>
        <v>0</v>
      </c>
      <c r="N454" s="57">
        <f ca="1">$K$454-EFEITO!$M$454*EFEITO!$Z$454</f>
        <v>39.437526154667182</v>
      </c>
      <c r="O454" s="57">
        <f>$L$454-EFEITO!$O$454*EFEITO!$AA$454</f>
        <v>20.68646549187158</v>
      </c>
      <c r="P454" s="40"/>
      <c r="Q454" s="40"/>
      <c r="R454" s="40"/>
      <c r="S454" s="40"/>
      <c r="T454" s="40"/>
      <c r="U454" s="40"/>
      <c r="V454" s="40"/>
      <c r="W454" s="40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6" t="s">
        <v>21</v>
      </c>
      <c r="B455" s="36" t="s">
        <v>40</v>
      </c>
      <c r="C455" s="36" t="s">
        <v>23</v>
      </c>
      <c r="D455" s="36" t="s">
        <v>41</v>
      </c>
      <c r="E455" s="36" t="s">
        <v>50</v>
      </c>
      <c r="F455" s="36" t="s">
        <v>52</v>
      </c>
      <c r="G455" s="36" t="s">
        <v>25</v>
      </c>
      <c r="H455" s="36" t="s">
        <v>25</v>
      </c>
      <c r="I455" s="56">
        <v>44562</v>
      </c>
      <c r="J455" s="57">
        <f>EFEITO!$J$455*EFEITO!$Y$355</f>
        <v>0</v>
      </c>
      <c r="K455" s="57">
        <f ca="1">EFEITO!$L$455*EFEITO!$Z$355</f>
        <v>169.05341949263496</v>
      </c>
      <c r="L455" s="57">
        <f>EFEITO!$N$455*EFEITO!$AA$355</f>
        <v>88.674875673037675</v>
      </c>
      <c r="M455" s="57">
        <f>$J$455-EFEITO!$K$455*EFEITO!$Y$455</f>
        <v>0</v>
      </c>
      <c r="N455" s="57">
        <f ca="1">$K$455-EFEITO!$M$455*EFEITO!$Z$455</f>
        <v>105.48933376340422</v>
      </c>
      <c r="O455" s="57">
        <f>$L$455-EFEITO!$O$455*EFEITO!$AA$455</f>
        <v>55.333122419975517</v>
      </c>
      <c r="P455" s="40"/>
      <c r="Q455" s="40"/>
      <c r="R455" s="40"/>
      <c r="S455" s="40"/>
      <c r="T455" s="40"/>
      <c r="U455" s="40"/>
      <c r="V455" s="40"/>
      <c r="W455" s="40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6" t="s">
        <v>27</v>
      </c>
      <c r="B456" s="36" t="s">
        <v>40</v>
      </c>
      <c r="C456" s="36" t="s">
        <v>23</v>
      </c>
      <c r="D456" s="36" t="s">
        <v>41</v>
      </c>
      <c r="E456" s="36" t="s">
        <v>50</v>
      </c>
      <c r="F456" s="36" t="s">
        <v>52</v>
      </c>
      <c r="G456" s="36" t="s">
        <v>25</v>
      </c>
      <c r="H456" s="36" t="s">
        <v>25</v>
      </c>
      <c r="I456" s="56">
        <v>44562</v>
      </c>
      <c r="J456" s="57">
        <f>EFEITO!$J$456*EFEITO!$Y$355</f>
        <v>0</v>
      </c>
      <c r="K456" s="57">
        <f ca="1">EFEITO!$L$456*EFEITO!$Z$355</f>
        <v>-349.35121780473418</v>
      </c>
      <c r="L456" s="57">
        <f>EFEITO!$N$456*EFEITO!$AA$355</f>
        <v>-183.24785087478656</v>
      </c>
      <c r="M456" s="57">
        <f>$J$456-EFEITO!$K$456*EFEITO!$Y$456</f>
        <v>0</v>
      </c>
      <c r="N456" s="57">
        <f ca="1">$K$456-EFEITO!$M$456*EFEITO!$Z$456</f>
        <v>-217.99515991015414</v>
      </c>
      <c r="O456" s="57">
        <f>$L$456-EFEITO!$O$456*EFEITO!$AA$456</f>
        <v>-114.34665894586682</v>
      </c>
      <c r="P456" s="40"/>
      <c r="Q456" s="40"/>
      <c r="R456" s="40"/>
      <c r="S456" s="40"/>
      <c r="T456" s="40"/>
      <c r="U456" s="40"/>
      <c r="V456" s="40"/>
      <c r="W456" s="40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6" t="s">
        <v>21</v>
      </c>
      <c r="B457" s="36" t="s">
        <v>40</v>
      </c>
      <c r="C457" s="36" t="s">
        <v>23</v>
      </c>
      <c r="D457" s="36" t="s">
        <v>41</v>
      </c>
      <c r="E457" s="36" t="s">
        <v>50</v>
      </c>
      <c r="F457" s="36" t="s">
        <v>52</v>
      </c>
      <c r="G457" s="36" t="s">
        <v>25</v>
      </c>
      <c r="H457" s="36" t="s">
        <v>25</v>
      </c>
      <c r="I457" s="56">
        <v>44593</v>
      </c>
      <c r="J457" s="57">
        <f>EFEITO!$J$457*EFEITO!$Y$355</f>
        <v>0</v>
      </c>
      <c r="K457" s="57">
        <f ca="1">EFEITO!$L$457*EFEITO!$Z$355</f>
        <v>165.56378468659432</v>
      </c>
      <c r="L457" s="57">
        <f>EFEITO!$N$457*EFEITO!$AA$355</f>
        <v>86.844430991713494</v>
      </c>
      <c r="M457" s="57">
        <f>$J$457-EFEITO!$K$457*EFEITO!$Y$457</f>
        <v>0</v>
      </c>
      <c r="N457" s="57">
        <f ca="1">$K$457-EFEITO!$M$457*EFEITO!$Z$457</f>
        <v>103.31180164443485</v>
      </c>
      <c r="O457" s="57">
        <f>$L$457-EFEITO!$O$457*EFEITO!$AA$457</f>
        <v>54.19092493882922</v>
      </c>
      <c r="P457" s="40"/>
      <c r="Q457" s="40"/>
      <c r="R457" s="40"/>
      <c r="S457" s="40"/>
      <c r="T457" s="40"/>
      <c r="U457" s="40"/>
      <c r="V457" s="40"/>
      <c r="W457" s="40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6" t="s">
        <v>21</v>
      </c>
      <c r="B458" s="36" t="s">
        <v>40</v>
      </c>
      <c r="C458" s="36" t="s">
        <v>23</v>
      </c>
      <c r="D458" s="36" t="s">
        <v>41</v>
      </c>
      <c r="E458" s="36" t="s">
        <v>50</v>
      </c>
      <c r="F458" s="36" t="s">
        <v>52</v>
      </c>
      <c r="G458" s="36" t="s">
        <v>25</v>
      </c>
      <c r="H458" s="36" t="s">
        <v>25</v>
      </c>
      <c r="I458" s="56">
        <v>44621</v>
      </c>
      <c r="J458" s="57">
        <f>EFEITO!$J$458*EFEITO!$Y$355</f>
        <v>0</v>
      </c>
      <c r="K458" s="57">
        <f ca="1">EFEITO!$L$458*EFEITO!$Z$355</f>
        <v>94.99561416443936</v>
      </c>
      <c r="L458" s="57">
        <f>EFEITO!$N$458*EFEITO!$AA$355</f>
        <v>49.828771880491352</v>
      </c>
      <c r="M458" s="57">
        <f>$J$458-EFEITO!$K$458*EFEITO!$Y$458</f>
        <v>0</v>
      </c>
      <c r="N458" s="57">
        <f ca="1">$K$458-EFEITO!$M$458*EFEITO!$Z$458</f>
        <v>59.277263238610161</v>
      </c>
      <c r="O458" s="57">
        <f>$L$458-EFEITO!$O$458*EFEITO!$AA$458</f>
        <v>31.093153653426604</v>
      </c>
      <c r="P458" s="40"/>
      <c r="Q458" s="40"/>
      <c r="R458" s="40"/>
      <c r="S458" s="40"/>
      <c r="T458" s="40"/>
      <c r="U458" s="40"/>
      <c r="V458" s="40"/>
      <c r="W458" s="40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6" t="s">
        <v>21</v>
      </c>
      <c r="B459" s="36" t="s">
        <v>40</v>
      </c>
      <c r="C459" s="36" t="s">
        <v>23</v>
      </c>
      <c r="D459" s="36" t="s">
        <v>41</v>
      </c>
      <c r="E459" s="36" t="s">
        <v>50</v>
      </c>
      <c r="F459" s="36" t="s">
        <v>52</v>
      </c>
      <c r="G459" s="36" t="s">
        <v>25</v>
      </c>
      <c r="H459" s="36" t="s">
        <v>25</v>
      </c>
      <c r="I459" s="56">
        <v>44652</v>
      </c>
      <c r="J459" s="57">
        <f>EFEITO!$J$459*EFEITO!$Y$355</f>
        <v>0</v>
      </c>
      <c r="K459" s="57">
        <f ca="1">EFEITO!$L$459*EFEITO!$Z$355</f>
        <v>44.202040876514644</v>
      </c>
      <c r="L459" s="57">
        <f>EFEITO!$N$459*EFEITO!$AA$355</f>
        <v>23.185632630106181</v>
      </c>
      <c r="M459" s="57">
        <f>$J$459-EFEITO!$K$459*EFEITO!$Y$459</f>
        <v>0</v>
      </c>
      <c r="N459" s="57">
        <f ca="1">$K$459-EFEITO!$M$459*EFEITO!$Z$459</f>
        <v>27.582073506945139</v>
      </c>
      <c r="O459" s="57">
        <f>$L$459-EFEITO!$O$459*EFEITO!$AA$459</f>
        <v>14.467834761186257</v>
      </c>
      <c r="P459" s="40"/>
      <c r="Q459" s="40"/>
      <c r="R459" s="40"/>
      <c r="S459" s="40"/>
      <c r="T459" s="40"/>
      <c r="U459" s="40"/>
      <c r="V459" s="40"/>
      <c r="W459" s="40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6" t="s">
        <v>21</v>
      </c>
      <c r="B460" s="36" t="s">
        <v>40</v>
      </c>
      <c r="C460" s="36" t="s">
        <v>23</v>
      </c>
      <c r="D460" s="36" t="s">
        <v>41</v>
      </c>
      <c r="E460" s="36" t="s">
        <v>50</v>
      </c>
      <c r="F460" s="36" t="s">
        <v>52</v>
      </c>
      <c r="G460" s="36" t="s">
        <v>25</v>
      </c>
      <c r="H460" s="36" t="s">
        <v>25</v>
      </c>
      <c r="I460" s="56">
        <v>44682</v>
      </c>
      <c r="J460" s="57">
        <f>EFEITO!$J$460*EFEITO!$Y$355</f>
        <v>0</v>
      </c>
      <c r="K460" s="57">
        <f ca="1">EFEITO!$L$460*EFEITO!$Z$355</f>
        <v>63.976638110744879</v>
      </c>
      <c r="L460" s="57">
        <f>EFEITO!$N$460*EFEITO!$AA$355</f>
        <v>33.558152490943158</v>
      </c>
      <c r="M460" s="57">
        <f>$J$460-EFEITO!$K$460*EFEITO!$Y$460</f>
        <v>0</v>
      </c>
      <c r="N460" s="57">
        <f ca="1">$K$460-EFEITO!$M$460*EFEITO!$Z$460</f>
        <v>39.921422181104802</v>
      </c>
      <c r="O460" s="57">
        <f>$L$460-EFEITO!$O$460*EFEITO!$AA$460</f>
        <v>20.940287154348532</v>
      </c>
      <c r="P460" s="40"/>
      <c r="Q460" s="40"/>
      <c r="R460" s="40"/>
      <c r="S460" s="40"/>
      <c r="T460" s="40"/>
      <c r="U460" s="40"/>
      <c r="V460" s="40"/>
      <c r="W460" s="40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6" t="s">
        <v>21</v>
      </c>
      <c r="B461" s="36" t="s">
        <v>40</v>
      </c>
      <c r="C461" s="36" t="s">
        <v>23</v>
      </c>
      <c r="D461" s="36" t="s">
        <v>41</v>
      </c>
      <c r="E461" s="36" t="s">
        <v>50</v>
      </c>
      <c r="F461" s="36" t="s">
        <v>52</v>
      </c>
      <c r="G461" s="36" t="s">
        <v>25</v>
      </c>
      <c r="H461" s="36" t="s">
        <v>25</v>
      </c>
      <c r="I461" s="56">
        <v>44713</v>
      </c>
      <c r="J461" s="57">
        <f>EFEITO!$J$461*EFEITO!$Y$355</f>
        <v>0</v>
      </c>
      <c r="K461" s="57">
        <f ca="1">EFEITO!$L$461*EFEITO!$Z$355</f>
        <v>57.772842900005976</v>
      </c>
      <c r="L461" s="57">
        <f>EFEITO!$N$461*EFEITO!$AA$355</f>
        <v>30.304028613033516</v>
      </c>
      <c r="M461" s="57">
        <f>$J$461-EFEITO!$K$461*EFEITO!$Y$461</f>
        <v>0</v>
      </c>
      <c r="N461" s="57">
        <f ca="1">$K$461-EFEITO!$M$461*EFEITO!$Z$461</f>
        <v>36.05025396960373</v>
      </c>
      <c r="O461" s="57">
        <f>$L$461-EFEITO!$O$461*EFEITO!$AA$461</f>
        <v>18.909713854532917</v>
      </c>
      <c r="P461" s="40"/>
      <c r="Q461" s="40"/>
      <c r="R461" s="40"/>
      <c r="S461" s="40"/>
      <c r="T461" s="40"/>
      <c r="U461" s="40"/>
      <c r="V461" s="40"/>
      <c r="W461" s="40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6" t="s">
        <v>21</v>
      </c>
      <c r="B462" s="36" t="s">
        <v>40</v>
      </c>
      <c r="C462" s="36" t="s">
        <v>23</v>
      </c>
      <c r="D462" s="36" t="s">
        <v>41</v>
      </c>
      <c r="E462" s="36" t="s">
        <v>50</v>
      </c>
      <c r="F462" s="36" t="s">
        <v>52</v>
      </c>
      <c r="G462" s="36" t="s">
        <v>25</v>
      </c>
      <c r="H462" s="36" t="s">
        <v>25</v>
      </c>
      <c r="I462" s="56">
        <v>44743</v>
      </c>
      <c r="J462" s="57">
        <f>EFEITO!$J$462*EFEITO!$Y$355</f>
        <v>0</v>
      </c>
      <c r="K462" s="57">
        <f ca="1">EFEITO!$L$462*EFEITO!$Z$355</f>
        <v>39.54919446846047</v>
      </c>
      <c r="L462" s="57">
        <f>EFEITO!$N$462*EFEITO!$AA$355</f>
        <v>20.745039721673947</v>
      </c>
      <c r="M462" s="57">
        <f>$J$462-EFEITO!$K$462*EFEITO!$Y$462</f>
        <v>0</v>
      </c>
      <c r="N462" s="57">
        <f ca="1">$K$462-EFEITO!$M$462*EFEITO!$Z$462</f>
        <v>24.678697348319332</v>
      </c>
      <c r="O462" s="57">
        <f>$L$462-EFEITO!$O$462*EFEITO!$AA$462</f>
        <v>12.944904786324543</v>
      </c>
      <c r="P462" s="40"/>
      <c r="Q462" s="40"/>
      <c r="R462" s="40"/>
      <c r="S462" s="40"/>
      <c r="T462" s="40"/>
      <c r="U462" s="40"/>
      <c r="V462" s="40"/>
      <c r="W462" s="40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6" t="s">
        <v>21</v>
      </c>
      <c r="B463" s="36" t="s">
        <v>40</v>
      </c>
      <c r="C463" s="36" t="s">
        <v>23</v>
      </c>
      <c r="D463" s="36" t="s">
        <v>41</v>
      </c>
      <c r="E463" s="36" t="s">
        <v>50</v>
      </c>
      <c r="F463" s="36" t="s">
        <v>52</v>
      </c>
      <c r="G463" s="36" t="s">
        <v>25</v>
      </c>
      <c r="H463" s="36" t="s">
        <v>25</v>
      </c>
      <c r="I463" s="56">
        <v>44774</v>
      </c>
      <c r="J463" s="57">
        <f>EFEITO!$J$463*EFEITO!$Y$355</f>
        <v>0</v>
      </c>
      <c r="K463" s="57">
        <f ca="1">EFEITO!$L$463*EFEITO!$Z$355</f>
        <v>87.628607351686924</v>
      </c>
      <c r="L463" s="57">
        <f>EFEITO!$N$463*EFEITO!$AA$355</f>
        <v>45.964499775473655</v>
      </c>
      <c r="M463" s="57">
        <f>$J$463-EFEITO!$K$463*EFEITO!$Y$463</f>
        <v>0</v>
      </c>
      <c r="N463" s="57">
        <f ca="1">$K$463-EFEITO!$M$463*EFEITO!$Z$463</f>
        <v>54.680250987452645</v>
      </c>
      <c r="O463" s="57">
        <f>$L$463-EFEITO!$O$463*EFEITO!$AA$463</f>
        <v>28.681847859895562</v>
      </c>
      <c r="P463" s="40"/>
      <c r="Q463" s="40"/>
      <c r="R463" s="40"/>
      <c r="S463" s="40"/>
      <c r="T463" s="40"/>
      <c r="U463" s="40"/>
      <c r="V463" s="40"/>
      <c r="W463" s="40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6" t="s">
        <v>21</v>
      </c>
      <c r="B464" s="36" t="s">
        <v>40</v>
      </c>
      <c r="C464" s="36" t="s">
        <v>23</v>
      </c>
      <c r="D464" s="36" t="s">
        <v>41</v>
      </c>
      <c r="E464" s="36" t="s">
        <v>53</v>
      </c>
      <c r="F464" s="36" t="s">
        <v>51</v>
      </c>
      <c r="G464" s="36" t="s">
        <v>25</v>
      </c>
      <c r="H464" s="36" t="s">
        <v>25</v>
      </c>
      <c r="I464" s="56">
        <v>44440</v>
      </c>
      <c r="J464" s="57">
        <f>EFEITO!$J$464*EFEITO!$Y$355</f>
        <v>0</v>
      </c>
      <c r="K464" s="57">
        <f ca="1">EFEITO!$L$464*EFEITO!$Z$355</f>
        <v>17665.306862579011</v>
      </c>
      <c r="L464" s="57">
        <f>EFEITO!$N$464*EFEITO!$AA$355</f>
        <v>9266.1177423476984</v>
      </c>
      <c r="M464" s="57">
        <f>$J$464-EFEITO!$K$464*EFEITO!$Y$464</f>
        <v>0</v>
      </c>
      <c r="N464" s="57">
        <f ca="1">$K$464-EFEITO!$M$464*EFEITO!$Z$464</f>
        <v>1059.9184117547411</v>
      </c>
      <c r="O464" s="57">
        <f>$L$464-EFEITO!$O$464*EFEITO!$AA$464</f>
        <v>555.96706454086234</v>
      </c>
      <c r="P464" s="40"/>
      <c r="Q464" s="40"/>
      <c r="R464" s="40"/>
      <c r="S464" s="40"/>
      <c r="T464" s="40"/>
      <c r="U464" s="40"/>
      <c r="V464" s="40"/>
      <c r="W464" s="40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6" t="s">
        <v>28</v>
      </c>
      <c r="B465" s="36" t="s">
        <v>40</v>
      </c>
      <c r="C465" s="36" t="s">
        <v>23</v>
      </c>
      <c r="D465" s="36" t="s">
        <v>41</v>
      </c>
      <c r="E465" s="36" t="s">
        <v>53</v>
      </c>
      <c r="F465" s="36" t="s">
        <v>51</v>
      </c>
      <c r="G465" s="36" t="s">
        <v>25</v>
      </c>
      <c r="H465" s="36" t="s">
        <v>25</v>
      </c>
      <c r="I465" s="56">
        <v>44440</v>
      </c>
      <c r="J465" s="57">
        <f>EFEITO!$J$465*EFEITO!$Y$355</f>
        <v>0</v>
      </c>
      <c r="K465" s="57">
        <f ca="1">EFEITO!$L$465*EFEITO!$Z$355</f>
        <v>1982.5003070317491</v>
      </c>
      <c r="L465" s="57">
        <f>EFEITO!$N$465*EFEITO!$AA$355</f>
        <v>1039.8959617344992</v>
      </c>
      <c r="M465" s="57">
        <f>$J$465-EFEITO!$K$465*EFEITO!$Y$465</f>
        <v>0</v>
      </c>
      <c r="N465" s="57">
        <f ca="1">$K$465-EFEITO!$M$465*EFEITO!$Z$465</f>
        <v>118.95001842190504</v>
      </c>
      <c r="O465" s="57">
        <f>$L$465-EFEITO!$O$465*EFEITO!$AA$465</f>
        <v>62.39375770407014</v>
      </c>
      <c r="P465" s="40"/>
      <c r="Q465" s="40"/>
      <c r="R465" s="40"/>
      <c r="S465" s="40"/>
      <c r="T465" s="40"/>
      <c r="U465" s="40"/>
      <c r="V465" s="40"/>
      <c r="W465" s="40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6" t="s">
        <v>21</v>
      </c>
      <c r="B466" s="36" t="s">
        <v>40</v>
      </c>
      <c r="C466" s="36" t="s">
        <v>23</v>
      </c>
      <c r="D466" s="36" t="s">
        <v>41</v>
      </c>
      <c r="E466" s="36" t="s">
        <v>53</v>
      </c>
      <c r="F466" s="36" t="s">
        <v>51</v>
      </c>
      <c r="G466" s="36" t="s">
        <v>25</v>
      </c>
      <c r="H466" s="36" t="s">
        <v>25</v>
      </c>
      <c r="I466" s="56">
        <v>44470</v>
      </c>
      <c r="J466" s="57">
        <f>EFEITO!$J$466*EFEITO!$Y$355</f>
        <v>0</v>
      </c>
      <c r="K466" s="57">
        <f ca="1">EFEITO!$L$466*EFEITO!$Z$355</f>
        <v>22415.475308001649</v>
      </c>
      <c r="L466" s="57">
        <f>EFEITO!$N$466*EFEITO!$AA$355</f>
        <v>11757.759719114634</v>
      </c>
      <c r="M466" s="57">
        <f>$J$466-EFEITO!$K$466*EFEITO!$Y$466</f>
        <v>0</v>
      </c>
      <c r="N466" s="57">
        <f ca="1">$K$466-EFEITO!$M$466*EFEITO!$Z$466</f>
        <v>1344.928518480101</v>
      </c>
      <c r="O466" s="57">
        <f>$L$466-EFEITO!$O$466*EFEITO!$AA$466</f>
        <v>705.465583146879</v>
      </c>
      <c r="P466" s="40"/>
      <c r="Q466" s="40"/>
      <c r="R466" s="40"/>
      <c r="S466" s="40"/>
      <c r="T466" s="40"/>
      <c r="U466" s="40"/>
      <c r="V466" s="40"/>
      <c r="W466" s="40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6" t="s">
        <v>28</v>
      </c>
      <c r="B467" s="36" t="s">
        <v>40</v>
      </c>
      <c r="C467" s="36" t="s">
        <v>23</v>
      </c>
      <c r="D467" s="36" t="s">
        <v>41</v>
      </c>
      <c r="E467" s="36" t="s">
        <v>53</v>
      </c>
      <c r="F467" s="36" t="s">
        <v>51</v>
      </c>
      <c r="G467" s="36" t="s">
        <v>25</v>
      </c>
      <c r="H467" s="36" t="s">
        <v>25</v>
      </c>
      <c r="I467" s="56">
        <v>44470</v>
      </c>
      <c r="J467" s="57">
        <f>EFEITO!$J$467*EFEITO!$Y$355</f>
        <v>0</v>
      </c>
      <c r="K467" s="57">
        <f ca="1">EFEITO!$L$467*EFEITO!$Z$355</f>
        <v>4888.2028888615796</v>
      </c>
      <c r="L467" s="57">
        <f>EFEITO!$N$467*EFEITO!$AA$355</f>
        <v>2564.0462330504261</v>
      </c>
      <c r="M467" s="57">
        <f>$J$467-EFEITO!$K$467*EFEITO!$Y$467</f>
        <v>0</v>
      </c>
      <c r="N467" s="57">
        <f ca="1">$K$467-EFEITO!$M$467*EFEITO!$Z$467</f>
        <v>293.29217333169527</v>
      </c>
      <c r="O467" s="57">
        <f>$L$467-EFEITO!$O$467*EFEITO!$AA$467</f>
        <v>153.84277398302584</v>
      </c>
      <c r="P467" s="40"/>
      <c r="Q467" s="40"/>
      <c r="R467" s="40"/>
      <c r="S467" s="40"/>
      <c r="T467" s="40"/>
      <c r="U467" s="40"/>
      <c r="V467" s="40"/>
      <c r="W467" s="40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6" t="s">
        <v>21</v>
      </c>
      <c r="B468" s="36" t="s">
        <v>40</v>
      </c>
      <c r="C468" s="36" t="s">
        <v>23</v>
      </c>
      <c r="D468" s="36" t="s">
        <v>41</v>
      </c>
      <c r="E468" s="36" t="s">
        <v>53</v>
      </c>
      <c r="F468" s="36" t="s">
        <v>51</v>
      </c>
      <c r="G468" s="36" t="s">
        <v>25</v>
      </c>
      <c r="H468" s="36" t="s">
        <v>25</v>
      </c>
      <c r="I468" s="56">
        <v>44501</v>
      </c>
      <c r="J468" s="57">
        <f>EFEITO!$J$468*EFEITO!$Y$355</f>
        <v>0</v>
      </c>
      <c r="K468" s="57">
        <f ca="1">EFEITO!$L$468*EFEITO!$Z$355</f>
        <v>24624.41414022537</v>
      </c>
      <c r="L468" s="57">
        <f>EFEITO!$N$468*EFEITO!$AA$355</f>
        <v>12916.431202392836</v>
      </c>
      <c r="M468" s="57">
        <f>$J$468-EFEITO!$K$468*EFEITO!$Y$468</f>
        <v>0</v>
      </c>
      <c r="N468" s="57">
        <f ca="1">$K$468-EFEITO!$M$468*EFEITO!$Z$468</f>
        <v>1477.464848413525</v>
      </c>
      <c r="O468" s="57">
        <f>$L$468-EFEITO!$O$468*EFEITO!$AA$468</f>
        <v>774.9858721435703</v>
      </c>
      <c r="P468" s="40"/>
      <c r="Q468" s="40"/>
      <c r="R468" s="40"/>
      <c r="S468" s="40"/>
      <c r="T468" s="40"/>
      <c r="U468" s="40"/>
      <c r="V468" s="40"/>
      <c r="W468" s="40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6" t="s">
        <v>28</v>
      </c>
      <c r="B469" s="36" t="s">
        <v>40</v>
      </c>
      <c r="C469" s="36" t="s">
        <v>23</v>
      </c>
      <c r="D469" s="36" t="s">
        <v>41</v>
      </c>
      <c r="E469" s="36" t="s">
        <v>53</v>
      </c>
      <c r="F469" s="36" t="s">
        <v>51</v>
      </c>
      <c r="G469" s="36" t="s">
        <v>25</v>
      </c>
      <c r="H469" s="36" t="s">
        <v>25</v>
      </c>
      <c r="I469" s="56">
        <v>44501</v>
      </c>
      <c r="J469" s="57">
        <f>EFEITO!$J$469*EFEITO!$Y$355</f>
        <v>0</v>
      </c>
      <c r="K469" s="57">
        <f ca="1">EFEITO!$L$469*EFEITO!$Z$355</f>
        <v>4664.0907868736376</v>
      </c>
      <c r="L469" s="57">
        <f>EFEITO!$N$469*EFEITO!$AA$355</f>
        <v>2446.4910079609408</v>
      </c>
      <c r="M469" s="57">
        <f>$J$469-EFEITO!$K$469*EFEITO!$Y$469</f>
        <v>0</v>
      </c>
      <c r="N469" s="57">
        <f ca="1">$K$469-EFEITO!$M$469*EFEITO!$Z$469</f>
        <v>279.84544721241855</v>
      </c>
      <c r="O469" s="57">
        <f>$L$469-EFEITO!$O$469*EFEITO!$AA$469</f>
        <v>146.78946047765703</v>
      </c>
      <c r="P469" s="40"/>
      <c r="Q469" s="40"/>
      <c r="R469" s="40"/>
      <c r="S469" s="40"/>
      <c r="T469" s="40"/>
      <c r="U469" s="40"/>
      <c r="V469" s="40"/>
      <c r="W469" s="40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6" t="s">
        <v>21</v>
      </c>
      <c r="B470" s="36" t="s">
        <v>40</v>
      </c>
      <c r="C470" s="36" t="s">
        <v>23</v>
      </c>
      <c r="D470" s="36" t="s">
        <v>41</v>
      </c>
      <c r="E470" s="36" t="s">
        <v>53</v>
      </c>
      <c r="F470" s="36" t="s">
        <v>51</v>
      </c>
      <c r="G470" s="36" t="s">
        <v>25</v>
      </c>
      <c r="H470" s="36" t="s">
        <v>25</v>
      </c>
      <c r="I470" s="56">
        <v>44531</v>
      </c>
      <c r="J470" s="57">
        <f>EFEITO!$J$470*EFEITO!$Y$355</f>
        <v>0</v>
      </c>
      <c r="K470" s="57">
        <f ca="1">EFEITO!$L$470*EFEITO!$Z$355</f>
        <v>29166.367708887581</v>
      </c>
      <c r="L470" s="57">
        <f>EFEITO!$N$470*EFEITO!$AA$355</f>
        <v>15298.856646507429</v>
      </c>
      <c r="M470" s="57">
        <f>$J$470-EFEITO!$K$470*EFEITO!$Y$470</f>
        <v>0</v>
      </c>
      <c r="N470" s="57">
        <f ca="1">$K$470-EFEITO!$M$470*EFEITO!$Z$470</f>
        <v>1749.9820625332577</v>
      </c>
      <c r="O470" s="57">
        <f>$L$470-EFEITO!$O$470*EFEITO!$AA$470</f>
        <v>917.93139879044793</v>
      </c>
      <c r="P470" s="40"/>
      <c r="Q470" s="40"/>
      <c r="R470" s="40"/>
      <c r="S470" s="40"/>
      <c r="T470" s="40"/>
      <c r="U470" s="40"/>
      <c r="V470" s="40"/>
      <c r="W470" s="40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6" t="s">
        <v>28</v>
      </c>
      <c r="B471" s="36" t="s">
        <v>40</v>
      </c>
      <c r="C471" s="36" t="s">
        <v>23</v>
      </c>
      <c r="D471" s="36" t="s">
        <v>41</v>
      </c>
      <c r="E471" s="36" t="s">
        <v>53</v>
      </c>
      <c r="F471" s="36" t="s">
        <v>51</v>
      </c>
      <c r="G471" s="36" t="s">
        <v>25</v>
      </c>
      <c r="H471" s="36" t="s">
        <v>25</v>
      </c>
      <c r="I471" s="56">
        <v>44531</v>
      </c>
      <c r="J471" s="57">
        <f>EFEITO!$J$471*EFEITO!$Y$355</f>
        <v>0</v>
      </c>
      <c r="K471" s="57">
        <f ca="1">EFEITO!$L$471*EFEITO!$Z$355</f>
        <v>6337.5645449704543</v>
      </c>
      <c r="L471" s="57">
        <f>EFEITO!$N$471*EFEITO!$AA$355</f>
        <v>3324.2909240270656</v>
      </c>
      <c r="M471" s="57">
        <f>$J$471-EFEITO!$K$471*EFEITO!$Y$471</f>
        <v>0</v>
      </c>
      <c r="N471" s="57">
        <f ca="1">$K$471-EFEITO!$M$471*EFEITO!$Z$471</f>
        <v>380.2538726982275</v>
      </c>
      <c r="O471" s="57">
        <f>$L$471-EFEITO!$O$471*EFEITO!$AA$471</f>
        <v>199.45745544162401</v>
      </c>
      <c r="P471" s="40"/>
      <c r="Q471" s="40"/>
      <c r="R471" s="40"/>
      <c r="S471" s="40"/>
      <c r="T471" s="40"/>
      <c r="U471" s="40"/>
      <c r="V471" s="40"/>
      <c r="W471" s="40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6" t="s">
        <v>21</v>
      </c>
      <c r="B472" s="36" t="s">
        <v>40</v>
      </c>
      <c r="C472" s="36" t="s">
        <v>23</v>
      </c>
      <c r="D472" s="36" t="s">
        <v>41</v>
      </c>
      <c r="E472" s="36" t="s">
        <v>53</v>
      </c>
      <c r="F472" s="36" t="s">
        <v>51</v>
      </c>
      <c r="G472" s="36" t="s">
        <v>25</v>
      </c>
      <c r="H472" s="36" t="s">
        <v>25</v>
      </c>
      <c r="I472" s="56">
        <v>44562</v>
      </c>
      <c r="J472" s="57">
        <f>EFEITO!$J$472*EFEITO!$Y$355</f>
        <v>0</v>
      </c>
      <c r="K472" s="57">
        <f ca="1">EFEITO!$L$472*EFEITO!$Z$355</f>
        <v>31899.52723641874</v>
      </c>
      <c r="L472" s="57">
        <f>EFEITO!$N$472*EFEITO!$AA$355</f>
        <v>16732.501597468996</v>
      </c>
      <c r="M472" s="57">
        <f>$J$472-EFEITO!$K$472*EFEITO!$Y$472</f>
        <v>0</v>
      </c>
      <c r="N472" s="57">
        <f ca="1">$K$472-EFEITO!$M$472*EFEITO!$Z$472</f>
        <v>1913.9716341851272</v>
      </c>
      <c r="O472" s="57">
        <f>$L$472-EFEITO!$O$472*EFEITO!$AA$472</f>
        <v>1003.9500958481422</v>
      </c>
      <c r="P472" s="40"/>
      <c r="Q472" s="40"/>
      <c r="R472" s="40"/>
      <c r="S472" s="40"/>
      <c r="T472" s="40"/>
      <c r="U472" s="40"/>
      <c r="V472" s="40"/>
      <c r="W472" s="40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6" t="s">
        <v>28</v>
      </c>
      <c r="B473" s="36" t="s">
        <v>40</v>
      </c>
      <c r="C473" s="36" t="s">
        <v>23</v>
      </c>
      <c r="D473" s="36" t="s">
        <v>41</v>
      </c>
      <c r="E473" s="36" t="s">
        <v>53</v>
      </c>
      <c r="F473" s="36" t="s">
        <v>51</v>
      </c>
      <c r="G473" s="36" t="s">
        <v>25</v>
      </c>
      <c r="H473" s="36" t="s">
        <v>25</v>
      </c>
      <c r="I473" s="56">
        <v>44562</v>
      </c>
      <c r="J473" s="57">
        <f>EFEITO!$J$473*EFEITO!$Y$355</f>
        <v>0</v>
      </c>
      <c r="K473" s="57">
        <f ca="1">EFEITO!$L$473*EFEITO!$Z$355</f>
        <v>7548.8555598672247</v>
      </c>
      <c r="L473" s="57">
        <f>EFEITO!$N$473*EFEITO!$AA$355</f>
        <v>3959.6586111889233</v>
      </c>
      <c r="M473" s="57">
        <f>$J$473-EFEITO!$K$473*EFEITO!$Y$473</f>
        <v>0</v>
      </c>
      <c r="N473" s="57">
        <f ca="1">$K$473-EFEITO!$M$473*EFEITO!$Z$473</f>
        <v>452.9313335920333</v>
      </c>
      <c r="O473" s="57">
        <f>$L$473-EFEITO!$O$473*EFEITO!$AA$473</f>
        <v>237.57951667133602</v>
      </c>
      <c r="P473" s="40"/>
      <c r="Q473" s="40"/>
      <c r="R473" s="40"/>
      <c r="S473" s="40"/>
      <c r="T473" s="40"/>
      <c r="U473" s="40"/>
      <c r="V473" s="40"/>
      <c r="W473" s="40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6" t="s">
        <v>21</v>
      </c>
      <c r="B474" s="36" t="s">
        <v>40</v>
      </c>
      <c r="C474" s="36" t="s">
        <v>23</v>
      </c>
      <c r="D474" s="36" t="s">
        <v>41</v>
      </c>
      <c r="E474" s="36" t="s">
        <v>53</v>
      </c>
      <c r="F474" s="36" t="s">
        <v>51</v>
      </c>
      <c r="G474" s="36" t="s">
        <v>25</v>
      </c>
      <c r="H474" s="36" t="s">
        <v>25</v>
      </c>
      <c r="I474" s="56">
        <v>44593</v>
      </c>
      <c r="J474" s="57">
        <f>EFEITO!$J$474*EFEITO!$Y$355</f>
        <v>0</v>
      </c>
      <c r="K474" s="57">
        <f ca="1">EFEITO!$L$474*EFEITO!$Z$355</f>
        <v>32946.805415431598</v>
      </c>
      <c r="L474" s="57">
        <f>EFEITO!$N$474*EFEITO!$AA$355</f>
        <v>17281.838384608614</v>
      </c>
      <c r="M474" s="57">
        <f>$J$474-EFEITO!$K$474*EFEITO!$Y$474</f>
        <v>0</v>
      </c>
      <c r="N474" s="57">
        <f ca="1">$K$474-EFEITO!$M$474*EFEITO!$Z$474</f>
        <v>1976.8083249258998</v>
      </c>
      <c r="O474" s="57">
        <f>$L$474-EFEITO!$O$474*EFEITO!$AA$474</f>
        <v>1036.9103030765182</v>
      </c>
      <c r="P474" s="40"/>
      <c r="Q474" s="40"/>
      <c r="R474" s="40"/>
      <c r="S474" s="40"/>
      <c r="T474" s="40"/>
      <c r="U474" s="40"/>
      <c r="V474" s="40"/>
      <c r="W474" s="40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6" t="s">
        <v>27</v>
      </c>
      <c r="B475" s="36" t="s">
        <v>40</v>
      </c>
      <c r="C475" s="36" t="s">
        <v>23</v>
      </c>
      <c r="D475" s="36" t="s">
        <v>41</v>
      </c>
      <c r="E475" s="36" t="s">
        <v>53</v>
      </c>
      <c r="F475" s="36" t="s">
        <v>51</v>
      </c>
      <c r="G475" s="36" t="s">
        <v>25</v>
      </c>
      <c r="H475" s="36" t="s">
        <v>25</v>
      </c>
      <c r="I475" s="56">
        <v>44593</v>
      </c>
      <c r="J475" s="57">
        <f>EFEITO!$J$475*EFEITO!$Y$355</f>
        <v>0</v>
      </c>
      <c r="K475" s="57">
        <f ca="1">EFEITO!$L$475*EFEITO!$Z$355</f>
        <v>-775.47440134236217</v>
      </c>
      <c r="L475" s="57">
        <f>EFEITO!$N$475*EFEITO!$AA$355</f>
        <v>-406.76548473870491</v>
      </c>
      <c r="M475" s="57">
        <f>$J$475-EFEITO!$K$475*EFEITO!$Y$475</f>
        <v>0</v>
      </c>
      <c r="N475" s="57">
        <f ca="1">$K$475-EFEITO!$M$475*EFEITO!$Z$475</f>
        <v>-46.528464080541767</v>
      </c>
      <c r="O475" s="57">
        <f>$L$475-EFEITO!$O$475*EFEITO!$AA$475</f>
        <v>-24.405929084322338</v>
      </c>
      <c r="P475" s="40"/>
      <c r="Q475" s="40"/>
      <c r="R475" s="40"/>
      <c r="S475" s="40"/>
      <c r="T475" s="40"/>
      <c r="U475" s="40"/>
      <c r="V475" s="40"/>
      <c r="W475" s="40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6" t="s">
        <v>28</v>
      </c>
      <c r="B476" s="36" t="s">
        <v>40</v>
      </c>
      <c r="C476" s="36" t="s">
        <v>23</v>
      </c>
      <c r="D476" s="36" t="s">
        <v>41</v>
      </c>
      <c r="E476" s="36" t="s">
        <v>53</v>
      </c>
      <c r="F476" s="36" t="s">
        <v>51</v>
      </c>
      <c r="G476" s="36" t="s">
        <v>25</v>
      </c>
      <c r="H476" s="36" t="s">
        <v>25</v>
      </c>
      <c r="I476" s="56">
        <v>44593</v>
      </c>
      <c r="J476" s="57">
        <f>EFEITO!$J$476*EFEITO!$Y$355</f>
        <v>0</v>
      </c>
      <c r="K476" s="57">
        <f ca="1">EFEITO!$L$476*EFEITO!$Z$355</f>
        <v>6680.7119675644499</v>
      </c>
      <c r="L476" s="57">
        <f>EFEITO!$N$476*EFEITO!$AA$355</f>
        <v>3504.2846510239428</v>
      </c>
      <c r="M476" s="57">
        <f>$J$476-EFEITO!$K$476*EFEITO!$Y$476</f>
        <v>0</v>
      </c>
      <c r="N476" s="57">
        <f ca="1">$K$476-EFEITO!$M$476*EFEITO!$Z$476</f>
        <v>400.84271805386652</v>
      </c>
      <c r="O476" s="57">
        <f>$L$476-EFEITO!$O$476*EFEITO!$AA$476</f>
        <v>210.2570790614368</v>
      </c>
      <c r="P476" s="40"/>
      <c r="Q476" s="40"/>
      <c r="R476" s="40"/>
      <c r="S476" s="40"/>
      <c r="T476" s="40"/>
      <c r="U476" s="40"/>
      <c r="V476" s="40"/>
      <c r="W476" s="40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6" t="s">
        <v>21</v>
      </c>
      <c r="B477" s="36" t="s">
        <v>40</v>
      </c>
      <c r="C477" s="36" t="s">
        <v>23</v>
      </c>
      <c r="D477" s="36" t="s">
        <v>41</v>
      </c>
      <c r="E477" s="36" t="s">
        <v>53</v>
      </c>
      <c r="F477" s="36" t="s">
        <v>51</v>
      </c>
      <c r="G477" s="36" t="s">
        <v>25</v>
      </c>
      <c r="H477" s="36" t="s">
        <v>25</v>
      </c>
      <c r="I477" s="56">
        <v>44621</v>
      </c>
      <c r="J477" s="57">
        <f>EFEITO!$J$477*EFEITO!$Y$355</f>
        <v>0</v>
      </c>
      <c r="K477" s="57">
        <f ca="1">EFEITO!$L$477*EFEITO!$Z$355</f>
        <v>31865.794099960345</v>
      </c>
      <c r="L477" s="57">
        <f>EFEITO!$N$477*EFEITO!$AA$355</f>
        <v>16714.807298882861</v>
      </c>
      <c r="M477" s="57">
        <f>$J$477-EFEITO!$K$477*EFEITO!$Y$477</f>
        <v>0</v>
      </c>
      <c r="N477" s="57">
        <f ca="1">$K$477-EFEITO!$M$477*EFEITO!$Z$477</f>
        <v>1911.9476459976213</v>
      </c>
      <c r="O477" s="57">
        <f>$L$477-EFEITO!$O$477*EFEITO!$AA$477</f>
        <v>1002.888437932972</v>
      </c>
      <c r="P477" s="40"/>
      <c r="Q477" s="40"/>
      <c r="R477" s="40"/>
      <c r="S477" s="40"/>
      <c r="T477" s="40"/>
      <c r="U477" s="40"/>
      <c r="V477" s="40"/>
      <c r="W477" s="40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6" t="s">
        <v>28</v>
      </c>
      <c r="B478" s="36" t="s">
        <v>40</v>
      </c>
      <c r="C478" s="36" t="s">
        <v>23</v>
      </c>
      <c r="D478" s="36" t="s">
        <v>41</v>
      </c>
      <c r="E478" s="36" t="s">
        <v>53</v>
      </c>
      <c r="F478" s="36" t="s">
        <v>51</v>
      </c>
      <c r="G478" s="36" t="s">
        <v>25</v>
      </c>
      <c r="H478" s="36" t="s">
        <v>25</v>
      </c>
      <c r="I478" s="56">
        <v>44621</v>
      </c>
      <c r="J478" s="57">
        <f>EFEITO!$J$478*EFEITO!$Y$355</f>
        <v>0</v>
      </c>
      <c r="K478" s="57">
        <f ca="1">EFEITO!$L$478*EFEITO!$Z$355</f>
        <v>8504.627759521687</v>
      </c>
      <c r="L478" s="57">
        <f>EFEITO!$N$478*EFEITO!$AA$355</f>
        <v>4460.9970711293772</v>
      </c>
      <c r="M478" s="57">
        <f>$J$478-EFEITO!$K$478*EFEITO!$Y$478</f>
        <v>0</v>
      </c>
      <c r="N478" s="57">
        <f ca="1">$K$478-EFEITO!$M$478*EFEITO!$Z$478</f>
        <v>510.27766557130235</v>
      </c>
      <c r="O478" s="57">
        <f>$L$478-EFEITO!$O$478*EFEITO!$AA$478</f>
        <v>267.65982426776372</v>
      </c>
      <c r="P478" s="40"/>
      <c r="Q478" s="40"/>
      <c r="R478" s="40"/>
      <c r="S478" s="40"/>
      <c r="T478" s="40"/>
      <c r="U478" s="40"/>
      <c r="V478" s="40"/>
      <c r="W478" s="40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6" t="s">
        <v>21</v>
      </c>
      <c r="B479" s="36" t="s">
        <v>40</v>
      </c>
      <c r="C479" s="36" t="s">
        <v>23</v>
      </c>
      <c r="D479" s="36" t="s">
        <v>41</v>
      </c>
      <c r="E479" s="36" t="s">
        <v>53</v>
      </c>
      <c r="F479" s="36" t="s">
        <v>51</v>
      </c>
      <c r="G479" s="36" t="s">
        <v>25</v>
      </c>
      <c r="H479" s="36" t="s">
        <v>25</v>
      </c>
      <c r="I479" s="56">
        <v>44652</v>
      </c>
      <c r="J479" s="57">
        <f>EFEITO!$J$479*EFEITO!$Y$355</f>
        <v>0</v>
      </c>
      <c r="K479" s="57">
        <f ca="1">EFEITO!$L$479*EFEITO!$Z$355</f>
        <v>31868.120523164373</v>
      </c>
      <c r="L479" s="57">
        <f>EFEITO!$N$479*EFEITO!$AA$355</f>
        <v>16716.027595337076</v>
      </c>
      <c r="M479" s="57">
        <f>$J$479-EFEITO!$K$479*EFEITO!$Y$479</f>
        <v>0</v>
      </c>
      <c r="N479" s="57">
        <f ca="1">$K$479-EFEITO!$M$479*EFEITO!$Z$479</f>
        <v>1912.0872313898653</v>
      </c>
      <c r="O479" s="57">
        <f>$L$479-EFEITO!$O$479*EFEITO!$AA$479</f>
        <v>1002.9616557202244</v>
      </c>
      <c r="P479" s="40"/>
      <c r="Q479" s="40"/>
      <c r="R479" s="40"/>
      <c r="S479" s="40"/>
      <c r="T479" s="40"/>
      <c r="U479" s="40"/>
      <c r="V479" s="40"/>
      <c r="W479" s="40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6" t="s">
        <v>27</v>
      </c>
      <c r="B480" s="36" t="s">
        <v>40</v>
      </c>
      <c r="C480" s="36" t="s">
        <v>23</v>
      </c>
      <c r="D480" s="36" t="s">
        <v>41</v>
      </c>
      <c r="E480" s="36" t="s">
        <v>53</v>
      </c>
      <c r="F480" s="36" t="s">
        <v>51</v>
      </c>
      <c r="G480" s="36" t="s">
        <v>25</v>
      </c>
      <c r="H480" s="36" t="s">
        <v>25</v>
      </c>
      <c r="I480" s="56">
        <v>44652</v>
      </c>
      <c r="J480" s="57">
        <f>EFEITO!$J$480*EFEITO!$Y$355</f>
        <v>0</v>
      </c>
      <c r="K480" s="57">
        <f ca="1">EFEITO!$L$480*EFEITO!$Z$355</f>
        <v>-759.18943891417257</v>
      </c>
      <c r="L480" s="57">
        <f>EFEITO!$N$480*EFEITO!$AA$355</f>
        <v>-398.22340955919208</v>
      </c>
      <c r="M480" s="57">
        <f>$J$480-EFEITO!$K$480*EFEITO!$Y$480</f>
        <v>0</v>
      </c>
      <c r="N480" s="57">
        <f ca="1">$K$480-EFEITO!$M$480*EFEITO!$Z$480</f>
        <v>-45.5513663348504</v>
      </c>
      <c r="O480" s="57">
        <f>$L$480-EFEITO!$O$480*EFEITO!$AA$480</f>
        <v>-23.89340457355155</v>
      </c>
      <c r="P480" s="40"/>
      <c r="Q480" s="40"/>
      <c r="R480" s="40"/>
      <c r="S480" s="40"/>
      <c r="T480" s="40"/>
      <c r="U480" s="40"/>
      <c r="V480" s="40"/>
      <c r="W480" s="40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6" t="s">
        <v>28</v>
      </c>
      <c r="B481" s="36" t="s">
        <v>40</v>
      </c>
      <c r="C481" s="36" t="s">
        <v>23</v>
      </c>
      <c r="D481" s="36" t="s">
        <v>41</v>
      </c>
      <c r="E481" s="36" t="s">
        <v>53</v>
      </c>
      <c r="F481" s="36" t="s">
        <v>51</v>
      </c>
      <c r="G481" s="36" t="s">
        <v>25</v>
      </c>
      <c r="H481" s="36" t="s">
        <v>25</v>
      </c>
      <c r="I481" s="56">
        <v>44652</v>
      </c>
      <c r="J481" s="57">
        <f>EFEITO!$J$481*EFEITO!$Y$355</f>
        <v>0</v>
      </c>
      <c r="K481" s="57">
        <f ca="1">EFEITO!$L$481*EFEITO!$Z$355</f>
        <v>7855.9434227987995</v>
      </c>
      <c r="L481" s="57">
        <f>EFEITO!$N$481*EFEITO!$AA$355</f>
        <v>4120.7377431454497</v>
      </c>
      <c r="M481" s="57">
        <f>$J$481-EFEITO!$K$481*EFEITO!$Y$481</f>
        <v>0</v>
      </c>
      <c r="N481" s="57">
        <f ca="1">$K$481-EFEITO!$M$481*EFEITO!$Z$481</f>
        <v>471.35660536792784</v>
      </c>
      <c r="O481" s="57">
        <f>$L$481-EFEITO!$O$481*EFEITO!$AA$481</f>
        <v>247.24426458872722</v>
      </c>
      <c r="P481" s="40"/>
      <c r="Q481" s="40"/>
      <c r="R481" s="40"/>
      <c r="S481" s="40"/>
      <c r="T481" s="40"/>
      <c r="U481" s="40"/>
      <c r="V481" s="40"/>
      <c r="W481" s="40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6" t="s">
        <v>21</v>
      </c>
      <c r="B482" s="36" t="s">
        <v>40</v>
      </c>
      <c r="C482" s="36" t="s">
        <v>23</v>
      </c>
      <c r="D482" s="36" t="s">
        <v>41</v>
      </c>
      <c r="E482" s="36" t="s">
        <v>53</v>
      </c>
      <c r="F482" s="36" t="s">
        <v>51</v>
      </c>
      <c r="G482" s="36" t="s">
        <v>25</v>
      </c>
      <c r="H482" s="36" t="s">
        <v>25</v>
      </c>
      <c r="I482" s="56">
        <v>44682</v>
      </c>
      <c r="J482" s="57">
        <f>EFEITO!$J$482*EFEITO!$Y$355</f>
        <v>0</v>
      </c>
      <c r="K482" s="57">
        <f ca="1">EFEITO!$L$482*EFEITO!$Z$355</f>
        <v>29247.40478382786</v>
      </c>
      <c r="L482" s="57">
        <f>EFEITO!$N$482*EFEITO!$AA$355</f>
        <v>15341.363639662624</v>
      </c>
      <c r="M482" s="57">
        <f>$J$482-EFEITO!$K$482*EFEITO!$Y$482</f>
        <v>0</v>
      </c>
      <c r="N482" s="57">
        <f ca="1">$K$482-EFEITO!$M$482*EFEITO!$Z$482</f>
        <v>1754.8442870296749</v>
      </c>
      <c r="O482" s="57">
        <f>$L$482-EFEITO!$O$482*EFEITO!$AA$482</f>
        <v>920.48181837975972</v>
      </c>
      <c r="P482" s="40"/>
      <c r="Q482" s="40"/>
      <c r="R482" s="40"/>
      <c r="S482" s="40"/>
      <c r="T482" s="40"/>
      <c r="U482" s="40"/>
      <c r="V482" s="40"/>
      <c r="W482" s="40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6" t="s">
        <v>28</v>
      </c>
      <c r="B483" s="36" t="s">
        <v>40</v>
      </c>
      <c r="C483" s="36" t="s">
        <v>23</v>
      </c>
      <c r="D483" s="36" t="s">
        <v>41</v>
      </c>
      <c r="E483" s="36" t="s">
        <v>53</v>
      </c>
      <c r="F483" s="36" t="s">
        <v>51</v>
      </c>
      <c r="G483" s="36" t="s">
        <v>25</v>
      </c>
      <c r="H483" s="36" t="s">
        <v>25</v>
      </c>
      <c r="I483" s="56">
        <v>44682</v>
      </c>
      <c r="J483" s="57">
        <f>EFEITO!$J$483*EFEITO!$Y$355</f>
        <v>0</v>
      </c>
      <c r="K483" s="57">
        <f ca="1">EFEITO!$L$483*EFEITO!$Z$355</f>
        <v>8252.2108418847474</v>
      </c>
      <c r="L483" s="57">
        <f>EFEITO!$N$483*EFEITO!$AA$355</f>
        <v>4328.5949058469287</v>
      </c>
      <c r="M483" s="57">
        <f>$J$483-EFEITO!$K$483*EFEITO!$Y$483</f>
        <v>0</v>
      </c>
      <c r="N483" s="57">
        <f ca="1">$K$483-EFEITO!$M$483*EFEITO!$Z$483</f>
        <v>495.13265051308554</v>
      </c>
      <c r="O483" s="57">
        <f>$L$483-EFEITO!$O$483*EFEITO!$AA$483</f>
        <v>259.71569435081619</v>
      </c>
      <c r="P483" s="40"/>
      <c r="Q483" s="40"/>
      <c r="R483" s="40"/>
      <c r="S483" s="40"/>
      <c r="T483" s="40"/>
      <c r="U483" s="40"/>
      <c r="V483" s="40"/>
      <c r="W483" s="40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36" t="s">
        <v>21</v>
      </c>
      <c r="B484" s="36" t="s">
        <v>40</v>
      </c>
      <c r="C484" s="36" t="s">
        <v>23</v>
      </c>
      <c r="D484" s="36" t="s">
        <v>41</v>
      </c>
      <c r="E484" s="36" t="s">
        <v>53</v>
      </c>
      <c r="F484" s="36" t="s">
        <v>51</v>
      </c>
      <c r="G484" s="36" t="s">
        <v>25</v>
      </c>
      <c r="H484" s="36" t="s">
        <v>25</v>
      </c>
      <c r="I484" s="56">
        <v>44713</v>
      </c>
      <c r="J484" s="57">
        <f>EFEITO!$J$484*EFEITO!$Y$355</f>
        <v>0</v>
      </c>
      <c r="K484" s="57">
        <f ca="1">EFEITO!$L$484*EFEITO!$Z$355</f>
        <v>19206.949972447626</v>
      </c>
      <c r="L484" s="57">
        <f>EFEITO!$N$484*EFEITO!$AA$355</f>
        <v>10074.767526008243</v>
      </c>
      <c r="M484" s="57">
        <f>$J$484-EFEITO!$K$484*EFEITO!$Y$484</f>
        <v>0</v>
      </c>
      <c r="N484" s="57">
        <f ca="1">$K$484-EFEITO!$M$484*EFEITO!$Z$484</f>
        <v>1152.4169983468564</v>
      </c>
      <c r="O484" s="57">
        <f>$L$484-EFEITO!$O$484*EFEITO!$AA$484</f>
        <v>604.48605156049598</v>
      </c>
      <c r="P484" s="40"/>
      <c r="Q484" s="40"/>
      <c r="R484" s="40"/>
      <c r="S484" s="40"/>
      <c r="T484" s="40"/>
      <c r="U484" s="40"/>
      <c r="V484" s="40"/>
      <c r="W484" s="40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36" t="s">
        <v>28</v>
      </c>
      <c r="B485" s="36" t="s">
        <v>40</v>
      </c>
      <c r="C485" s="36" t="s">
        <v>23</v>
      </c>
      <c r="D485" s="36" t="s">
        <v>41</v>
      </c>
      <c r="E485" s="36" t="s">
        <v>53</v>
      </c>
      <c r="F485" s="36" t="s">
        <v>51</v>
      </c>
      <c r="G485" s="36" t="s">
        <v>25</v>
      </c>
      <c r="H485" s="36" t="s">
        <v>25</v>
      </c>
      <c r="I485" s="56">
        <v>44713</v>
      </c>
      <c r="J485" s="57">
        <f>EFEITO!$J$485*EFEITO!$Y$355</f>
        <v>0</v>
      </c>
      <c r="K485" s="57">
        <f ca="1">EFEITO!$L$485*EFEITO!$Z$355</f>
        <v>5587.6807988723904</v>
      </c>
      <c r="L485" s="57">
        <f>EFEITO!$N$485*EFEITO!$AA$355</f>
        <v>2930.9487002847382</v>
      </c>
      <c r="M485" s="57">
        <f>$J$485-EFEITO!$K$485*EFEITO!$Y$485</f>
        <v>0</v>
      </c>
      <c r="N485" s="57">
        <f ca="1">$K$485-EFEITO!$M$485*EFEITO!$Z$485</f>
        <v>335.26084793234349</v>
      </c>
      <c r="O485" s="57">
        <f>$L$485-EFEITO!$O$485*EFEITO!$AA$485</f>
        <v>175.8569220170848</v>
      </c>
      <c r="P485" s="40"/>
      <c r="Q485" s="40"/>
      <c r="R485" s="40"/>
      <c r="S485" s="40"/>
      <c r="T485" s="40"/>
      <c r="U485" s="40"/>
      <c r="V485" s="40"/>
      <c r="W485" s="40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36" t="s">
        <v>21</v>
      </c>
      <c r="B486" s="36" t="s">
        <v>40</v>
      </c>
      <c r="C486" s="36" t="s">
        <v>23</v>
      </c>
      <c r="D486" s="36" t="s">
        <v>41</v>
      </c>
      <c r="E486" s="36" t="s">
        <v>53</v>
      </c>
      <c r="F486" s="36" t="s">
        <v>51</v>
      </c>
      <c r="G486" s="36" t="s">
        <v>25</v>
      </c>
      <c r="H486" s="36" t="s">
        <v>25</v>
      </c>
      <c r="I486" s="56">
        <v>44743</v>
      </c>
      <c r="J486" s="57">
        <f>EFEITO!$J$486*EFEITO!$Y$355</f>
        <v>0</v>
      </c>
      <c r="K486" s="57">
        <f ca="1">EFEITO!$L$486*EFEITO!$Z$355</f>
        <v>13482.785678938981</v>
      </c>
      <c r="L486" s="57">
        <f>EFEITO!$N$486*EFEITO!$AA$355</f>
        <v>7072.2281004094939</v>
      </c>
      <c r="M486" s="57">
        <f>$J$486-EFEITO!$K$486*EFEITO!$Y$486</f>
        <v>0</v>
      </c>
      <c r="N486" s="57">
        <f ca="1">$K$486-EFEITO!$M$486*EFEITO!$Z$486</f>
        <v>808.96714073633848</v>
      </c>
      <c r="O486" s="57">
        <f>$L$486-EFEITO!$O$486*EFEITO!$AA$486</f>
        <v>424.33368602457085</v>
      </c>
      <c r="P486" s="40"/>
      <c r="Q486" s="40"/>
      <c r="R486" s="40"/>
      <c r="S486" s="40"/>
      <c r="T486" s="40"/>
      <c r="U486" s="40"/>
      <c r="V486" s="40"/>
      <c r="W486" s="40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36" t="s">
        <v>21</v>
      </c>
      <c r="B487" s="36" t="s">
        <v>40</v>
      </c>
      <c r="C487" s="36" t="s">
        <v>23</v>
      </c>
      <c r="D487" s="36" t="s">
        <v>41</v>
      </c>
      <c r="E487" s="36" t="s">
        <v>53</v>
      </c>
      <c r="F487" s="36" t="s">
        <v>51</v>
      </c>
      <c r="G487" s="36" t="s">
        <v>25</v>
      </c>
      <c r="H487" s="36" t="s">
        <v>25</v>
      </c>
      <c r="I487" s="56">
        <v>44774</v>
      </c>
      <c r="J487" s="57">
        <f>EFEITO!$J$487*EFEITO!$Y$355</f>
        <v>0</v>
      </c>
      <c r="K487" s="57">
        <f ca="1">EFEITO!$L$487*EFEITO!$Z$355</f>
        <v>13100.864536277866</v>
      </c>
      <c r="L487" s="57">
        <f>EFEITO!$N$487*EFEITO!$AA$355</f>
        <v>6871.8960991756803</v>
      </c>
      <c r="M487" s="57">
        <f>$J$487-EFEITO!$K$487*EFEITO!$Y$487</f>
        <v>0</v>
      </c>
      <c r="N487" s="57">
        <f ca="1">$K$487-EFEITO!$M$487*EFEITO!$Z$487</f>
        <v>786.05187217667299</v>
      </c>
      <c r="O487" s="57">
        <f>$L$487-EFEITO!$O$487*EFEITO!$AA$487</f>
        <v>412.31376595054189</v>
      </c>
      <c r="P487" s="40"/>
      <c r="Q487" s="40"/>
      <c r="R487" s="40"/>
      <c r="S487" s="40"/>
      <c r="T487" s="40"/>
      <c r="U487" s="40"/>
      <c r="V487" s="40"/>
      <c r="W487" s="40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36" t="s">
        <v>28</v>
      </c>
      <c r="B488" s="36" t="s">
        <v>40</v>
      </c>
      <c r="C488" s="36" t="s">
        <v>23</v>
      </c>
      <c r="D488" s="36" t="s">
        <v>41</v>
      </c>
      <c r="E488" s="36" t="s">
        <v>53</v>
      </c>
      <c r="F488" s="36" t="s">
        <v>51</v>
      </c>
      <c r="G488" s="36" t="s">
        <v>25</v>
      </c>
      <c r="H488" s="36" t="s">
        <v>25</v>
      </c>
      <c r="I488" s="56">
        <v>44774</v>
      </c>
      <c r="J488" s="57">
        <f>EFEITO!$J$488*EFEITO!$Y$355</f>
        <v>0</v>
      </c>
      <c r="K488" s="57">
        <f ca="1">EFEITO!$L$488*EFEITO!$Z$355</f>
        <v>4191.0514020547962</v>
      </c>
      <c r="L488" s="57">
        <f>EFEITO!$N$488*EFEITO!$AA$355</f>
        <v>2198.3640622703306</v>
      </c>
      <c r="M488" s="57">
        <f>$J$488-EFEITO!$K$488*EFEITO!$Y$488</f>
        <v>0</v>
      </c>
      <c r="N488" s="57">
        <f ca="1">$K$488-EFEITO!$M$488*EFEITO!$Z$488</f>
        <v>251.4630841232879</v>
      </c>
      <c r="O488" s="57">
        <f>$L$488-EFEITO!$O$488*EFEITO!$AA$488</f>
        <v>131.90184373622014</v>
      </c>
      <c r="P488" s="40"/>
      <c r="Q488" s="40"/>
      <c r="R488" s="40"/>
      <c r="S488" s="40"/>
      <c r="T488" s="40"/>
      <c r="U488" s="40"/>
      <c r="V488" s="40"/>
      <c r="W488" s="40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36" t="s">
        <v>21</v>
      </c>
      <c r="B489" s="36" t="s">
        <v>40</v>
      </c>
      <c r="C489" s="36" t="s">
        <v>23</v>
      </c>
      <c r="D489" s="36" t="s">
        <v>41</v>
      </c>
      <c r="E489" s="36" t="s">
        <v>53</v>
      </c>
      <c r="F489" s="36" t="s">
        <v>52</v>
      </c>
      <c r="G489" s="36" t="s">
        <v>25</v>
      </c>
      <c r="H489" s="36" t="s">
        <v>25</v>
      </c>
      <c r="I489" s="56">
        <v>44440</v>
      </c>
      <c r="J489" s="57">
        <f>EFEITO!$J$489*EFEITO!$Y$355</f>
        <v>0</v>
      </c>
      <c r="K489" s="57">
        <f ca="1">EFEITO!$L$489*EFEITO!$Z$355</f>
        <v>24460.40130434146</v>
      </c>
      <c r="L489" s="57">
        <f>EFEITO!$N$489*EFEITO!$AA$355</f>
        <v>12830.400302370599</v>
      </c>
      <c r="M489" s="57">
        <f>$J$489-EFEITO!$K$489*EFEITO!$Y$489</f>
        <v>0</v>
      </c>
      <c r="N489" s="57">
        <f ca="1">$K$489-EFEITO!$M$489*EFEITO!$Z$489</f>
        <v>15263.290413909072</v>
      </c>
      <c r="O489" s="57">
        <f>$L$489-EFEITO!$O$489*EFEITO!$AA$489</f>
        <v>8006.1697886792535</v>
      </c>
      <c r="P489" s="40"/>
      <c r="Q489" s="40"/>
      <c r="R489" s="40"/>
      <c r="S489" s="40"/>
      <c r="T489" s="40"/>
      <c r="U489" s="40"/>
      <c r="V489" s="40"/>
      <c r="W489" s="40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36" t="s">
        <v>28</v>
      </c>
      <c r="B490" s="36" t="s">
        <v>40</v>
      </c>
      <c r="C490" s="36" t="s">
        <v>23</v>
      </c>
      <c r="D490" s="36" t="s">
        <v>41</v>
      </c>
      <c r="E490" s="36" t="s">
        <v>53</v>
      </c>
      <c r="F490" s="36" t="s">
        <v>52</v>
      </c>
      <c r="G490" s="36" t="s">
        <v>25</v>
      </c>
      <c r="H490" s="36" t="s">
        <v>25</v>
      </c>
      <c r="I490" s="56">
        <v>44440</v>
      </c>
      <c r="J490" s="57">
        <f>EFEITO!$J$490*EFEITO!$Y$355</f>
        <v>0</v>
      </c>
      <c r="K490" s="57">
        <f ca="1">EFEITO!$L$490*EFEITO!$Z$355</f>
        <v>4099.9331598970684</v>
      </c>
      <c r="L490" s="57">
        <f>EFEITO!$N$490*EFEITO!$AA$355</f>
        <v>2150.569117813533</v>
      </c>
      <c r="M490" s="57">
        <f>$J$490-EFEITO!$K$490*EFEITO!$Y$490</f>
        <v>0</v>
      </c>
      <c r="N490" s="57">
        <f ca="1">$K$490-EFEITO!$M$490*EFEITO!$Z$490</f>
        <v>245.99598959382411</v>
      </c>
      <c r="O490" s="57">
        <f>$L$490-EFEITO!$O$490*EFEITO!$AA$490</f>
        <v>129.03414706881244</v>
      </c>
      <c r="P490" s="40"/>
      <c r="Q490" s="40"/>
      <c r="R490" s="40"/>
      <c r="S490" s="40"/>
      <c r="T490" s="40"/>
      <c r="U490" s="40"/>
      <c r="V490" s="40"/>
      <c r="W490" s="40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36" t="s">
        <v>21</v>
      </c>
      <c r="B491" s="36" t="s">
        <v>40</v>
      </c>
      <c r="C491" s="36" t="s">
        <v>23</v>
      </c>
      <c r="D491" s="36" t="s">
        <v>41</v>
      </c>
      <c r="E491" s="36" t="s">
        <v>53</v>
      </c>
      <c r="F491" s="36" t="s">
        <v>52</v>
      </c>
      <c r="G491" s="36" t="s">
        <v>25</v>
      </c>
      <c r="H491" s="36" t="s">
        <v>25</v>
      </c>
      <c r="I491" s="56">
        <v>44470</v>
      </c>
      <c r="J491" s="57">
        <f>EFEITO!$J$491*EFEITO!$Y$355</f>
        <v>0</v>
      </c>
      <c r="K491" s="57">
        <f ca="1">EFEITO!$L$491*EFEITO!$Z$355</f>
        <v>27868.61129824114</v>
      </c>
      <c r="L491" s="57">
        <f>EFEITO!$N$491*EFEITO!$AA$355</f>
        <v>14618.134607797208</v>
      </c>
      <c r="M491" s="57">
        <f>$J$491-EFEITO!$K$491*EFEITO!$Y$491</f>
        <v>0</v>
      </c>
      <c r="N491" s="57">
        <f ca="1">$K$491-EFEITO!$M$491*EFEITO!$Z$491</f>
        <v>17390.013450102473</v>
      </c>
      <c r="O491" s="57">
        <f>$L$491-EFEITO!$O$491*EFEITO!$AA$491</f>
        <v>9121.7159952654583</v>
      </c>
      <c r="P491" s="40"/>
      <c r="Q491" s="40"/>
      <c r="R491" s="40"/>
      <c r="S491" s="40"/>
      <c r="T491" s="40"/>
      <c r="U491" s="40"/>
      <c r="V491" s="40"/>
      <c r="W491" s="40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36" t="s">
        <v>28</v>
      </c>
      <c r="B492" s="36" t="s">
        <v>40</v>
      </c>
      <c r="C492" s="36" t="s">
        <v>23</v>
      </c>
      <c r="D492" s="36" t="s">
        <v>41</v>
      </c>
      <c r="E492" s="36" t="s">
        <v>53</v>
      </c>
      <c r="F492" s="36" t="s">
        <v>52</v>
      </c>
      <c r="G492" s="36" t="s">
        <v>25</v>
      </c>
      <c r="H492" s="36" t="s">
        <v>25</v>
      </c>
      <c r="I492" s="56">
        <v>44470</v>
      </c>
      <c r="J492" s="57">
        <f>EFEITO!$J$492*EFEITO!$Y$355</f>
        <v>0</v>
      </c>
      <c r="K492" s="57">
        <f ca="1">EFEITO!$L$492*EFEITO!$Z$355</f>
        <v>6279.4039648697781</v>
      </c>
      <c r="L492" s="57">
        <f>EFEITO!$N$492*EFEITO!$AA$355</f>
        <v>3293.7835126716632</v>
      </c>
      <c r="M492" s="57">
        <f>$J$492-EFEITO!$K$492*EFEITO!$Y$492</f>
        <v>0</v>
      </c>
      <c r="N492" s="57">
        <f ca="1">$K$492-EFEITO!$M$492*EFEITO!$Z$492</f>
        <v>376.76423789218734</v>
      </c>
      <c r="O492" s="57">
        <f>$L$492-EFEITO!$O$492*EFEITO!$AA$492</f>
        <v>197.62701076030044</v>
      </c>
      <c r="P492" s="40"/>
      <c r="Q492" s="40"/>
      <c r="R492" s="40"/>
      <c r="S492" s="40"/>
      <c r="T492" s="40"/>
      <c r="U492" s="40"/>
      <c r="V492" s="40"/>
      <c r="W492" s="40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36" t="s">
        <v>21</v>
      </c>
      <c r="B493" s="36" t="s">
        <v>40</v>
      </c>
      <c r="C493" s="36" t="s">
        <v>23</v>
      </c>
      <c r="D493" s="36" t="s">
        <v>41</v>
      </c>
      <c r="E493" s="36" t="s">
        <v>53</v>
      </c>
      <c r="F493" s="36" t="s">
        <v>52</v>
      </c>
      <c r="G493" s="36" t="s">
        <v>25</v>
      </c>
      <c r="H493" s="36" t="s">
        <v>25</v>
      </c>
      <c r="I493" s="56">
        <v>44501</v>
      </c>
      <c r="J493" s="57">
        <f>EFEITO!$J$493*EFEITO!$Y$355</f>
        <v>0</v>
      </c>
      <c r="K493" s="57">
        <f ca="1">EFEITO!$L$493*EFEITO!$Z$355</f>
        <v>30877.451975449509</v>
      </c>
      <c r="L493" s="57">
        <f>EFEITO!$N$493*EFEITO!$AA$355</f>
        <v>16196.384688583385</v>
      </c>
      <c r="M493" s="57">
        <f>$J$493-EFEITO!$K$493*EFEITO!$Y$493</f>
        <v>0</v>
      </c>
      <c r="N493" s="57">
        <f ca="1">$K$493-EFEITO!$M$493*EFEITO!$Z$493</f>
        <v>19267.530032680494</v>
      </c>
      <c r="O493" s="57">
        <f>$L$493-EFEITO!$O$493*EFEITO!$AA$493</f>
        <v>10106.544045676033</v>
      </c>
      <c r="P493" s="40"/>
      <c r="Q493" s="40"/>
      <c r="R493" s="40"/>
      <c r="S493" s="40"/>
      <c r="T493" s="40"/>
      <c r="U493" s="40"/>
      <c r="V493" s="40"/>
      <c r="W493" s="40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36" t="s">
        <v>28</v>
      </c>
      <c r="B494" s="36" t="s">
        <v>40</v>
      </c>
      <c r="C494" s="36" t="s">
        <v>23</v>
      </c>
      <c r="D494" s="36" t="s">
        <v>41</v>
      </c>
      <c r="E494" s="36" t="s">
        <v>53</v>
      </c>
      <c r="F494" s="36" t="s">
        <v>52</v>
      </c>
      <c r="G494" s="36" t="s">
        <v>25</v>
      </c>
      <c r="H494" s="36" t="s">
        <v>25</v>
      </c>
      <c r="I494" s="56">
        <v>44501</v>
      </c>
      <c r="J494" s="57">
        <f>EFEITO!$J$494*EFEITO!$Y$355</f>
        <v>0</v>
      </c>
      <c r="K494" s="57">
        <f ca="1">EFEITO!$L$494*EFEITO!$Z$355</f>
        <v>5710.593491485155</v>
      </c>
      <c r="L494" s="57">
        <f>EFEITO!$N$494*EFEITO!$AA$355</f>
        <v>2995.421029615823</v>
      </c>
      <c r="M494" s="57">
        <f>$J$494-EFEITO!$K$494*EFEITO!$Y$494</f>
        <v>0</v>
      </c>
      <c r="N494" s="57">
        <f ca="1">$K$494-EFEITO!$M$494*EFEITO!$Z$494</f>
        <v>342.63560948910981</v>
      </c>
      <c r="O494" s="57">
        <f>$L$494-EFEITO!$O$494*EFEITO!$AA$494</f>
        <v>179.72526177694999</v>
      </c>
      <c r="P494" s="40"/>
      <c r="Q494" s="40"/>
      <c r="R494" s="40"/>
      <c r="S494" s="40"/>
      <c r="T494" s="40"/>
      <c r="U494" s="40"/>
      <c r="V494" s="40"/>
      <c r="W494" s="40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36" t="s">
        <v>21</v>
      </c>
      <c r="B495" s="36" t="s">
        <v>40</v>
      </c>
      <c r="C495" s="36" t="s">
        <v>23</v>
      </c>
      <c r="D495" s="36" t="s">
        <v>41</v>
      </c>
      <c r="E495" s="36" t="s">
        <v>53</v>
      </c>
      <c r="F495" s="36" t="s">
        <v>52</v>
      </c>
      <c r="G495" s="36" t="s">
        <v>25</v>
      </c>
      <c r="H495" s="36" t="s">
        <v>25</v>
      </c>
      <c r="I495" s="56">
        <v>44531</v>
      </c>
      <c r="J495" s="57">
        <f>EFEITO!$J$495*EFEITO!$Y$355</f>
        <v>0</v>
      </c>
      <c r="K495" s="57">
        <f ca="1">EFEITO!$L$495*EFEITO!$Z$355</f>
        <v>36046.376597597016</v>
      </c>
      <c r="L495" s="57">
        <f>EFEITO!$N$495*EFEITO!$AA$355</f>
        <v>18907.680027109218</v>
      </c>
      <c r="M495" s="57">
        <f>$J$495-EFEITO!$K$495*EFEITO!$Y$495</f>
        <v>0</v>
      </c>
      <c r="N495" s="57">
        <f ca="1">$K$495-EFEITO!$M$495*EFEITO!$Z$495</f>
        <v>22492.938996900535</v>
      </c>
      <c r="O495" s="57">
        <f>$L$495-EFEITO!$O$495*EFEITO!$AA$495</f>
        <v>11798.392336916153</v>
      </c>
      <c r="P495" s="40"/>
      <c r="Q495" s="40"/>
      <c r="R495" s="40"/>
      <c r="S495" s="40"/>
      <c r="T495" s="40"/>
      <c r="U495" s="40"/>
      <c r="V495" s="40"/>
      <c r="W495" s="40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36" t="s">
        <v>28</v>
      </c>
      <c r="B496" s="36" t="s">
        <v>40</v>
      </c>
      <c r="C496" s="36" t="s">
        <v>23</v>
      </c>
      <c r="D496" s="36" t="s">
        <v>41</v>
      </c>
      <c r="E496" s="36" t="s">
        <v>53</v>
      </c>
      <c r="F496" s="36" t="s">
        <v>52</v>
      </c>
      <c r="G496" s="36" t="s">
        <v>25</v>
      </c>
      <c r="H496" s="36" t="s">
        <v>25</v>
      </c>
      <c r="I496" s="56">
        <v>44531</v>
      </c>
      <c r="J496" s="57">
        <f>EFEITO!$J$496*EFEITO!$Y$355</f>
        <v>0</v>
      </c>
      <c r="K496" s="57">
        <f ca="1">EFEITO!$L$496*EFEITO!$Z$355</f>
        <v>5878.0959621751053</v>
      </c>
      <c r="L496" s="57">
        <f>EFEITO!$N$496*EFEITO!$AA$355</f>
        <v>3083.2823743193831</v>
      </c>
      <c r="M496" s="57">
        <f>$J$496-EFEITO!$K$496*EFEITO!$Y$496</f>
        <v>0</v>
      </c>
      <c r="N496" s="57">
        <f ca="1">$K$496-EFEITO!$M$496*EFEITO!$Z$496</f>
        <v>352.68575773050634</v>
      </c>
      <c r="O496" s="57">
        <f>$L$496-EFEITO!$O$496*EFEITO!$AA$496</f>
        <v>184.99694245916317</v>
      </c>
      <c r="P496" s="40"/>
      <c r="Q496" s="40"/>
      <c r="R496" s="40"/>
      <c r="S496" s="40"/>
      <c r="T496" s="40"/>
      <c r="U496" s="40"/>
      <c r="V496" s="40"/>
      <c r="W496" s="40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36" t="s">
        <v>21</v>
      </c>
      <c r="B497" s="36" t="s">
        <v>40</v>
      </c>
      <c r="C497" s="36" t="s">
        <v>23</v>
      </c>
      <c r="D497" s="36" t="s">
        <v>41</v>
      </c>
      <c r="E497" s="36" t="s">
        <v>53</v>
      </c>
      <c r="F497" s="36" t="s">
        <v>52</v>
      </c>
      <c r="G497" s="36" t="s">
        <v>25</v>
      </c>
      <c r="H497" s="36" t="s">
        <v>25</v>
      </c>
      <c r="I497" s="56">
        <v>44562</v>
      </c>
      <c r="J497" s="57">
        <f>EFEITO!$J$497*EFEITO!$Y$355</f>
        <v>0</v>
      </c>
      <c r="K497" s="57">
        <f ca="1">EFEITO!$L$497*EFEITO!$Z$355</f>
        <v>36292.589720023221</v>
      </c>
      <c r="L497" s="57">
        <f>EFEITO!$N$497*EFEITO!$AA$355</f>
        <v>19036.828068513758</v>
      </c>
      <c r="M497" s="57">
        <f>$J$497-EFEITO!$K$497*EFEITO!$Y$497</f>
        <v>0</v>
      </c>
      <c r="N497" s="57">
        <f ca="1">$K$497-EFEITO!$M$497*EFEITO!$Z$497</f>
        <v>22646.57598529449</v>
      </c>
      <c r="O497" s="57">
        <f>$L$497-EFEITO!$O$497*EFEITO!$AA$497</f>
        <v>11878.980714752586</v>
      </c>
      <c r="P497" s="40"/>
      <c r="Q497" s="40"/>
      <c r="R497" s="40"/>
      <c r="S497" s="40"/>
      <c r="T497" s="40"/>
      <c r="U497" s="40"/>
      <c r="V497" s="40"/>
      <c r="W497" s="40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36" t="s">
        <v>28</v>
      </c>
      <c r="B498" s="36" t="s">
        <v>40</v>
      </c>
      <c r="C498" s="36" t="s">
        <v>23</v>
      </c>
      <c r="D498" s="36" t="s">
        <v>41</v>
      </c>
      <c r="E498" s="36" t="s">
        <v>53</v>
      </c>
      <c r="F498" s="36" t="s">
        <v>52</v>
      </c>
      <c r="G498" s="36" t="s">
        <v>25</v>
      </c>
      <c r="H498" s="36" t="s">
        <v>25</v>
      </c>
      <c r="I498" s="56">
        <v>44562</v>
      </c>
      <c r="J498" s="57">
        <f>EFEITO!$J$498*EFEITO!$Y$355</f>
        <v>0</v>
      </c>
      <c r="K498" s="57">
        <f ca="1">EFEITO!$L$498*EFEITO!$Z$355</f>
        <v>8536.0344727760512</v>
      </c>
      <c r="L498" s="57">
        <f>EFEITO!$N$498*EFEITO!$AA$355</f>
        <v>4477.4710732612948</v>
      </c>
      <c r="M498" s="57">
        <f>$J$498-EFEITO!$K$498*EFEITO!$Y$498</f>
        <v>0</v>
      </c>
      <c r="N498" s="57">
        <f ca="1">$K$498-EFEITO!$M$498*EFEITO!$Z$498</f>
        <v>512.16206836656329</v>
      </c>
      <c r="O498" s="57">
        <f>$L$498-EFEITO!$O$498*EFEITO!$AA$498</f>
        <v>268.64826439567878</v>
      </c>
      <c r="P498" s="40"/>
      <c r="Q498" s="40"/>
      <c r="R498" s="40"/>
      <c r="S498" s="40"/>
      <c r="T498" s="40"/>
      <c r="U498" s="40"/>
      <c r="V498" s="40"/>
      <c r="W498" s="40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36" t="s">
        <v>21</v>
      </c>
      <c r="B499" s="36" t="s">
        <v>40</v>
      </c>
      <c r="C499" s="36" t="s">
        <v>23</v>
      </c>
      <c r="D499" s="36" t="s">
        <v>41</v>
      </c>
      <c r="E499" s="36" t="s">
        <v>53</v>
      </c>
      <c r="F499" s="36" t="s">
        <v>52</v>
      </c>
      <c r="G499" s="36" t="s">
        <v>25</v>
      </c>
      <c r="H499" s="36" t="s">
        <v>25</v>
      </c>
      <c r="I499" s="56">
        <v>44593</v>
      </c>
      <c r="J499" s="57">
        <f>EFEITO!$J$499*EFEITO!$Y$355</f>
        <v>0</v>
      </c>
      <c r="K499" s="57">
        <f ca="1">EFEITO!$L$499*EFEITO!$Z$355</f>
        <v>38539.526797912717</v>
      </c>
      <c r="L499" s="57">
        <f>EFEITO!$N$499*EFEITO!$AA$355</f>
        <v>20215.431060544157</v>
      </c>
      <c r="M499" s="57">
        <f>$J$499-EFEITO!$K$499*EFEITO!$Y$499</f>
        <v>0</v>
      </c>
      <c r="N499" s="57">
        <f ca="1">$K$499-EFEITO!$M$499*EFEITO!$Z$499</f>
        <v>24048.664721897534</v>
      </c>
      <c r="O499" s="57">
        <f>$L$499-EFEITO!$O$499*EFEITO!$AA$499</f>
        <v>12614.428981779554</v>
      </c>
      <c r="P499" s="40"/>
      <c r="Q499" s="40"/>
      <c r="R499" s="40"/>
      <c r="S499" s="40"/>
      <c r="T499" s="40"/>
      <c r="U499" s="40"/>
      <c r="V499" s="40"/>
      <c r="W499" s="40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36" t="s">
        <v>28</v>
      </c>
      <c r="B500" s="36" t="s">
        <v>40</v>
      </c>
      <c r="C500" s="36" t="s">
        <v>23</v>
      </c>
      <c r="D500" s="36" t="s">
        <v>41</v>
      </c>
      <c r="E500" s="36" t="s">
        <v>53</v>
      </c>
      <c r="F500" s="36" t="s">
        <v>52</v>
      </c>
      <c r="G500" s="36" t="s">
        <v>25</v>
      </c>
      <c r="H500" s="36" t="s">
        <v>25</v>
      </c>
      <c r="I500" s="56">
        <v>44593</v>
      </c>
      <c r="J500" s="57">
        <f>EFEITO!$J$500*EFEITO!$Y$355</f>
        <v>0</v>
      </c>
      <c r="K500" s="57">
        <f ca="1">EFEITO!$L$500*EFEITO!$Z$355</f>
        <v>7664.0135084665644</v>
      </c>
      <c r="L500" s="57">
        <f>EFEITO!$N$500*EFEITO!$AA$355</f>
        <v>4020.0632856726202</v>
      </c>
      <c r="M500" s="57">
        <f>$J$500-EFEITO!$K$500*EFEITO!$Y$500</f>
        <v>0</v>
      </c>
      <c r="N500" s="57">
        <f ca="1">$K$500-EFEITO!$M$500*EFEITO!$Z$500</f>
        <v>459.84081050799432</v>
      </c>
      <c r="O500" s="57">
        <f>$L$500-EFEITO!$O$500*EFEITO!$AA$500</f>
        <v>241.20379714035744</v>
      </c>
      <c r="P500" s="40"/>
      <c r="Q500" s="40"/>
      <c r="R500" s="40"/>
      <c r="S500" s="40"/>
      <c r="T500" s="40"/>
      <c r="U500" s="40"/>
      <c r="V500" s="40"/>
      <c r="W500" s="40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36" t="s">
        <v>21</v>
      </c>
      <c r="B501" s="36" t="s">
        <v>40</v>
      </c>
      <c r="C501" s="36" t="s">
        <v>23</v>
      </c>
      <c r="D501" s="36" t="s">
        <v>41</v>
      </c>
      <c r="E501" s="36" t="s">
        <v>53</v>
      </c>
      <c r="F501" s="36" t="s">
        <v>52</v>
      </c>
      <c r="G501" s="36" t="s">
        <v>25</v>
      </c>
      <c r="H501" s="36" t="s">
        <v>25</v>
      </c>
      <c r="I501" s="56">
        <v>44621</v>
      </c>
      <c r="J501" s="57">
        <f>EFEITO!$J$501*EFEITO!$Y$355</f>
        <v>0</v>
      </c>
      <c r="K501" s="57">
        <f ca="1">EFEITO!$L$501*EFEITO!$Z$355</f>
        <v>37236.729803657545</v>
      </c>
      <c r="L501" s="57">
        <f>EFEITO!$N$501*EFEITO!$AA$355</f>
        <v>19532.065046183132</v>
      </c>
      <c r="M501" s="57">
        <f>$J$501-EFEITO!$K$501*EFEITO!$Y$501</f>
        <v>0</v>
      </c>
      <c r="N501" s="57">
        <f ca="1">$K$501-EFEITO!$M$501*EFEITO!$Z$501</f>
        <v>23235.719397482309</v>
      </c>
      <c r="O501" s="57">
        <f>$L$501-EFEITO!$O$501*EFEITO!$AA$501</f>
        <v>12188.008588818275</v>
      </c>
      <c r="P501" s="40"/>
      <c r="Q501" s="40"/>
      <c r="R501" s="40"/>
      <c r="S501" s="40"/>
      <c r="T501" s="40"/>
      <c r="U501" s="40"/>
      <c r="V501" s="40"/>
      <c r="W501" s="40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36" t="s">
        <v>28</v>
      </c>
      <c r="B502" s="36" t="s">
        <v>40</v>
      </c>
      <c r="C502" s="36" t="s">
        <v>23</v>
      </c>
      <c r="D502" s="36" t="s">
        <v>41</v>
      </c>
      <c r="E502" s="36" t="s">
        <v>53</v>
      </c>
      <c r="F502" s="36" t="s">
        <v>52</v>
      </c>
      <c r="G502" s="36" t="s">
        <v>25</v>
      </c>
      <c r="H502" s="36" t="s">
        <v>25</v>
      </c>
      <c r="I502" s="56">
        <v>44621</v>
      </c>
      <c r="J502" s="57">
        <f>EFEITO!$J$502*EFEITO!$Y$355</f>
        <v>0</v>
      </c>
      <c r="K502" s="57">
        <f ca="1">EFEITO!$L$502*EFEITO!$Z$355</f>
        <v>11292.458232347477</v>
      </c>
      <c r="L502" s="57">
        <f>EFEITO!$N$502*EFEITO!$AA$355</f>
        <v>5923.3189887650205</v>
      </c>
      <c r="M502" s="57">
        <f>$J$502-EFEITO!$K$502*EFEITO!$Y$502</f>
        <v>0</v>
      </c>
      <c r="N502" s="57">
        <f ca="1">$K$502-EFEITO!$M$502*EFEITO!$Z$502</f>
        <v>677.54749394084865</v>
      </c>
      <c r="O502" s="57">
        <f>$L$502-EFEITO!$O$502*EFEITO!$AA$502</f>
        <v>355.39913932590207</v>
      </c>
      <c r="P502" s="40"/>
      <c r="Q502" s="40"/>
      <c r="R502" s="40"/>
      <c r="S502" s="40"/>
      <c r="T502" s="40"/>
      <c r="U502" s="40"/>
      <c r="V502" s="40"/>
      <c r="W502" s="40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36" t="s">
        <v>21</v>
      </c>
      <c r="B503" s="36" t="s">
        <v>40</v>
      </c>
      <c r="C503" s="36" t="s">
        <v>23</v>
      </c>
      <c r="D503" s="36" t="s">
        <v>41</v>
      </c>
      <c r="E503" s="36" t="s">
        <v>53</v>
      </c>
      <c r="F503" s="36" t="s">
        <v>52</v>
      </c>
      <c r="G503" s="36" t="s">
        <v>25</v>
      </c>
      <c r="H503" s="36" t="s">
        <v>25</v>
      </c>
      <c r="I503" s="56">
        <v>44652</v>
      </c>
      <c r="J503" s="57">
        <f>EFEITO!$J$503*EFEITO!$Y$355</f>
        <v>0</v>
      </c>
      <c r="K503" s="57">
        <f ca="1">EFEITO!$L$503*EFEITO!$Z$355</f>
        <v>33562.919827298108</v>
      </c>
      <c r="L503" s="57">
        <f>EFEITO!$N$503*EFEITO!$AA$355</f>
        <v>17605.013562233518</v>
      </c>
      <c r="M503" s="57">
        <f>$J$503-EFEITO!$K$503*EFEITO!$Y$503</f>
        <v>0</v>
      </c>
      <c r="N503" s="57">
        <f ca="1">$K$503-EFEITO!$M$503*EFEITO!$Z$503</f>
        <v>20943.261972234021</v>
      </c>
      <c r="O503" s="57">
        <f>$L$503-EFEITO!$O$503*EFEITO!$AA$503</f>
        <v>10985.528462833716</v>
      </c>
      <c r="P503" s="40"/>
      <c r="Q503" s="40"/>
      <c r="R503" s="40"/>
      <c r="S503" s="40"/>
      <c r="T503" s="40"/>
      <c r="U503" s="40"/>
      <c r="V503" s="40"/>
      <c r="W503" s="40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36" t="s">
        <v>27</v>
      </c>
      <c r="B504" s="36" t="s">
        <v>40</v>
      </c>
      <c r="C504" s="36" t="s">
        <v>23</v>
      </c>
      <c r="D504" s="36" t="s">
        <v>41</v>
      </c>
      <c r="E504" s="36" t="s">
        <v>53</v>
      </c>
      <c r="F504" s="36" t="s">
        <v>52</v>
      </c>
      <c r="G504" s="36" t="s">
        <v>25</v>
      </c>
      <c r="H504" s="36" t="s">
        <v>25</v>
      </c>
      <c r="I504" s="56">
        <v>44652</v>
      </c>
      <c r="J504" s="57">
        <f>EFEITO!$J$504*EFEITO!$Y$355</f>
        <v>0</v>
      </c>
      <c r="K504" s="57">
        <f ca="1">EFEITO!$L$504*EFEITO!$Z$355</f>
        <v>759.18943891417257</v>
      </c>
      <c r="L504" s="57">
        <f>EFEITO!$N$504*EFEITO!$AA$355</f>
        <v>398.22340955919208</v>
      </c>
      <c r="M504" s="57">
        <f>$J$504-EFEITO!$K$504*EFEITO!$Y$504</f>
        <v>0</v>
      </c>
      <c r="N504" s="57">
        <f ca="1">$K$504-EFEITO!$M$504*EFEITO!$Z$504</f>
        <v>473.73420988244368</v>
      </c>
      <c r="O504" s="57">
        <f>$L$504-EFEITO!$O$504*EFEITO!$AA$504</f>
        <v>248.49140756493586</v>
      </c>
      <c r="P504" s="40"/>
      <c r="Q504" s="40"/>
      <c r="R504" s="40"/>
      <c r="S504" s="40"/>
      <c r="T504" s="40"/>
      <c r="U504" s="40"/>
      <c r="V504" s="40"/>
      <c r="W504" s="40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36" t="s">
        <v>28</v>
      </c>
      <c r="B505" s="36" t="s">
        <v>40</v>
      </c>
      <c r="C505" s="36" t="s">
        <v>23</v>
      </c>
      <c r="D505" s="36" t="s">
        <v>41</v>
      </c>
      <c r="E505" s="36" t="s">
        <v>53</v>
      </c>
      <c r="F505" s="36" t="s">
        <v>52</v>
      </c>
      <c r="G505" s="36" t="s">
        <v>25</v>
      </c>
      <c r="H505" s="36" t="s">
        <v>25</v>
      </c>
      <c r="I505" s="56">
        <v>44652</v>
      </c>
      <c r="J505" s="57">
        <f>EFEITO!$J$505*EFEITO!$Y$355</f>
        <v>0</v>
      </c>
      <c r="K505" s="57">
        <f ca="1">EFEITO!$L$505*EFEITO!$Z$355</f>
        <v>11881.043302966331</v>
      </c>
      <c r="L505" s="57">
        <f>EFEITO!$N$505*EFEITO!$AA$355</f>
        <v>6232.0539916816979</v>
      </c>
      <c r="M505" s="57">
        <f>$J$505-EFEITO!$K$505*EFEITO!$Y$505</f>
        <v>0</v>
      </c>
      <c r="N505" s="57">
        <f ca="1">$K$505-EFEITO!$M$505*EFEITO!$Z$505</f>
        <v>712.86259817798054</v>
      </c>
      <c r="O505" s="57">
        <f>$L$505-EFEITO!$O$505*EFEITO!$AA$505</f>
        <v>373.92323950090213</v>
      </c>
      <c r="P505" s="40"/>
      <c r="Q505" s="40"/>
      <c r="R505" s="40"/>
      <c r="S505" s="40"/>
      <c r="T505" s="40"/>
      <c r="U505" s="40"/>
      <c r="V505" s="40"/>
      <c r="W505" s="40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36" t="s">
        <v>21</v>
      </c>
      <c r="B506" s="36" t="s">
        <v>40</v>
      </c>
      <c r="C506" s="36" t="s">
        <v>23</v>
      </c>
      <c r="D506" s="36" t="s">
        <v>41</v>
      </c>
      <c r="E506" s="36" t="s">
        <v>53</v>
      </c>
      <c r="F506" s="36" t="s">
        <v>52</v>
      </c>
      <c r="G506" s="36" t="s">
        <v>25</v>
      </c>
      <c r="H506" s="36" t="s">
        <v>25</v>
      </c>
      <c r="I506" s="56">
        <v>44682</v>
      </c>
      <c r="J506" s="57">
        <f>EFEITO!$J$506*EFEITO!$Y$355</f>
        <v>0</v>
      </c>
      <c r="K506" s="57">
        <f ca="1">EFEITO!$L$506*EFEITO!$Z$355</f>
        <v>29820.868103620534</v>
      </c>
      <c r="L506" s="57">
        <f>EFEITO!$N$506*EFEITO!$AA$355</f>
        <v>15642.166715626896</v>
      </c>
      <c r="M506" s="57">
        <f>$J$506-EFEITO!$K$506*EFEITO!$Y$506</f>
        <v>0</v>
      </c>
      <c r="N506" s="57">
        <f ca="1">$K$506-EFEITO!$M$506*EFEITO!$Z$506</f>
        <v>18608.221696659213</v>
      </c>
      <c r="O506" s="57">
        <f>$L$506-EFEITO!$O$506*EFEITO!$AA$506</f>
        <v>9760.7120305511835</v>
      </c>
      <c r="P506" s="40"/>
      <c r="Q506" s="40"/>
      <c r="R506" s="40"/>
      <c r="S506" s="40"/>
      <c r="T506" s="40"/>
      <c r="U506" s="40"/>
      <c r="V506" s="40"/>
      <c r="W506" s="40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36" t="s">
        <v>28</v>
      </c>
      <c r="B507" s="36" t="s">
        <v>40</v>
      </c>
      <c r="C507" s="36" t="s">
        <v>23</v>
      </c>
      <c r="D507" s="36" t="s">
        <v>41</v>
      </c>
      <c r="E507" s="36" t="s">
        <v>53</v>
      </c>
      <c r="F507" s="36" t="s">
        <v>52</v>
      </c>
      <c r="G507" s="36" t="s">
        <v>25</v>
      </c>
      <c r="H507" s="36" t="s">
        <v>25</v>
      </c>
      <c r="I507" s="56">
        <v>44682</v>
      </c>
      <c r="J507" s="57">
        <f>EFEITO!$J$507*EFEITO!$Y$355</f>
        <v>0</v>
      </c>
      <c r="K507" s="57">
        <f ca="1">EFEITO!$L$507*EFEITO!$Z$355</f>
        <v>13288.141604202046</v>
      </c>
      <c r="L507" s="57">
        <f>EFEITO!$N$507*EFEITO!$AA$355</f>
        <v>6970.129963740078</v>
      </c>
      <c r="M507" s="57">
        <f>$J$507-EFEITO!$K$507*EFEITO!$Y$507</f>
        <v>0</v>
      </c>
      <c r="N507" s="57">
        <f ca="1">$K$507-EFEITO!$M$507*EFEITO!$Z$507</f>
        <v>797.28849625212206</v>
      </c>
      <c r="O507" s="57">
        <f>$L$507-EFEITO!$O$507*EFEITO!$AA$507</f>
        <v>418.20779782440513</v>
      </c>
      <c r="P507" s="40"/>
      <c r="Q507" s="40"/>
      <c r="R507" s="40"/>
      <c r="S507" s="40"/>
      <c r="T507" s="40"/>
      <c r="U507" s="40"/>
      <c r="V507" s="40"/>
      <c r="W507" s="40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36" t="s">
        <v>21</v>
      </c>
      <c r="B508" s="36" t="s">
        <v>40</v>
      </c>
      <c r="C508" s="36" t="s">
        <v>23</v>
      </c>
      <c r="D508" s="36" t="s">
        <v>41</v>
      </c>
      <c r="E508" s="36" t="s">
        <v>53</v>
      </c>
      <c r="F508" s="36" t="s">
        <v>52</v>
      </c>
      <c r="G508" s="36" t="s">
        <v>25</v>
      </c>
      <c r="H508" s="36" t="s">
        <v>25</v>
      </c>
      <c r="I508" s="56">
        <v>44713</v>
      </c>
      <c r="J508" s="57">
        <f>EFEITO!$J$508*EFEITO!$Y$355</f>
        <v>0</v>
      </c>
      <c r="K508" s="57">
        <f ca="1">EFEITO!$L$508*EFEITO!$Z$355</f>
        <v>19799.80015227386</v>
      </c>
      <c r="L508" s="57">
        <f>EFEITO!$N$508*EFEITO!$AA$355</f>
        <v>10385.739739090983</v>
      </c>
      <c r="M508" s="57">
        <f>$J$508-EFEITO!$K$508*EFEITO!$Y$508</f>
        <v>0</v>
      </c>
      <c r="N508" s="57">
        <f ca="1">$K$508-EFEITO!$M$508*EFEITO!$Z$508</f>
        <v>12355.075295018887</v>
      </c>
      <c r="O508" s="57">
        <f>$L$508-EFEITO!$O$508*EFEITO!$AA$508</f>
        <v>6480.701597192774</v>
      </c>
      <c r="P508" s="40"/>
      <c r="Q508" s="40"/>
      <c r="R508" s="40"/>
      <c r="S508" s="40"/>
      <c r="T508" s="40"/>
      <c r="U508" s="40"/>
      <c r="V508" s="40"/>
      <c r="W508" s="40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36" t="s">
        <v>28</v>
      </c>
      <c r="B509" s="36" t="s">
        <v>40</v>
      </c>
      <c r="C509" s="36" t="s">
        <v>23</v>
      </c>
      <c r="D509" s="36" t="s">
        <v>41</v>
      </c>
      <c r="E509" s="36" t="s">
        <v>53</v>
      </c>
      <c r="F509" s="36" t="s">
        <v>52</v>
      </c>
      <c r="G509" s="36" t="s">
        <v>25</v>
      </c>
      <c r="H509" s="36" t="s">
        <v>25</v>
      </c>
      <c r="I509" s="56">
        <v>44713</v>
      </c>
      <c r="J509" s="57">
        <f>EFEITO!$J$509*EFEITO!$Y$355</f>
        <v>0</v>
      </c>
      <c r="K509" s="57">
        <f ca="1">EFEITO!$L$509*EFEITO!$Z$355</f>
        <v>12281.963568460331</v>
      </c>
      <c r="L509" s="57">
        <f>EFEITO!$N$509*EFEITO!$AA$355</f>
        <v>6442.3517472916083</v>
      </c>
      <c r="M509" s="57">
        <f>$J$509-EFEITO!$K$509*EFEITO!$Y$509</f>
        <v>0</v>
      </c>
      <c r="N509" s="57">
        <f ca="1">$K$509-EFEITO!$M$509*EFEITO!$Z$509</f>
        <v>736.91781410761905</v>
      </c>
      <c r="O509" s="57">
        <f>$L$509-EFEITO!$O$509*EFEITO!$AA$509</f>
        <v>386.54110483749719</v>
      </c>
      <c r="P509" s="40"/>
      <c r="Q509" s="40"/>
      <c r="R509" s="40"/>
      <c r="S509" s="40"/>
      <c r="T509" s="40"/>
      <c r="U509" s="40"/>
      <c r="V509" s="40"/>
      <c r="W509" s="40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36" t="s">
        <v>21</v>
      </c>
      <c r="B510" s="36" t="s">
        <v>40</v>
      </c>
      <c r="C510" s="36" t="s">
        <v>23</v>
      </c>
      <c r="D510" s="36" t="s">
        <v>41</v>
      </c>
      <c r="E510" s="36" t="s">
        <v>53</v>
      </c>
      <c r="F510" s="36" t="s">
        <v>52</v>
      </c>
      <c r="G510" s="36" t="s">
        <v>25</v>
      </c>
      <c r="H510" s="36" t="s">
        <v>25</v>
      </c>
      <c r="I510" s="56">
        <v>44743</v>
      </c>
      <c r="J510" s="57">
        <f>EFEITO!$J$510*EFEITO!$Y$355</f>
        <v>0</v>
      </c>
      <c r="K510" s="57">
        <f ca="1">EFEITO!$L$510*EFEITO!$Z$355</f>
        <v>15614.564808229134</v>
      </c>
      <c r="L510" s="57">
        <f>EFEITO!$N$510*EFEITO!$AA$355</f>
        <v>8190.4264179561933</v>
      </c>
      <c r="M510" s="57">
        <f>$J$510-EFEITO!$K$510*EFEITO!$Y$510</f>
        <v>0</v>
      </c>
      <c r="N510" s="57">
        <f ca="1">$K$510-EFEITO!$M$510*EFEITO!$Z$510</f>
        <v>9743.4884403349788</v>
      </c>
      <c r="O510" s="57">
        <f>$L$510-EFEITO!$O$510*EFEITO!$AA$510</f>
        <v>5110.8260848046648</v>
      </c>
      <c r="P510" s="40"/>
      <c r="Q510" s="40"/>
      <c r="R510" s="40"/>
      <c r="S510" s="40"/>
      <c r="T510" s="40"/>
      <c r="U510" s="40"/>
      <c r="V510" s="40"/>
      <c r="W510" s="40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36" t="s">
        <v>21</v>
      </c>
      <c r="B511" s="36" t="s">
        <v>40</v>
      </c>
      <c r="C511" s="36" t="s">
        <v>23</v>
      </c>
      <c r="D511" s="36" t="s">
        <v>41</v>
      </c>
      <c r="E511" s="36" t="s">
        <v>53</v>
      </c>
      <c r="F511" s="36" t="s">
        <v>52</v>
      </c>
      <c r="G511" s="36" t="s">
        <v>25</v>
      </c>
      <c r="H511" s="36" t="s">
        <v>25</v>
      </c>
      <c r="I511" s="56">
        <v>44774</v>
      </c>
      <c r="J511" s="57">
        <f>EFEITO!$J$511*EFEITO!$Y$355</f>
        <v>0</v>
      </c>
      <c r="K511" s="57">
        <f ca="1">EFEITO!$L$511*EFEITO!$Z$355</f>
        <v>15897.225227518424</v>
      </c>
      <c r="L511" s="57">
        <f>EFEITO!$N$511*EFEITO!$AA$355</f>
        <v>8338.6924371434507</v>
      </c>
      <c r="M511" s="57">
        <f>$J$511-EFEITO!$K$511*EFEITO!$Y$511</f>
        <v>0</v>
      </c>
      <c r="N511" s="57">
        <f ca="1">$K$511-EFEITO!$M$511*EFEITO!$Z$511</f>
        <v>9919.8685419714966</v>
      </c>
      <c r="O511" s="57">
        <f>$L$511-EFEITO!$O$511*EFEITO!$AA$511</f>
        <v>5203.3440807775132</v>
      </c>
      <c r="P511" s="40"/>
      <c r="Q511" s="40"/>
      <c r="R511" s="40"/>
      <c r="S511" s="40"/>
      <c r="T511" s="40"/>
      <c r="U511" s="40"/>
      <c r="V511" s="40"/>
      <c r="W511" s="40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36" t="s">
        <v>28</v>
      </c>
      <c r="B512" s="36" t="s">
        <v>40</v>
      </c>
      <c r="C512" s="36" t="s">
        <v>23</v>
      </c>
      <c r="D512" s="36" t="s">
        <v>41</v>
      </c>
      <c r="E512" s="36" t="s">
        <v>53</v>
      </c>
      <c r="F512" s="36" t="s">
        <v>52</v>
      </c>
      <c r="G512" s="36" t="s">
        <v>25</v>
      </c>
      <c r="H512" s="36" t="s">
        <v>25</v>
      </c>
      <c r="I512" s="56">
        <v>44774</v>
      </c>
      <c r="J512" s="57">
        <f>EFEITO!$J$512*EFEITO!$Y$355</f>
        <v>0</v>
      </c>
      <c r="K512" s="57">
        <f ca="1">EFEITO!$L$512*EFEITO!$Z$355</f>
        <v>9599.9853514177721</v>
      </c>
      <c r="L512" s="57">
        <f>EFEITO!$N$512*EFEITO!$AA$355</f>
        <v>5035.5533183227972</v>
      </c>
      <c r="M512" s="57">
        <f>$J$512-EFEITO!$K$512*EFEITO!$Y$512</f>
        <v>0</v>
      </c>
      <c r="N512" s="57">
        <f ca="1">$K$512-EFEITO!$M$512*EFEITO!$Z$512</f>
        <v>575.99912108506578</v>
      </c>
      <c r="O512" s="57">
        <f>$L$512-EFEITO!$O$512*EFEITO!$AA$512</f>
        <v>302.13319909936763</v>
      </c>
      <c r="P512" s="40"/>
      <c r="Q512" s="40"/>
      <c r="R512" s="40"/>
      <c r="S512" s="40"/>
      <c r="T512" s="40"/>
      <c r="U512" s="40"/>
      <c r="V512" s="40"/>
      <c r="W512" s="40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36" t="s">
        <v>21</v>
      </c>
      <c r="B513" s="36" t="s">
        <v>40</v>
      </c>
      <c r="C513" s="36" t="s">
        <v>23</v>
      </c>
      <c r="D513" s="36" t="s">
        <v>41</v>
      </c>
      <c r="E513" s="36" t="s">
        <v>25</v>
      </c>
      <c r="F513" s="36" t="s">
        <v>25</v>
      </c>
      <c r="G513" s="36" t="s">
        <v>25</v>
      </c>
      <c r="H513" s="36" t="s">
        <v>25</v>
      </c>
      <c r="I513" s="56">
        <v>44440</v>
      </c>
      <c r="J513" s="57">
        <f>EFEITO!$J$513*EFEITO!$Y$355</f>
        <v>0</v>
      </c>
      <c r="K513" s="57">
        <f ca="1">EFEITO!$L$513*EFEITO!$Z$355</f>
        <v>773376.35534953035</v>
      </c>
      <c r="L513" s="57">
        <f>EFEITO!$N$513*EFEITO!$AA$355</f>
        <v>405664.98071974434</v>
      </c>
      <c r="M513" s="57">
        <f>$J$513-EFEITO!$K$513*EFEITO!$Y$513</f>
        <v>0</v>
      </c>
      <c r="N513" s="57">
        <f ca="1">$K$513-EFEITO!$M$513*EFEITO!$Z$513</f>
        <v>46402.581320971833</v>
      </c>
      <c r="O513" s="57">
        <f>$L$513-EFEITO!$O$513*EFEITO!$AA$513</f>
        <v>24339.898843184696</v>
      </c>
      <c r="P513" s="40"/>
      <c r="Q513" s="40"/>
      <c r="R513" s="40"/>
      <c r="S513" s="40"/>
      <c r="T513" s="40"/>
      <c r="U513" s="40"/>
      <c r="V513" s="40"/>
      <c r="W513" s="40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36" t="s">
        <v>27</v>
      </c>
      <c r="B514" s="36" t="s">
        <v>40</v>
      </c>
      <c r="C514" s="36" t="s">
        <v>23</v>
      </c>
      <c r="D514" s="36" t="s">
        <v>41</v>
      </c>
      <c r="E514" s="36" t="s">
        <v>25</v>
      </c>
      <c r="F514" s="36" t="s">
        <v>25</v>
      </c>
      <c r="G514" s="36" t="s">
        <v>25</v>
      </c>
      <c r="H514" s="36" t="s">
        <v>25</v>
      </c>
      <c r="I514" s="56">
        <v>44440</v>
      </c>
      <c r="J514" s="57">
        <f>EFEITO!$J$514*EFEITO!$Y$355</f>
        <v>0</v>
      </c>
      <c r="K514" s="57">
        <f ca="1">EFEITO!$L$514*EFEITO!$Z$355</f>
        <v>-575.01426859536161</v>
      </c>
      <c r="L514" s="57">
        <f>EFEITO!$N$514*EFEITO!$AA$355</f>
        <v>-301.61660693374972</v>
      </c>
      <c r="M514" s="57">
        <f>$J$514-EFEITO!$K$514*EFEITO!$Y$514</f>
        <v>0</v>
      </c>
      <c r="N514" s="57">
        <f ca="1">$K$514-EFEITO!$M$514*EFEITO!$Z$514</f>
        <v>-34.500856115721717</v>
      </c>
      <c r="O514" s="57">
        <f>$L$514-EFEITO!$O$514*EFEITO!$AA$514</f>
        <v>-18.096996416025036</v>
      </c>
      <c r="P514" s="40"/>
      <c r="Q514" s="40"/>
      <c r="R514" s="40"/>
      <c r="S514" s="40"/>
      <c r="T514" s="40"/>
      <c r="U514" s="40"/>
      <c r="V514" s="40"/>
      <c r="W514" s="40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36" t="s">
        <v>28</v>
      </c>
      <c r="B515" s="36" t="s">
        <v>40</v>
      </c>
      <c r="C515" s="36" t="s">
        <v>23</v>
      </c>
      <c r="D515" s="36" t="s">
        <v>41</v>
      </c>
      <c r="E515" s="36" t="s">
        <v>25</v>
      </c>
      <c r="F515" s="36" t="s">
        <v>25</v>
      </c>
      <c r="G515" s="36" t="s">
        <v>25</v>
      </c>
      <c r="H515" s="36" t="s">
        <v>25</v>
      </c>
      <c r="I515" s="56">
        <v>44440</v>
      </c>
      <c r="J515" s="57">
        <f>EFEITO!$J$515*EFEITO!$Y$355</f>
        <v>0</v>
      </c>
      <c r="K515" s="57">
        <f ca="1">EFEITO!$L$515*EFEITO!$Z$355</f>
        <v>63424.500336989113</v>
      </c>
      <c r="L515" s="57">
        <f>EFEITO!$N$515*EFEITO!$AA$355</f>
        <v>33268.535465809196</v>
      </c>
      <c r="M515" s="57">
        <f>$J$515-EFEITO!$K$515*EFEITO!$Y$515</f>
        <v>0</v>
      </c>
      <c r="N515" s="57">
        <f ca="1">$K$515-EFEITO!$M$515*EFEITO!$Z$515</f>
        <v>3805.470020219349</v>
      </c>
      <c r="O515" s="57">
        <f>$L$515-EFEITO!$O$515*EFEITO!$AA$515</f>
        <v>1996.112127948556</v>
      </c>
      <c r="P515" s="40"/>
      <c r="Q515" s="40"/>
      <c r="R515" s="40"/>
      <c r="S515" s="40"/>
      <c r="T515" s="40"/>
      <c r="U515" s="40"/>
      <c r="V515" s="40"/>
      <c r="W515" s="40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36" t="s">
        <v>21</v>
      </c>
      <c r="B516" s="36" t="s">
        <v>40</v>
      </c>
      <c r="C516" s="36" t="s">
        <v>23</v>
      </c>
      <c r="D516" s="36" t="s">
        <v>41</v>
      </c>
      <c r="E516" s="36" t="s">
        <v>25</v>
      </c>
      <c r="F516" s="36" t="s">
        <v>25</v>
      </c>
      <c r="G516" s="36" t="s">
        <v>25</v>
      </c>
      <c r="H516" s="36" t="s">
        <v>25</v>
      </c>
      <c r="I516" s="56">
        <v>44470</v>
      </c>
      <c r="J516" s="57">
        <f>EFEITO!$J$516*EFEITO!$Y$355</f>
        <v>0</v>
      </c>
      <c r="K516" s="57">
        <f ca="1">EFEITO!$L$516*EFEITO!$Z$355</f>
        <v>777489.47157425026</v>
      </c>
      <c r="L516" s="57">
        <f>EFEITO!$N$516*EFEITO!$AA$355</f>
        <v>407822.46485079842</v>
      </c>
      <c r="M516" s="57">
        <f>$J$516-EFEITO!$K$516*EFEITO!$Y$516</f>
        <v>0</v>
      </c>
      <c r="N516" s="57">
        <f ca="1">$K$516-EFEITO!$M$516*EFEITO!$Z$516</f>
        <v>46649.368294455111</v>
      </c>
      <c r="O516" s="57">
        <f>$L$516-EFEITO!$O$516*EFEITO!$AA$516</f>
        <v>24469.347891047946</v>
      </c>
      <c r="P516" s="40"/>
      <c r="Q516" s="40"/>
      <c r="R516" s="40"/>
      <c r="S516" s="40"/>
      <c r="T516" s="40"/>
      <c r="U516" s="40"/>
      <c r="V516" s="40"/>
      <c r="W516" s="40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36" t="s">
        <v>27</v>
      </c>
      <c r="B517" s="36" t="s">
        <v>40</v>
      </c>
      <c r="C517" s="36" t="s">
        <v>23</v>
      </c>
      <c r="D517" s="36" t="s">
        <v>41</v>
      </c>
      <c r="E517" s="36" t="s">
        <v>25</v>
      </c>
      <c r="F517" s="36" t="s">
        <v>25</v>
      </c>
      <c r="G517" s="36" t="s">
        <v>25</v>
      </c>
      <c r="H517" s="36" t="s">
        <v>25</v>
      </c>
      <c r="I517" s="56">
        <v>44470</v>
      </c>
      <c r="J517" s="57">
        <f>EFEITO!$J$517*EFEITO!$Y$355</f>
        <v>0</v>
      </c>
      <c r="K517" s="57">
        <f ca="1">EFEITO!$L$517*EFEITO!$Z$355</f>
        <v>105794.09520313177</v>
      </c>
      <c r="L517" s="57">
        <f>EFEITO!$N$517*EFEITO!$AA$355</f>
        <v>55492.981255477825</v>
      </c>
      <c r="M517" s="57">
        <f>$J$517-EFEITO!$K$517*EFEITO!$Y$517</f>
        <v>0</v>
      </c>
      <c r="N517" s="57">
        <f ca="1">$K$517-EFEITO!$M$517*EFEITO!$Z$517</f>
        <v>6347.6457121879212</v>
      </c>
      <c r="O517" s="57">
        <f>$L$517-EFEITO!$O$517*EFEITO!$AA$517</f>
        <v>3329.5788753286761</v>
      </c>
      <c r="P517" s="40"/>
      <c r="Q517" s="40"/>
      <c r="R517" s="40"/>
      <c r="S517" s="40"/>
      <c r="T517" s="40"/>
      <c r="U517" s="40"/>
      <c r="V517" s="40"/>
      <c r="W517" s="40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36" t="s">
        <v>28</v>
      </c>
      <c r="B518" s="36" t="s">
        <v>40</v>
      </c>
      <c r="C518" s="36" t="s">
        <v>23</v>
      </c>
      <c r="D518" s="36" t="s">
        <v>41</v>
      </c>
      <c r="E518" s="36" t="s">
        <v>25</v>
      </c>
      <c r="F518" s="36" t="s">
        <v>25</v>
      </c>
      <c r="G518" s="36" t="s">
        <v>25</v>
      </c>
      <c r="H518" s="36" t="s">
        <v>25</v>
      </c>
      <c r="I518" s="56">
        <v>44470</v>
      </c>
      <c r="J518" s="57">
        <f>EFEITO!$J$518*EFEITO!$Y$355</f>
        <v>0</v>
      </c>
      <c r="K518" s="57">
        <f ca="1">EFEITO!$L$518*EFEITO!$Z$355</f>
        <v>76823.922517783794</v>
      </c>
      <c r="L518" s="57">
        <f>EFEITO!$N$518*EFEITO!$AA$355</f>
        <v>40297.03627660928</v>
      </c>
      <c r="M518" s="57">
        <f>$J$518-EFEITO!$K$518*EFEITO!$Y$518</f>
        <v>0</v>
      </c>
      <c r="N518" s="57">
        <f ca="1">$K$518-EFEITO!$M$518*EFEITO!$Z$518</f>
        <v>4609.4353510670335</v>
      </c>
      <c r="O518" s="57">
        <f>$L$518-EFEITO!$O$518*EFEITO!$AA$518</f>
        <v>2417.8221765965645</v>
      </c>
      <c r="P518" s="40"/>
      <c r="Q518" s="40"/>
      <c r="R518" s="40"/>
      <c r="S518" s="40"/>
      <c r="T518" s="40"/>
      <c r="U518" s="40"/>
      <c r="V518" s="40"/>
      <c r="W518" s="40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36" t="s">
        <v>21</v>
      </c>
      <c r="B519" s="36" t="s">
        <v>40</v>
      </c>
      <c r="C519" s="36" t="s">
        <v>23</v>
      </c>
      <c r="D519" s="36" t="s">
        <v>41</v>
      </c>
      <c r="E519" s="36" t="s">
        <v>25</v>
      </c>
      <c r="F519" s="36" t="s">
        <v>25</v>
      </c>
      <c r="G519" s="36" t="s">
        <v>25</v>
      </c>
      <c r="H519" s="36" t="s">
        <v>25</v>
      </c>
      <c r="I519" s="56">
        <v>44501</v>
      </c>
      <c r="J519" s="57">
        <f>EFEITO!$J$519*EFEITO!$Y$355</f>
        <v>0</v>
      </c>
      <c r="K519" s="57">
        <f ca="1">EFEITO!$L$519*EFEITO!$Z$355</f>
        <v>788776.88922298909</v>
      </c>
      <c r="L519" s="57">
        <f>EFEITO!$N$519*EFEITO!$AA$355</f>
        <v>413743.13986391266</v>
      </c>
      <c r="M519" s="57">
        <f>$J$519-EFEITO!$K$519*EFEITO!$Y$519</f>
        <v>0</v>
      </c>
      <c r="N519" s="57">
        <f ca="1">$K$519-EFEITO!$M$519*EFEITO!$Z$519</f>
        <v>47326.61335337942</v>
      </c>
      <c r="O519" s="57">
        <f>$L$519-EFEITO!$O$519*EFEITO!$AA$519</f>
        <v>24824.588391834812</v>
      </c>
      <c r="P519" s="40"/>
      <c r="Q519" s="40"/>
      <c r="R519" s="40"/>
      <c r="S519" s="40"/>
      <c r="T519" s="40"/>
      <c r="U519" s="40"/>
      <c r="V519" s="40"/>
      <c r="W519" s="40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36" t="s">
        <v>27</v>
      </c>
      <c r="B520" s="36" t="s">
        <v>40</v>
      </c>
      <c r="C520" s="36" t="s">
        <v>23</v>
      </c>
      <c r="D520" s="36" t="s">
        <v>41</v>
      </c>
      <c r="E520" s="36" t="s">
        <v>25</v>
      </c>
      <c r="F520" s="36" t="s">
        <v>25</v>
      </c>
      <c r="G520" s="36" t="s">
        <v>25</v>
      </c>
      <c r="H520" s="36" t="s">
        <v>25</v>
      </c>
      <c r="I520" s="56">
        <v>44501</v>
      </c>
      <c r="J520" s="57">
        <f>EFEITO!$J$520*EFEITO!$Y$355</f>
        <v>0</v>
      </c>
      <c r="K520" s="57">
        <f ca="1">EFEITO!$L$520*EFEITO!$Z$355</f>
        <v>90029.476098242885</v>
      </c>
      <c r="L520" s="57">
        <f>EFEITO!$N$520*EFEITO!$AA$355</f>
        <v>47223.845716224685</v>
      </c>
      <c r="M520" s="57">
        <f>$J$520-EFEITO!$K$520*EFEITO!$Y$520</f>
        <v>0</v>
      </c>
      <c r="N520" s="57">
        <f ca="1">$K$520-EFEITO!$M$520*EFEITO!$Z$520</f>
        <v>5401.7685658945848</v>
      </c>
      <c r="O520" s="57">
        <f>$L$520-EFEITO!$O$520*EFEITO!$AA$520</f>
        <v>2833.4307429734836</v>
      </c>
      <c r="P520" s="40"/>
      <c r="Q520" s="40"/>
      <c r="R520" s="40"/>
      <c r="S520" s="40"/>
      <c r="T520" s="40"/>
      <c r="U520" s="40"/>
      <c r="V520" s="40"/>
      <c r="W520" s="40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36" t="s">
        <v>28</v>
      </c>
      <c r="B521" s="36" t="s">
        <v>40</v>
      </c>
      <c r="C521" s="36" t="s">
        <v>23</v>
      </c>
      <c r="D521" s="36" t="s">
        <v>41</v>
      </c>
      <c r="E521" s="36" t="s">
        <v>25</v>
      </c>
      <c r="F521" s="36" t="s">
        <v>25</v>
      </c>
      <c r="G521" s="36" t="s">
        <v>25</v>
      </c>
      <c r="H521" s="36" t="s">
        <v>25</v>
      </c>
      <c r="I521" s="56">
        <v>44501</v>
      </c>
      <c r="J521" s="57">
        <f>EFEITO!$J$521*EFEITO!$Y$355</f>
        <v>0</v>
      </c>
      <c r="K521" s="57">
        <f ca="1">EFEITO!$L$521*EFEITO!$Z$355</f>
        <v>56490.208240185719</v>
      </c>
      <c r="L521" s="57">
        <f>EFEITO!$N$521*EFEITO!$AA$355</f>
        <v>29631.2385012757</v>
      </c>
      <c r="M521" s="57">
        <f>$J$521-EFEITO!$K$521*EFEITO!$Y$521</f>
        <v>0</v>
      </c>
      <c r="N521" s="57">
        <f ca="1">$K$521-EFEITO!$M$521*EFEITO!$Z$521</f>
        <v>3389.4124944111463</v>
      </c>
      <c r="O521" s="57">
        <f>$L$521-EFEITO!$O$521*EFEITO!$AA$521</f>
        <v>1777.874310076546</v>
      </c>
      <c r="P521" s="40"/>
      <c r="Q521" s="40"/>
      <c r="R521" s="40"/>
      <c r="S521" s="40"/>
      <c r="T521" s="40"/>
      <c r="U521" s="40"/>
      <c r="V521" s="40"/>
      <c r="W521" s="40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36" t="s">
        <v>21</v>
      </c>
      <c r="B522" s="36" t="s">
        <v>40</v>
      </c>
      <c r="C522" s="36" t="s">
        <v>23</v>
      </c>
      <c r="D522" s="36" t="s">
        <v>41</v>
      </c>
      <c r="E522" s="36" t="s">
        <v>25</v>
      </c>
      <c r="F522" s="36" t="s">
        <v>25</v>
      </c>
      <c r="G522" s="36" t="s">
        <v>25</v>
      </c>
      <c r="H522" s="36" t="s">
        <v>25</v>
      </c>
      <c r="I522" s="56">
        <v>44531</v>
      </c>
      <c r="J522" s="57">
        <f>EFEITO!$J$522*EFEITO!$Y$355</f>
        <v>0</v>
      </c>
      <c r="K522" s="57">
        <f ca="1">EFEITO!$L$522*EFEITO!$Z$355</f>
        <v>805270.45426513976</v>
      </c>
      <c r="L522" s="57">
        <f>EFEITO!$N$522*EFEITO!$AA$355</f>
        <v>422394.63495882018</v>
      </c>
      <c r="M522" s="57">
        <f>$J$522-EFEITO!$K$522*EFEITO!$Y$522</f>
        <v>0</v>
      </c>
      <c r="N522" s="57">
        <f ca="1">$K$522-EFEITO!$M$522*EFEITO!$Z$522</f>
        <v>48316.227255908423</v>
      </c>
      <c r="O522" s="57">
        <f>$L$522-EFEITO!$O$522*EFEITO!$AA$522</f>
        <v>25343.678097529279</v>
      </c>
      <c r="P522" s="40"/>
      <c r="Q522" s="40"/>
      <c r="R522" s="40"/>
      <c r="S522" s="40"/>
      <c r="T522" s="40"/>
      <c r="U522" s="40"/>
      <c r="V522" s="40"/>
      <c r="W522" s="40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36" t="s">
        <v>28</v>
      </c>
      <c r="B523" s="36" t="s">
        <v>40</v>
      </c>
      <c r="C523" s="36" t="s">
        <v>23</v>
      </c>
      <c r="D523" s="36" t="s">
        <v>41</v>
      </c>
      <c r="E523" s="36" t="s">
        <v>25</v>
      </c>
      <c r="F523" s="36" t="s">
        <v>25</v>
      </c>
      <c r="G523" s="36" t="s">
        <v>25</v>
      </c>
      <c r="H523" s="36" t="s">
        <v>25</v>
      </c>
      <c r="I523" s="56">
        <v>44531</v>
      </c>
      <c r="J523" s="57">
        <f>EFEITO!$J$523*EFEITO!$Y$355</f>
        <v>0</v>
      </c>
      <c r="K523" s="57">
        <f ca="1">EFEITO!$L$523*EFEITO!$Z$355</f>
        <v>56262.218766191065</v>
      </c>
      <c r="L523" s="57">
        <f>EFEITO!$N$523*EFEITO!$AA$355</f>
        <v>29511.64944876252</v>
      </c>
      <c r="M523" s="57">
        <f>$J$523-EFEITO!$K$523*EFEITO!$Y$523</f>
        <v>0</v>
      </c>
      <c r="N523" s="57">
        <f ca="1">$K$523-EFEITO!$M$523*EFEITO!$Z$523</f>
        <v>3375.7331259714629</v>
      </c>
      <c r="O523" s="57">
        <f>$L$523-EFEITO!$O$523*EFEITO!$AA$523</f>
        <v>1770.6989669257528</v>
      </c>
      <c r="P523" s="40"/>
      <c r="Q523" s="40"/>
      <c r="R523" s="40"/>
      <c r="S523" s="40"/>
      <c r="T523" s="40"/>
      <c r="U523" s="40"/>
      <c r="V523" s="40"/>
      <c r="W523" s="40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36" t="s">
        <v>21</v>
      </c>
      <c r="B524" s="36" t="s">
        <v>40</v>
      </c>
      <c r="C524" s="36" t="s">
        <v>23</v>
      </c>
      <c r="D524" s="36" t="s">
        <v>41</v>
      </c>
      <c r="E524" s="36" t="s">
        <v>25</v>
      </c>
      <c r="F524" s="36" t="s">
        <v>25</v>
      </c>
      <c r="G524" s="36" t="s">
        <v>25</v>
      </c>
      <c r="H524" s="36" t="s">
        <v>25</v>
      </c>
      <c r="I524" s="56">
        <v>44562</v>
      </c>
      <c r="J524" s="57">
        <f>EFEITO!$J$524*EFEITO!$Y$355</f>
        <v>0</v>
      </c>
      <c r="K524" s="57">
        <f ca="1">EFEITO!$L$524*EFEITO!$Z$355</f>
        <v>840532.43850577902</v>
      </c>
      <c r="L524" s="57">
        <f>EFEITO!$N$524*EFEITO!$AA$355</f>
        <v>440890.87169811624</v>
      </c>
      <c r="M524" s="57">
        <f>$J$524-EFEITO!$K$524*EFEITO!$Y$524</f>
        <v>0</v>
      </c>
      <c r="N524" s="57">
        <f ca="1">$K$524-EFEITO!$M$524*EFEITO!$Z$524</f>
        <v>50431.946310346713</v>
      </c>
      <c r="O524" s="57">
        <f>$L$524-EFEITO!$O$524*EFEITO!$AA$524</f>
        <v>26453.452301887039</v>
      </c>
      <c r="P524" s="40"/>
      <c r="Q524" s="40"/>
      <c r="R524" s="40"/>
      <c r="S524" s="40"/>
      <c r="T524" s="40"/>
      <c r="U524" s="40"/>
      <c r="V524" s="40"/>
      <c r="W524" s="40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36" t="s">
        <v>28</v>
      </c>
      <c r="B525" s="36" t="s">
        <v>40</v>
      </c>
      <c r="C525" s="36" t="s">
        <v>23</v>
      </c>
      <c r="D525" s="36" t="s">
        <v>41</v>
      </c>
      <c r="E525" s="36" t="s">
        <v>25</v>
      </c>
      <c r="F525" s="36" t="s">
        <v>25</v>
      </c>
      <c r="G525" s="36" t="s">
        <v>25</v>
      </c>
      <c r="H525" s="36" t="s">
        <v>25</v>
      </c>
      <c r="I525" s="56">
        <v>44562</v>
      </c>
      <c r="J525" s="57">
        <f>EFEITO!$J$525*EFEITO!$Y$355</f>
        <v>0</v>
      </c>
      <c r="K525" s="57">
        <f ca="1">EFEITO!$L$525*EFEITO!$Z$355</f>
        <v>55284.345546098339</v>
      </c>
      <c r="L525" s="57">
        <f>EFEITO!$N$525*EFEITO!$AA$355</f>
        <v>28998.718172507011</v>
      </c>
      <c r="M525" s="57">
        <f>$J$525-EFEITO!$K$525*EFEITO!$Y$525</f>
        <v>0</v>
      </c>
      <c r="N525" s="57">
        <f ca="1">$K$525-EFEITO!$M$525*EFEITO!$Z$525</f>
        <v>3317.0607327659018</v>
      </c>
      <c r="O525" s="57">
        <f>$L$525-EFEITO!$O$525*EFEITO!$AA$525</f>
        <v>1739.9230903504249</v>
      </c>
      <c r="P525" s="40"/>
      <c r="Q525" s="40"/>
      <c r="R525" s="40"/>
      <c r="S525" s="40"/>
      <c r="T525" s="40"/>
      <c r="U525" s="40"/>
      <c r="V525" s="40"/>
      <c r="W525" s="40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36" t="s">
        <v>21</v>
      </c>
      <c r="B526" s="36" t="s">
        <v>40</v>
      </c>
      <c r="C526" s="36" t="s">
        <v>23</v>
      </c>
      <c r="D526" s="36" t="s">
        <v>41</v>
      </c>
      <c r="E526" s="36" t="s">
        <v>25</v>
      </c>
      <c r="F526" s="36" t="s">
        <v>25</v>
      </c>
      <c r="G526" s="36" t="s">
        <v>25</v>
      </c>
      <c r="H526" s="36" t="s">
        <v>25</v>
      </c>
      <c r="I526" s="56">
        <v>44593</v>
      </c>
      <c r="J526" s="57">
        <f>EFEITO!$J$526*EFEITO!$Y$355</f>
        <v>0</v>
      </c>
      <c r="K526" s="57">
        <f ca="1">EFEITO!$L$526*EFEITO!$Z$355</f>
        <v>861874.26950512221</v>
      </c>
      <c r="L526" s="57">
        <f>EFEITO!$N$526*EFEITO!$AA$355</f>
        <v>452085.4646036101</v>
      </c>
      <c r="M526" s="57">
        <f>$J$526-EFEITO!$K$526*EFEITO!$Y$526</f>
        <v>0</v>
      </c>
      <c r="N526" s="57">
        <f ca="1">$K$526-EFEITO!$M$526*EFEITO!$Z$526</f>
        <v>51712.456170307356</v>
      </c>
      <c r="O526" s="57">
        <f>$L$526-EFEITO!$O$526*EFEITO!$AA$526</f>
        <v>27125.127876216662</v>
      </c>
      <c r="P526" s="40"/>
      <c r="Q526" s="40"/>
      <c r="R526" s="40"/>
      <c r="S526" s="40"/>
      <c r="T526" s="40"/>
      <c r="U526" s="40"/>
      <c r="V526" s="40"/>
      <c r="W526" s="40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36" t="s">
        <v>27</v>
      </c>
      <c r="B527" s="36" t="s">
        <v>40</v>
      </c>
      <c r="C527" s="36" t="s">
        <v>23</v>
      </c>
      <c r="D527" s="36" t="s">
        <v>41</v>
      </c>
      <c r="E527" s="36" t="s">
        <v>25</v>
      </c>
      <c r="F527" s="36" t="s">
        <v>25</v>
      </c>
      <c r="G527" s="36" t="s">
        <v>25</v>
      </c>
      <c r="H527" s="36" t="s">
        <v>25</v>
      </c>
      <c r="I527" s="56">
        <v>44593</v>
      </c>
      <c r="J527" s="57">
        <f>EFEITO!$J$527*EFEITO!$Y$355</f>
        <v>0</v>
      </c>
      <c r="K527" s="57">
        <f ca="1">EFEITO!$L$527*EFEITO!$Z$355</f>
        <v>-535.85281132757223</v>
      </c>
      <c r="L527" s="57">
        <f>EFEITO!$N$527*EFEITO!$AA$355</f>
        <v>-281.07494995444506</v>
      </c>
      <c r="M527" s="57">
        <f>$J$527-EFEITO!$K$527*EFEITO!$Y$527</f>
        <v>0</v>
      </c>
      <c r="N527" s="57">
        <f ca="1">$K$527-EFEITO!$M$527*EFEITO!$Z$527</f>
        <v>-32.151168679654347</v>
      </c>
      <c r="O527" s="57">
        <f>$L$527-EFEITO!$O$527*EFEITO!$AA$527</f>
        <v>-16.864496997266713</v>
      </c>
      <c r="P527" s="40"/>
      <c r="Q527" s="40"/>
      <c r="R527" s="40"/>
      <c r="S527" s="40"/>
      <c r="T527" s="40"/>
      <c r="U527" s="40"/>
      <c r="V527" s="40"/>
      <c r="W527" s="40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36" t="s">
        <v>28</v>
      </c>
      <c r="B528" s="36" t="s">
        <v>40</v>
      </c>
      <c r="C528" s="36" t="s">
        <v>23</v>
      </c>
      <c r="D528" s="36" t="s">
        <v>41</v>
      </c>
      <c r="E528" s="36" t="s">
        <v>25</v>
      </c>
      <c r="F528" s="36" t="s">
        <v>25</v>
      </c>
      <c r="G528" s="36" t="s">
        <v>25</v>
      </c>
      <c r="H528" s="36" t="s">
        <v>25</v>
      </c>
      <c r="I528" s="56">
        <v>44593</v>
      </c>
      <c r="J528" s="57">
        <f>EFEITO!$J$528*EFEITO!$Y$355</f>
        <v>0</v>
      </c>
      <c r="K528" s="57">
        <f ca="1">EFEITO!$L$528*EFEITO!$Z$355</f>
        <v>64536.1428913134</v>
      </c>
      <c r="L528" s="57">
        <f>EFEITO!$N$528*EFEITO!$AA$355</f>
        <v>33851.633788182131</v>
      </c>
      <c r="M528" s="57">
        <f>$J$528-EFEITO!$K$528*EFEITO!$Y$528</f>
        <v>0</v>
      </c>
      <c r="N528" s="57">
        <f ca="1">$K$528-EFEITO!$M$528*EFEITO!$Z$528</f>
        <v>3872.1685734788116</v>
      </c>
      <c r="O528" s="57">
        <f>$L$528-EFEITO!$O$528*EFEITO!$AA$528</f>
        <v>2031.0980272909292</v>
      </c>
      <c r="P528" s="40"/>
      <c r="Q528" s="40"/>
      <c r="R528" s="40"/>
      <c r="S528" s="40"/>
      <c r="T528" s="40"/>
      <c r="U528" s="40"/>
      <c r="V528" s="40"/>
      <c r="W528" s="40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36" t="s">
        <v>21</v>
      </c>
      <c r="B529" s="36" t="s">
        <v>40</v>
      </c>
      <c r="C529" s="36" t="s">
        <v>23</v>
      </c>
      <c r="D529" s="36" t="s">
        <v>41</v>
      </c>
      <c r="E529" s="36" t="s">
        <v>25</v>
      </c>
      <c r="F529" s="36" t="s">
        <v>25</v>
      </c>
      <c r="G529" s="36" t="s">
        <v>25</v>
      </c>
      <c r="H529" s="36" t="s">
        <v>25</v>
      </c>
      <c r="I529" s="56">
        <v>44621</v>
      </c>
      <c r="J529" s="57">
        <f>EFEITO!$J$529*EFEITO!$Y$355</f>
        <v>0</v>
      </c>
      <c r="K529" s="57">
        <f ca="1">EFEITO!$L$529*EFEITO!$Z$355</f>
        <v>793621.27780817472</v>
      </c>
      <c r="L529" s="57">
        <f>EFEITO!$N$529*EFEITO!$AA$355</f>
        <v>416284.20384707535</v>
      </c>
      <c r="M529" s="57">
        <f>$J$529-EFEITO!$K$529*EFEITO!$Y$529</f>
        <v>0</v>
      </c>
      <c r="N529" s="57">
        <f ca="1">$K$529-EFEITO!$M$529*EFEITO!$Z$529</f>
        <v>47617.276668490493</v>
      </c>
      <c r="O529" s="57">
        <f>$L$529-EFEITO!$O$529*EFEITO!$AA$529</f>
        <v>24977.0522308246</v>
      </c>
      <c r="P529" s="40"/>
      <c r="Q529" s="40"/>
      <c r="R529" s="40"/>
      <c r="S529" s="40"/>
      <c r="T529" s="40"/>
      <c r="U529" s="40"/>
      <c r="V529" s="40"/>
      <c r="W529" s="40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36" t="s">
        <v>28</v>
      </c>
      <c r="B530" s="36" t="s">
        <v>40</v>
      </c>
      <c r="C530" s="36" t="s">
        <v>23</v>
      </c>
      <c r="D530" s="36" t="s">
        <v>41</v>
      </c>
      <c r="E530" s="36" t="s">
        <v>25</v>
      </c>
      <c r="F530" s="36" t="s">
        <v>25</v>
      </c>
      <c r="G530" s="36" t="s">
        <v>25</v>
      </c>
      <c r="H530" s="36" t="s">
        <v>25</v>
      </c>
      <c r="I530" s="56">
        <v>44621</v>
      </c>
      <c r="J530" s="57">
        <f>EFEITO!$J$530*EFEITO!$Y$355</f>
        <v>0</v>
      </c>
      <c r="K530" s="57">
        <f ca="1">EFEITO!$L$530*EFEITO!$Z$355</f>
        <v>73393.223766245181</v>
      </c>
      <c r="L530" s="57">
        <f>EFEITO!$N$530*EFEITO!$AA$355</f>
        <v>38497.505772125252</v>
      </c>
      <c r="M530" s="57">
        <f>$J$530-EFEITO!$K$530*EFEITO!$Y$530</f>
        <v>0</v>
      </c>
      <c r="N530" s="57">
        <f ca="1">$K$530-EFEITO!$M$530*EFEITO!$Z$530</f>
        <v>4403.5934259747155</v>
      </c>
      <c r="O530" s="57">
        <f>$L$530-EFEITO!$O$530*EFEITO!$AA$530</f>
        <v>2309.8503463275192</v>
      </c>
      <c r="P530" s="40"/>
      <c r="Q530" s="40"/>
      <c r="R530" s="40"/>
      <c r="S530" s="40"/>
      <c r="T530" s="40"/>
      <c r="U530" s="40"/>
      <c r="V530" s="40"/>
      <c r="W530" s="40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36" t="s">
        <v>21</v>
      </c>
      <c r="B531" s="36" t="s">
        <v>40</v>
      </c>
      <c r="C531" s="36" t="s">
        <v>23</v>
      </c>
      <c r="D531" s="36" t="s">
        <v>41</v>
      </c>
      <c r="E531" s="36" t="s">
        <v>25</v>
      </c>
      <c r="F531" s="36" t="s">
        <v>25</v>
      </c>
      <c r="G531" s="36" t="s">
        <v>25</v>
      </c>
      <c r="H531" s="36" t="s">
        <v>25</v>
      </c>
      <c r="I531" s="56">
        <v>44652</v>
      </c>
      <c r="J531" s="57">
        <f>EFEITO!$J$531*EFEITO!$Y$355</f>
        <v>0</v>
      </c>
      <c r="K531" s="57">
        <f ca="1">EFEITO!$L$531*EFEITO!$Z$355</f>
        <v>704886.45622297307</v>
      </c>
      <c r="L531" s="57">
        <f>EFEITO!$N$531*EFEITO!$AA$355</f>
        <v>369739.45310762193</v>
      </c>
      <c r="M531" s="57">
        <f>$J$531-EFEITO!$K$531*EFEITO!$Y$531</f>
        <v>0</v>
      </c>
      <c r="N531" s="57">
        <f ca="1">$K$531-EFEITO!$M$531*EFEITO!$Z$531</f>
        <v>42293.18737337843</v>
      </c>
      <c r="O531" s="57">
        <f>$L$531-EFEITO!$O$531*EFEITO!$AA$531</f>
        <v>22184.367186457326</v>
      </c>
      <c r="P531" s="40"/>
      <c r="Q531" s="40"/>
      <c r="R531" s="40"/>
      <c r="S531" s="40"/>
      <c r="T531" s="40"/>
      <c r="U531" s="40"/>
      <c r="V531" s="40"/>
      <c r="W531" s="40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36" t="s">
        <v>28</v>
      </c>
      <c r="B532" s="36" t="s">
        <v>40</v>
      </c>
      <c r="C532" s="36" t="s">
        <v>23</v>
      </c>
      <c r="D532" s="36" t="s">
        <v>41</v>
      </c>
      <c r="E532" s="36" t="s">
        <v>25</v>
      </c>
      <c r="F532" s="36" t="s">
        <v>25</v>
      </c>
      <c r="G532" s="36" t="s">
        <v>25</v>
      </c>
      <c r="H532" s="36" t="s">
        <v>25</v>
      </c>
      <c r="I532" s="56">
        <v>44652</v>
      </c>
      <c r="J532" s="57">
        <f>EFEITO!$J$532*EFEITO!$Y$355</f>
        <v>0</v>
      </c>
      <c r="K532" s="57">
        <f ca="1">EFEITO!$L$532*EFEITO!$Z$355</f>
        <v>85457.279027928307</v>
      </c>
      <c r="L532" s="57">
        <f>EFEITO!$N$532*EFEITO!$AA$355</f>
        <v>44825.556418205284</v>
      </c>
      <c r="M532" s="57">
        <f>$J$532-EFEITO!$K$532*EFEITO!$Y$532</f>
        <v>0</v>
      </c>
      <c r="N532" s="57">
        <f ca="1">$K$532-EFEITO!$M$532*EFEITO!$Z$532</f>
        <v>5127.4367416757013</v>
      </c>
      <c r="O532" s="57">
        <f>$L$532-EFEITO!$O$532*EFEITO!$AA$532</f>
        <v>2689.5333850923198</v>
      </c>
      <c r="P532" s="40"/>
      <c r="Q532" s="40"/>
      <c r="R532" s="40"/>
      <c r="S532" s="40"/>
      <c r="T532" s="40"/>
      <c r="U532" s="40"/>
      <c r="V532" s="40"/>
      <c r="W532" s="40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36" t="s">
        <v>21</v>
      </c>
      <c r="B533" s="36" t="s">
        <v>40</v>
      </c>
      <c r="C533" s="36" t="s">
        <v>23</v>
      </c>
      <c r="D533" s="36" t="s">
        <v>41</v>
      </c>
      <c r="E533" s="36" t="s">
        <v>25</v>
      </c>
      <c r="F533" s="36" t="s">
        <v>25</v>
      </c>
      <c r="G533" s="36" t="s">
        <v>25</v>
      </c>
      <c r="H533" s="36" t="s">
        <v>25</v>
      </c>
      <c r="I533" s="56">
        <v>44682</v>
      </c>
      <c r="J533" s="57">
        <f>EFEITO!$J$533*EFEITO!$Y$355</f>
        <v>0</v>
      </c>
      <c r="K533" s="57">
        <f ca="1">EFEITO!$L$533*EFEITO!$Z$355</f>
        <v>686375.49452573014</v>
      </c>
      <c r="L533" s="57">
        <f>EFEITO!$N$533*EFEITO!$AA$355</f>
        <v>360029.75760416669</v>
      </c>
      <c r="M533" s="57">
        <f>$J$533-EFEITO!$K$533*EFEITO!$Y$533</f>
        <v>0</v>
      </c>
      <c r="N533" s="57">
        <f ca="1">$K$533-EFEITO!$M$533*EFEITO!$Z$533</f>
        <v>41182.52967154386</v>
      </c>
      <c r="O533" s="57">
        <f>$L$533-EFEITO!$O$533*EFEITO!$AA$533</f>
        <v>21601.785456250014</v>
      </c>
      <c r="P533" s="40"/>
      <c r="Q533" s="40"/>
      <c r="R533" s="40"/>
      <c r="S533" s="40"/>
      <c r="T533" s="40"/>
      <c r="U533" s="40"/>
      <c r="V533" s="40"/>
      <c r="W533" s="40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36" t="s">
        <v>27</v>
      </c>
      <c r="B534" s="36" t="s">
        <v>40</v>
      </c>
      <c r="C534" s="36" t="s">
        <v>23</v>
      </c>
      <c r="D534" s="36" t="s">
        <v>41</v>
      </c>
      <c r="E534" s="36" t="s">
        <v>25</v>
      </c>
      <c r="F534" s="36" t="s">
        <v>25</v>
      </c>
      <c r="G534" s="36" t="s">
        <v>25</v>
      </c>
      <c r="H534" s="36" t="s">
        <v>25</v>
      </c>
      <c r="I534" s="56">
        <v>44682</v>
      </c>
      <c r="J534" s="57">
        <f>EFEITO!$J$534*EFEITO!$Y$355</f>
        <v>0</v>
      </c>
      <c r="K534" s="57">
        <f ca="1">EFEITO!$L$534*EFEITO!$Z$355</f>
        <v>-753.37338090410492</v>
      </c>
      <c r="L534" s="57">
        <f>EFEITO!$N$534*EFEITO!$AA$355</f>
        <v>-395.17266842365183</v>
      </c>
      <c r="M534" s="57">
        <f>$J$534-EFEITO!$K$534*EFEITO!$Y$534</f>
        <v>0</v>
      </c>
      <c r="N534" s="57">
        <f ca="1">$K$534-EFEITO!$M$534*EFEITO!$Z$534</f>
        <v>-45.202402854246429</v>
      </c>
      <c r="O534" s="57">
        <f>$L$534-EFEITO!$O$534*EFEITO!$AA$534</f>
        <v>-23.71036010541917</v>
      </c>
      <c r="P534" s="40"/>
      <c r="Q534" s="40"/>
      <c r="R534" s="40"/>
      <c r="S534" s="40"/>
      <c r="T534" s="40"/>
      <c r="U534" s="40"/>
      <c r="V534" s="40"/>
      <c r="W534" s="40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36" t="s">
        <v>28</v>
      </c>
      <c r="B535" s="36" t="s">
        <v>40</v>
      </c>
      <c r="C535" s="36" t="s">
        <v>23</v>
      </c>
      <c r="D535" s="36" t="s">
        <v>41</v>
      </c>
      <c r="E535" s="36" t="s">
        <v>25</v>
      </c>
      <c r="F535" s="36" t="s">
        <v>25</v>
      </c>
      <c r="G535" s="36" t="s">
        <v>25</v>
      </c>
      <c r="H535" s="36" t="s">
        <v>25</v>
      </c>
      <c r="I535" s="56">
        <v>44682</v>
      </c>
      <c r="J535" s="57">
        <f>EFEITO!$J$535*EFEITO!$Y$355</f>
        <v>0</v>
      </c>
      <c r="K535" s="57">
        <f ca="1">EFEITO!$L$535*EFEITO!$Z$355</f>
        <v>83385.986901942859</v>
      </c>
      <c r="L535" s="57">
        <f>EFEITO!$N$535*EFEITO!$AA$355</f>
        <v>43739.085808468197</v>
      </c>
      <c r="M535" s="57">
        <f>$J$535-EFEITO!$K$535*EFEITO!$Y$535</f>
        <v>0</v>
      </c>
      <c r="N535" s="57">
        <f ca="1">$K$535-EFEITO!$M$535*EFEITO!$Z$535</f>
        <v>5003.1592141165747</v>
      </c>
      <c r="O535" s="57">
        <f>$L$535-EFEITO!$O$535*EFEITO!$AA$535</f>
        <v>2624.345148508095</v>
      </c>
      <c r="P535" s="40"/>
      <c r="Q535" s="40"/>
      <c r="R535" s="40"/>
      <c r="S535" s="40"/>
      <c r="T535" s="40"/>
      <c r="U535" s="40"/>
      <c r="V535" s="40"/>
      <c r="W535" s="40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36" t="s">
        <v>21</v>
      </c>
      <c r="B536" s="36" t="s">
        <v>40</v>
      </c>
      <c r="C536" s="36" t="s">
        <v>23</v>
      </c>
      <c r="D536" s="36" t="s">
        <v>41</v>
      </c>
      <c r="E536" s="36" t="s">
        <v>25</v>
      </c>
      <c r="F536" s="36" t="s">
        <v>25</v>
      </c>
      <c r="G536" s="36" t="s">
        <v>25</v>
      </c>
      <c r="H536" s="36" t="s">
        <v>25</v>
      </c>
      <c r="I536" s="56">
        <v>44713</v>
      </c>
      <c r="J536" s="57">
        <f>EFEITO!$J$536*EFEITO!$Y$355</f>
        <v>0</v>
      </c>
      <c r="K536" s="57">
        <f ca="1">EFEITO!$L$536*EFEITO!$Z$355</f>
        <v>685752.40084425162</v>
      </c>
      <c r="L536" s="57">
        <f>EFEITO!$N$536*EFEITO!$AA$355</f>
        <v>359702.92153717915</v>
      </c>
      <c r="M536" s="57">
        <f>$J$536-EFEITO!$K$536*EFEITO!$Y$536</f>
        <v>0</v>
      </c>
      <c r="N536" s="57">
        <f ca="1">$K$536-EFEITO!$M$536*EFEITO!$Z$536</f>
        <v>41145.144050655188</v>
      </c>
      <c r="O536" s="57">
        <f>$L$536-EFEITO!$O$536*EFEITO!$AA$536</f>
        <v>21582.175292230793</v>
      </c>
      <c r="P536" s="40"/>
      <c r="Q536" s="40"/>
      <c r="R536" s="40"/>
      <c r="S536" s="40"/>
      <c r="T536" s="40"/>
      <c r="U536" s="40"/>
      <c r="V536" s="40"/>
      <c r="W536" s="40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36" t="s">
        <v>27</v>
      </c>
      <c r="B537" s="36" t="s">
        <v>40</v>
      </c>
      <c r="C537" s="36" t="s">
        <v>23</v>
      </c>
      <c r="D537" s="36" t="s">
        <v>41</v>
      </c>
      <c r="E537" s="36" t="s">
        <v>25</v>
      </c>
      <c r="F537" s="36" t="s">
        <v>25</v>
      </c>
      <c r="G537" s="36" t="s">
        <v>25</v>
      </c>
      <c r="H537" s="36" t="s">
        <v>25</v>
      </c>
      <c r="I537" s="56">
        <v>44713</v>
      </c>
      <c r="J537" s="57">
        <f>EFEITO!$J$537*EFEITO!$Y$355</f>
        <v>0</v>
      </c>
      <c r="K537" s="57">
        <f ca="1">EFEITO!$L$537*EFEITO!$Z$355</f>
        <v>6.2037952107388978</v>
      </c>
      <c r="L537" s="57">
        <f>EFEITO!$N$537*EFEITO!$AA$355</f>
        <v>3.2541238779096395</v>
      </c>
      <c r="M537" s="57">
        <f>$J$537-EFEITO!$K$537*EFEITO!$Y$537</f>
        <v>0</v>
      </c>
      <c r="N537" s="57">
        <f ca="1">$K$537-EFEITO!$M$537*EFEITO!$Z$537</f>
        <v>0.3722277126443343</v>
      </c>
      <c r="O537" s="57">
        <f>$L$537-EFEITO!$O$537*EFEITO!$AA$537</f>
        <v>0.195247432674579</v>
      </c>
      <c r="P537" s="40"/>
      <c r="Q537" s="40"/>
      <c r="R537" s="40"/>
      <c r="S537" s="40"/>
      <c r="T537" s="40"/>
      <c r="U537" s="40"/>
      <c r="V537" s="40"/>
      <c r="W537" s="40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36" t="s">
        <v>28</v>
      </c>
      <c r="B538" s="36" t="s">
        <v>40</v>
      </c>
      <c r="C538" s="36" t="s">
        <v>23</v>
      </c>
      <c r="D538" s="36" t="s">
        <v>41</v>
      </c>
      <c r="E538" s="36" t="s">
        <v>25</v>
      </c>
      <c r="F538" s="36" t="s">
        <v>25</v>
      </c>
      <c r="G538" s="36" t="s">
        <v>25</v>
      </c>
      <c r="H538" s="36" t="s">
        <v>25</v>
      </c>
      <c r="I538" s="56">
        <v>44713</v>
      </c>
      <c r="J538" s="57">
        <f>EFEITO!$J$538*EFEITO!$Y$355</f>
        <v>0</v>
      </c>
      <c r="K538" s="57">
        <f ca="1">EFEITO!$L$538*EFEITO!$Z$355</f>
        <v>105548.6575551069</v>
      </c>
      <c r="L538" s="57">
        <f>EFEITO!$N$538*EFEITO!$AA$355</f>
        <v>55364.239979558013</v>
      </c>
      <c r="M538" s="57">
        <f>$J$538-EFEITO!$K$538*EFEITO!$Y$538</f>
        <v>0</v>
      </c>
      <c r="N538" s="57">
        <f ca="1">$K$538-EFEITO!$M$538*EFEITO!$Z$538</f>
        <v>6332.9194533064147</v>
      </c>
      <c r="O538" s="57">
        <f>$L$538-EFEITO!$O$538*EFEITO!$AA$538</f>
        <v>3321.8543987734884</v>
      </c>
      <c r="P538" s="40"/>
      <c r="Q538" s="40"/>
      <c r="R538" s="40"/>
      <c r="S538" s="40"/>
      <c r="T538" s="40"/>
      <c r="U538" s="40"/>
      <c r="V538" s="40"/>
      <c r="W538" s="40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36" t="s">
        <v>21</v>
      </c>
      <c r="B539" s="36" t="s">
        <v>40</v>
      </c>
      <c r="C539" s="36" t="s">
        <v>23</v>
      </c>
      <c r="D539" s="36" t="s">
        <v>41</v>
      </c>
      <c r="E539" s="36" t="s">
        <v>25</v>
      </c>
      <c r="F539" s="36" t="s">
        <v>25</v>
      </c>
      <c r="G539" s="36" t="s">
        <v>25</v>
      </c>
      <c r="H539" s="36" t="s">
        <v>25</v>
      </c>
      <c r="I539" s="56">
        <v>44743</v>
      </c>
      <c r="J539" s="57">
        <f>EFEITO!$J$539*EFEITO!$Y$355</f>
        <v>0</v>
      </c>
      <c r="K539" s="57">
        <f ca="1">EFEITO!$L$539*EFEITO!$Z$355</f>
        <v>678640.13737234008</v>
      </c>
      <c r="L539" s="57">
        <f>EFEITO!$N$539*EFEITO!$AA$355</f>
        <v>355972.27189389808</v>
      </c>
      <c r="M539" s="57">
        <f>$J$539-EFEITO!$K$539*EFEITO!$Y$539</f>
        <v>0</v>
      </c>
      <c r="N539" s="57">
        <f ca="1">$K$539-EFEITO!$M$539*EFEITO!$Z$539</f>
        <v>40718.408242340432</v>
      </c>
      <c r="O539" s="57">
        <f>$L$539-EFEITO!$O$539*EFEITO!$AA$539</f>
        <v>21358.336313633888</v>
      </c>
      <c r="P539" s="40"/>
      <c r="Q539" s="40"/>
      <c r="R539" s="40"/>
      <c r="S539" s="40"/>
      <c r="T539" s="40"/>
      <c r="U539" s="40"/>
      <c r="V539" s="40"/>
      <c r="W539" s="40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36" t="s">
        <v>21</v>
      </c>
      <c r="B540" s="36" t="s">
        <v>40</v>
      </c>
      <c r="C540" s="36" t="s">
        <v>23</v>
      </c>
      <c r="D540" s="36" t="s">
        <v>41</v>
      </c>
      <c r="E540" s="36" t="s">
        <v>25</v>
      </c>
      <c r="F540" s="36" t="s">
        <v>25</v>
      </c>
      <c r="G540" s="36" t="s">
        <v>25</v>
      </c>
      <c r="H540" s="36" t="s">
        <v>25</v>
      </c>
      <c r="I540" s="56">
        <v>44774</v>
      </c>
      <c r="J540" s="57">
        <f>EFEITO!$J$540*EFEITO!$Y$355</f>
        <v>0</v>
      </c>
      <c r="K540" s="57">
        <f ca="1">EFEITO!$L$540*EFEITO!$Z$355</f>
        <v>693389.66048587183</v>
      </c>
      <c r="L540" s="57">
        <f>EFEITO!$N$540*EFEITO!$AA$355</f>
        <v>363708.95141362824</v>
      </c>
      <c r="M540" s="57">
        <f>$J$540-EFEITO!$K$540*EFEITO!$Y$540</f>
        <v>0</v>
      </c>
      <c r="N540" s="57">
        <f ca="1">$K$540-EFEITO!$M$540*EFEITO!$Z$540</f>
        <v>41603.379629152361</v>
      </c>
      <c r="O540" s="57">
        <f>$L$540-EFEITO!$O$540*EFEITO!$AA$540</f>
        <v>21822.537084817712</v>
      </c>
      <c r="P540" s="40"/>
      <c r="Q540" s="40"/>
      <c r="R540" s="40"/>
      <c r="S540" s="40"/>
      <c r="T540" s="40"/>
      <c r="U540" s="40"/>
      <c r="V540" s="40"/>
      <c r="W540" s="40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36" t="s">
        <v>28</v>
      </c>
      <c r="B541" s="36" t="s">
        <v>40</v>
      </c>
      <c r="C541" s="36" t="s">
        <v>23</v>
      </c>
      <c r="D541" s="36" t="s">
        <v>41</v>
      </c>
      <c r="E541" s="36" t="s">
        <v>25</v>
      </c>
      <c r="F541" s="36" t="s">
        <v>25</v>
      </c>
      <c r="G541" s="36" t="s">
        <v>25</v>
      </c>
      <c r="H541" s="36" t="s">
        <v>25</v>
      </c>
      <c r="I541" s="56">
        <v>44774</v>
      </c>
      <c r="J541" s="57">
        <f>EFEITO!$J$541*EFEITO!$Y$355</f>
        <v>0</v>
      </c>
      <c r="K541" s="57">
        <f ca="1">EFEITO!$L$541*EFEITO!$Z$355</f>
        <v>101406.07330313601</v>
      </c>
      <c r="L541" s="57">
        <f>EFEITO!$N$541*EFEITO!$AA$355</f>
        <v>53191.298760083861</v>
      </c>
      <c r="M541" s="57">
        <f>$J$541-EFEITO!$K$541*EFEITO!$Y$541</f>
        <v>0</v>
      </c>
      <c r="N541" s="57">
        <f ca="1">$K$541-EFEITO!$M$541*EFEITO!$Z$541</f>
        <v>6084.364398188176</v>
      </c>
      <c r="O541" s="57">
        <f>$L$541-EFEITO!$O$541*EFEITO!$AA$541</f>
        <v>3191.4779256050388</v>
      </c>
      <c r="P541" s="40"/>
      <c r="Q541" s="40"/>
      <c r="R541" s="40"/>
      <c r="S541" s="40"/>
      <c r="T541" s="40"/>
      <c r="U541" s="40"/>
      <c r="V541" s="40"/>
      <c r="W541" s="40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36" t="s">
        <v>21</v>
      </c>
      <c r="B542" s="36" t="s">
        <v>33</v>
      </c>
      <c r="C542" s="36" t="s">
        <v>23</v>
      </c>
      <c r="D542" s="36" t="s">
        <v>39</v>
      </c>
      <c r="E542" s="36" t="s">
        <v>25</v>
      </c>
      <c r="F542" s="36" t="s">
        <v>25</v>
      </c>
      <c r="G542" s="36" t="s">
        <v>25</v>
      </c>
      <c r="H542" s="36" t="s">
        <v>25</v>
      </c>
      <c r="I542" s="56">
        <v>44440</v>
      </c>
      <c r="J542" s="57">
        <f>EFEITO!$J$542*EFEITO!$Y$542</f>
        <v>0</v>
      </c>
      <c r="K542" s="57">
        <f ca="1">EFEITO!$L$542*EFEITO!$Z$542</f>
        <v>345535.10827572842</v>
      </c>
      <c r="L542" s="57">
        <f>EFEITO!$N$542*EFEITO!$AA$542</f>
        <v>181246.1579243874</v>
      </c>
      <c r="M542" s="57">
        <f>$J$542-EFEITO!$K$542*EFEITO!$Y$542</f>
        <v>0</v>
      </c>
      <c r="N542" s="57">
        <f ca="1">$K$542-EFEITO!$M$542*EFEITO!$Z$542</f>
        <v>0</v>
      </c>
      <c r="O542" s="57">
        <f>$L$542-EFEITO!$O$542*EFEITO!$AA$542</f>
        <v>0</v>
      </c>
      <c r="P542" s="40"/>
      <c r="Q542" s="40"/>
      <c r="R542" s="40"/>
      <c r="S542" s="40"/>
      <c r="T542" s="40"/>
      <c r="U542" s="40"/>
      <c r="V542" s="40"/>
      <c r="W542" s="40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36" t="s">
        <v>28</v>
      </c>
      <c r="B543" s="36" t="s">
        <v>33</v>
      </c>
      <c r="C543" s="36" t="s">
        <v>23</v>
      </c>
      <c r="D543" s="36" t="s">
        <v>39</v>
      </c>
      <c r="E543" s="36" t="s">
        <v>25</v>
      </c>
      <c r="F543" s="36" t="s">
        <v>25</v>
      </c>
      <c r="G543" s="36" t="s">
        <v>25</v>
      </c>
      <c r="H543" s="36" t="s">
        <v>25</v>
      </c>
      <c r="I543" s="56">
        <v>44440</v>
      </c>
      <c r="J543" s="57">
        <f>EFEITO!$J$543*EFEITO!$Y$543</f>
        <v>0</v>
      </c>
      <c r="K543" s="57">
        <f ca="1">EFEITO!$L$543*EFEITO!$Z$543</f>
        <v>19379.880763946974</v>
      </c>
      <c r="L543" s="57">
        <f>EFEITO!$N$543*EFEITO!$AA$543</f>
        <v>10165.476229104974</v>
      </c>
      <c r="M543" s="57">
        <f>$J$543-EFEITO!$K$543*EFEITO!$Y$543</f>
        <v>0</v>
      </c>
      <c r="N543" s="57">
        <f ca="1">$K$543-EFEITO!$M$543*EFEITO!$Z$543</f>
        <v>0</v>
      </c>
      <c r="O543" s="57">
        <f>$L$543-EFEITO!$O$543*EFEITO!$AA$543</f>
        <v>0</v>
      </c>
      <c r="P543" s="40"/>
      <c r="Q543" s="40"/>
      <c r="R543" s="40"/>
      <c r="S543" s="40"/>
      <c r="T543" s="40"/>
      <c r="U543" s="40"/>
      <c r="V543" s="40"/>
      <c r="W543" s="40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36" t="s">
        <v>21</v>
      </c>
      <c r="B544" s="36" t="s">
        <v>33</v>
      </c>
      <c r="C544" s="36" t="s">
        <v>23</v>
      </c>
      <c r="D544" s="36" t="s">
        <v>39</v>
      </c>
      <c r="E544" s="36" t="s">
        <v>25</v>
      </c>
      <c r="F544" s="36" t="s">
        <v>25</v>
      </c>
      <c r="G544" s="36" t="s">
        <v>25</v>
      </c>
      <c r="H544" s="36" t="s">
        <v>25</v>
      </c>
      <c r="I544" s="56">
        <v>44470</v>
      </c>
      <c r="J544" s="57">
        <f>EFEITO!$J$544*EFEITO!$Y$544</f>
        <v>0</v>
      </c>
      <c r="K544" s="57">
        <f ca="1">EFEITO!$L$544*EFEITO!$Z$544</f>
        <v>348986.35709890258</v>
      </c>
      <c r="L544" s="57">
        <f>EFEITO!$N$544*EFEITO!$AA$544</f>
        <v>183056.467714217</v>
      </c>
      <c r="M544" s="57">
        <f>$J$544-EFEITO!$K$544*EFEITO!$Y$544</f>
        <v>0</v>
      </c>
      <c r="N544" s="57">
        <f ca="1">$K$544-EFEITO!$M$544*EFEITO!$Z$544</f>
        <v>0</v>
      </c>
      <c r="O544" s="57">
        <f>$L$544-EFEITO!$O$544*EFEITO!$AA$544</f>
        <v>0</v>
      </c>
      <c r="P544" s="40"/>
      <c r="Q544" s="40"/>
      <c r="R544" s="40"/>
      <c r="S544" s="40"/>
      <c r="T544" s="40"/>
      <c r="U544" s="40"/>
      <c r="V544" s="40"/>
      <c r="W544" s="40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36" t="s">
        <v>28</v>
      </c>
      <c r="B545" s="36" t="s">
        <v>33</v>
      </c>
      <c r="C545" s="36" t="s">
        <v>23</v>
      </c>
      <c r="D545" s="36" t="s">
        <v>39</v>
      </c>
      <c r="E545" s="36" t="s">
        <v>25</v>
      </c>
      <c r="F545" s="36" t="s">
        <v>25</v>
      </c>
      <c r="G545" s="36" t="s">
        <v>25</v>
      </c>
      <c r="H545" s="36" t="s">
        <v>25</v>
      </c>
      <c r="I545" s="56">
        <v>44470</v>
      </c>
      <c r="J545" s="57">
        <f>EFEITO!$J$545*EFEITO!$Y$545</f>
        <v>0</v>
      </c>
      <c r="K545" s="57">
        <f ca="1">EFEITO!$L$545*EFEITO!$Z$545</f>
        <v>17832.80933326896</v>
      </c>
      <c r="L545" s="57">
        <f>EFEITO!$N$545*EFEITO!$AA$545</f>
        <v>9353.979087051257</v>
      </c>
      <c r="M545" s="57">
        <f>$J$545-EFEITO!$K$545*EFEITO!$Y$545</f>
        <v>0</v>
      </c>
      <c r="N545" s="57">
        <f ca="1">$K$545-EFEITO!$M$545*EFEITO!$Z$545</f>
        <v>0</v>
      </c>
      <c r="O545" s="57">
        <f>$L$545-EFEITO!$O$545*EFEITO!$AA$545</f>
        <v>0</v>
      </c>
      <c r="P545" s="40"/>
      <c r="Q545" s="40"/>
      <c r="R545" s="40"/>
      <c r="S545" s="40"/>
      <c r="T545" s="40"/>
      <c r="U545" s="40"/>
      <c r="V545" s="40"/>
      <c r="W545" s="40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1.25" customHeight="1" x14ac:dyDescent="0.2">
      <c r="A546" s="36" t="s">
        <v>21</v>
      </c>
      <c r="B546" s="36" t="s">
        <v>33</v>
      </c>
      <c r="C546" s="36" t="s">
        <v>23</v>
      </c>
      <c r="D546" s="36" t="s">
        <v>39</v>
      </c>
      <c r="E546" s="36" t="s">
        <v>25</v>
      </c>
      <c r="F546" s="36" t="s">
        <v>25</v>
      </c>
      <c r="G546" s="36" t="s">
        <v>25</v>
      </c>
      <c r="H546" s="36" t="s">
        <v>25</v>
      </c>
      <c r="I546" s="56">
        <v>44501</v>
      </c>
      <c r="J546" s="57">
        <f>EFEITO!$J$546*EFEITO!$Y$546</f>
        <v>0</v>
      </c>
      <c r="K546" s="57">
        <f ca="1">EFEITO!$L$546*EFEITO!$Z$546</f>
        <v>388105.55101181875</v>
      </c>
      <c r="L546" s="57">
        <f>EFEITO!$N$546*EFEITO!$AA$546</f>
        <v>203575.95597460336</v>
      </c>
      <c r="M546" s="57">
        <f>$J$546-EFEITO!$K$546*EFEITO!$Y$546</f>
        <v>0</v>
      </c>
      <c r="N546" s="57">
        <f ca="1">$K$546-EFEITO!$M$546*EFEITO!$Z$546</f>
        <v>0</v>
      </c>
      <c r="O546" s="57">
        <f>$L$546-EFEITO!$O$546*EFEITO!$AA$546</f>
        <v>0</v>
      </c>
      <c r="P546" s="40"/>
      <c r="Q546" s="40"/>
      <c r="R546" s="40"/>
      <c r="S546" s="40"/>
      <c r="T546" s="40"/>
      <c r="U546" s="40"/>
      <c r="V546" s="40"/>
      <c r="W546" s="40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1.25" customHeight="1" x14ac:dyDescent="0.2">
      <c r="A547" s="36" t="s">
        <v>27</v>
      </c>
      <c r="B547" s="36" t="s">
        <v>33</v>
      </c>
      <c r="C547" s="36" t="s">
        <v>23</v>
      </c>
      <c r="D547" s="36" t="s">
        <v>39</v>
      </c>
      <c r="E547" s="36" t="s">
        <v>25</v>
      </c>
      <c r="F547" s="36" t="s">
        <v>25</v>
      </c>
      <c r="G547" s="36" t="s">
        <v>25</v>
      </c>
      <c r="H547" s="36" t="s">
        <v>25</v>
      </c>
      <c r="I547" s="56">
        <v>44501</v>
      </c>
      <c r="J547" s="57">
        <f>EFEITO!$J$547*EFEITO!$Y$547</f>
        <v>0</v>
      </c>
      <c r="K547" s="57">
        <f ca="1">EFEITO!$L$547*EFEITO!$Z$547</f>
        <v>-323.37282535976499</v>
      </c>
      <c r="L547" s="57">
        <f>EFEITO!$N$547*EFEITO!$AA$547</f>
        <v>-169.62120713603994</v>
      </c>
      <c r="M547" s="57">
        <f>$J$547-EFEITO!$K$547*EFEITO!$Y$547</f>
        <v>0</v>
      </c>
      <c r="N547" s="57">
        <f ca="1">$K$547-EFEITO!$M$547*EFEITO!$Z$547</f>
        <v>0</v>
      </c>
      <c r="O547" s="57">
        <f>$L$547-EFEITO!$O$547*EFEITO!$AA$547</f>
        <v>0</v>
      </c>
      <c r="P547" s="40"/>
      <c r="Q547" s="40"/>
      <c r="R547" s="40"/>
      <c r="S547" s="40"/>
      <c r="T547" s="40"/>
      <c r="U547" s="40"/>
      <c r="V547" s="40"/>
      <c r="W547" s="40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1.25" customHeight="1" x14ac:dyDescent="0.2">
      <c r="A548" s="36" t="s">
        <v>28</v>
      </c>
      <c r="B548" s="36" t="s">
        <v>33</v>
      </c>
      <c r="C548" s="36" t="s">
        <v>23</v>
      </c>
      <c r="D548" s="36" t="s">
        <v>39</v>
      </c>
      <c r="E548" s="36" t="s">
        <v>25</v>
      </c>
      <c r="F548" s="36" t="s">
        <v>25</v>
      </c>
      <c r="G548" s="36" t="s">
        <v>25</v>
      </c>
      <c r="H548" s="36" t="s">
        <v>25</v>
      </c>
      <c r="I548" s="56">
        <v>44501</v>
      </c>
      <c r="J548" s="57">
        <f>EFEITO!$J$548*EFEITO!$Y$548</f>
        <v>0</v>
      </c>
      <c r="K548" s="57">
        <f ca="1">EFEITO!$L$548*EFEITO!$Z$548</f>
        <v>13995.37425822628</v>
      </c>
      <c r="L548" s="57">
        <f>EFEITO!$N$548*EFEITO!$AA$548</f>
        <v>7341.1000858217767</v>
      </c>
      <c r="M548" s="57">
        <f>$J$548-EFEITO!$K$548*EFEITO!$Y$548</f>
        <v>0</v>
      </c>
      <c r="N548" s="57">
        <f ca="1">$K$548-EFEITO!$M$548*EFEITO!$Z$548</f>
        <v>0</v>
      </c>
      <c r="O548" s="57">
        <f>$L$548-EFEITO!$O$548*EFEITO!$AA$548</f>
        <v>0</v>
      </c>
      <c r="P548" s="40"/>
      <c r="Q548" s="40"/>
      <c r="R548" s="40"/>
      <c r="S548" s="40"/>
      <c r="T548" s="40"/>
      <c r="U548" s="40"/>
      <c r="V548" s="40"/>
      <c r="W548" s="40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1.25" customHeight="1" x14ac:dyDescent="0.2">
      <c r="A549" s="36" t="s">
        <v>21</v>
      </c>
      <c r="B549" s="36" t="s">
        <v>33</v>
      </c>
      <c r="C549" s="36" t="s">
        <v>23</v>
      </c>
      <c r="D549" s="36" t="s">
        <v>39</v>
      </c>
      <c r="E549" s="36" t="s">
        <v>25</v>
      </c>
      <c r="F549" s="36" t="s">
        <v>25</v>
      </c>
      <c r="G549" s="36" t="s">
        <v>25</v>
      </c>
      <c r="H549" s="36" t="s">
        <v>25</v>
      </c>
      <c r="I549" s="56">
        <v>44531</v>
      </c>
      <c r="J549" s="57">
        <f>EFEITO!$J$549*EFEITO!$Y$549</f>
        <v>0</v>
      </c>
      <c r="K549" s="57">
        <f ca="1">EFEITO!$L$549*EFEITO!$Z$549</f>
        <v>429656.63264734449</v>
      </c>
      <c r="L549" s="57">
        <f>EFEITO!$N$549*EFEITO!$AA$549</f>
        <v>225371.06079513027</v>
      </c>
      <c r="M549" s="57">
        <f>$J$549-EFEITO!$K$549*EFEITO!$Y$549</f>
        <v>0</v>
      </c>
      <c r="N549" s="57">
        <f ca="1">$K$549-EFEITO!$M$549*EFEITO!$Z$549</f>
        <v>0</v>
      </c>
      <c r="O549" s="57">
        <f>$L$549-EFEITO!$O$549*EFEITO!$AA$549</f>
        <v>0</v>
      </c>
      <c r="P549" s="40"/>
      <c r="Q549" s="40"/>
      <c r="R549" s="40"/>
      <c r="S549" s="40"/>
      <c r="T549" s="40"/>
      <c r="U549" s="40"/>
      <c r="V549" s="40"/>
      <c r="W549" s="40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1.25" customHeight="1" x14ac:dyDescent="0.2">
      <c r="A550" s="36" t="s">
        <v>28</v>
      </c>
      <c r="B550" s="36" t="s">
        <v>33</v>
      </c>
      <c r="C550" s="36" t="s">
        <v>23</v>
      </c>
      <c r="D550" s="36" t="s">
        <v>39</v>
      </c>
      <c r="E550" s="36" t="s">
        <v>25</v>
      </c>
      <c r="F550" s="36" t="s">
        <v>25</v>
      </c>
      <c r="G550" s="36" t="s">
        <v>25</v>
      </c>
      <c r="H550" s="36" t="s">
        <v>25</v>
      </c>
      <c r="I550" s="56">
        <v>44531</v>
      </c>
      <c r="J550" s="57">
        <f>EFEITO!$J$550*EFEITO!$Y$550</f>
        <v>0</v>
      </c>
      <c r="K550" s="57">
        <f ca="1">EFEITO!$L$550*EFEITO!$Z$550</f>
        <v>14762.318441153877</v>
      </c>
      <c r="L550" s="57">
        <f>EFEITO!$N$550*EFEITO!$AA$550</f>
        <v>7743.3911502283563</v>
      </c>
      <c r="M550" s="57">
        <f>$J$550-EFEITO!$K$550*EFEITO!$Y$550</f>
        <v>0</v>
      </c>
      <c r="N550" s="57">
        <f ca="1">$K$550-EFEITO!$M$550*EFEITO!$Z$550</f>
        <v>0</v>
      </c>
      <c r="O550" s="57">
        <f>$L$550-EFEITO!$O$550*EFEITO!$AA$550</f>
        <v>0</v>
      </c>
      <c r="P550" s="40"/>
      <c r="Q550" s="40"/>
      <c r="R550" s="40"/>
      <c r="S550" s="40"/>
      <c r="T550" s="40"/>
      <c r="U550" s="40"/>
      <c r="V550" s="40"/>
      <c r="W550" s="40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1.25" customHeight="1" x14ac:dyDescent="0.2">
      <c r="A551" s="36" t="s">
        <v>21</v>
      </c>
      <c r="B551" s="36" t="s">
        <v>33</v>
      </c>
      <c r="C551" s="36" t="s">
        <v>23</v>
      </c>
      <c r="D551" s="36" t="s">
        <v>39</v>
      </c>
      <c r="E551" s="36" t="s">
        <v>25</v>
      </c>
      <c r="F551" s="36" t="s">
        <v>25</v>
      </c>
      <c r="G551" s="36" t="s">
        <v>25</v>
      </c>
      <c r="H551" s="36" t="s">
        <v>25</v>
      </c>
      <c r="I551" s="56">
        <v>44562</v>
      </c>
      <c r="J551" s="57">
        <f>EFEITO!$J$551*EFEITO!$Y$551</f>
        <v>0</v>
      </c>
      <c r="K551" s="57">
        <f ca="1">EFEITO!$L$551*EFEITO!$Z$551</f>
        <v>427770.29116607923</v>
      </c>
      <c r="L551" s="57">
        <f>EFEITO!$N$551*EFEITO!$AA$551</f>
        <v>224381.60375350338</v>
      </c>
      <c r="M551" s="57">
        <f>$J$551-EFEITO!$K$551*EFEITO!$Y$551</f>
        <v>0</v>
      </c>
      <c r="N551" s="57">
        <f ca="1">$K$551-EFEITO!$M$551*EFEITO!$Z$551</f>
        <v>0</v>
      </c>
      <c r="O551" s="57">
        <f>$L$551-EFEITO!$O$551*EFEITO!$AA$551</f>
        <v>0</v>
      </c>
      <c r="P551" s="40"/>
      <c r="Q551" s="40"/>
      <c r="R551" s="40"/>
      <c r="S551" s="40"/>
      <c r="T551" s="40"/>
      <c r="U551" s="40"/>
      <c r="V551" s="40"/>
      <c r="W551" s="40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1.25" customHeight="1" x14ac:dyDescent="0.2">
      <c r="A552" s="36" t="s">
        <v>28</v>
      </c>
      <c r="B552" s="36" t="s">
        <v>33</v>
      </c>
      <c r="C552" s="36" t="s">
        <v>23</v>
      </c>
      <c r="D552" s="36" t="s">
        <v>39</v>
      </c>
      <c r="E552" s="36" t="s">
        <v>25</v>
      </c>
      <c r="F552" s="36" t="s">
        <v>25</v>
      </c>
      <c r="G552" s="36" t="s">
        <v>25</v>
      </c>
      <c r="H552" s="36" t="s">
        <v>25</v>
      </c>
      <c r="I552" s="56">
        <v>44562</v>
      </c>
      <c r="J552" s="57">
        <f>EFEITO!$J$552*EFEITO!$Y$552</f>
        <v>0</v>
      </c>
      <c r="K552" s="57">
        <f ca="1">EFEITO!$L$552*EFEITO!$Z$552</f>
        <v>14532.390281155866</v>
      </c>
      <c r="L552" s="57">
        <f>EFEITO!$N$552*EFEITO!$AA$552</f>
        <v>7622.7851840033291</v>
      </c>
      <c r="M552" s="57">
        <f>$J$552-EFEITO!$K$552*EFEITO!$Y$552</f>
        <v>0</v>
      </c>
      <c r="N552" s="57">
        <f ca="1">$K$552-EFEITO!$M$552*EFEITO!$Z$552</f>
        <v>0</v>
      </c>
      <c r="O552" s="57">
        <f>$L$552-EFEITO!$O$552*EFEITO!$AA$552</f>
        <v>0</v>
      </c>
      <c r="P552" s="40"/>
      <c r="Q552" s="40"/>
      <c r="R552" s="40"/>
      <c r="S552" s="40"/>
      <c r="T552" s="40"/>
      <c r="U552" s="40"/>
      <c r="V552" s="40"/>
      <c r="W552" s="40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1.25" customHeight="1" x14ac:dyDescent="0.2">
      <c r="A553" s="36" t="s">
        <v>21</v>
      </c>
      <c r="B553" s="36" t="s">
        <v>33</v>
      </c>
      <c r="C553" s="36" t="s">
        <v>23</v>
      </c>
      <c r="D553" s="36" t="s">
        <v>39</v>
      </c>
      <c r="E553" s="36" t="s">
        <v>25</v>
      </c>
      <c r="F553" s="36" t="s">
        <v>25</v>
      </c>
      <c r="G553" s="36" t="s">
        <v>25</v>
      </c>
      <c r="H553" s="36" t="s">
        <v>25</v>
      </c>
      <c r="I553" s="56">
        <v>44593</v>
      </c>
      <c r="J553" s="57">
        <f>EFEITO!$J$553*EFEITO!$Y$553</f>
        <v>0</v>
      </c>
      <c r="K553" s="57">
        <f ca="1">EFEITO!$L$553*EFEITO!$Z$553</f>
        <v>510117.1423702233</v>
      </c>
      <c r="L553" s="57">
        <f>EFEITO!$N$553*EFEITO!$AA$553</f>
        <v>267575.62381242169</v>
      </c>
      <c r="M553" s="57">
        <f>$J$553-EFEITO!$K$553*EFEITO!$Y$553</f>
        <v>0</v>
      </c>
      <c r="N553" s="57">
        <f ca="1">$K$553-EFEITO!$M$553*EFEITO!$Z$553</f>
        <v>0</v>
      </c>
      <c r="O553" s="57">
        <f>$L$553-EFEITO!$O$553*EFEITO!$AA$553</f>
        <v>0</v>
      </c>
      <c r="P553" s="40"/>
      <c r="Q553" s="40"/>
      <c r="R553" s="40"/>
      <c r="S553" s="40"/>
      <c r="T553" s="40"/>
      <c r="U553" s="40"/>
      <c r="V553" s="40"/>
      <c r="W553" s="40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1.25" customHeight="1" x14ac:dyDescent="0.2">
      <c r="A554" s="36" t="s">
        <v>28</v>
      </c>
      <c r="B554" s="36" t="s">
        <v>33</v>
      </c>
      <c r="C554" s="36" t="s">
        <v>23</v>
      </c>
      <c r="D554" s="36" t="s">
        <v>39</v>
      </c>
      <c r="E554" s="36" t="s">
        <v>25</v>
      </c>
      <c r="F554" s="36" t="s">
        <v>25</v>
      </c>
      <c r="G554" s="36" t="s">
        <v>25</v>
      </c>
      <c r="H554" s="36" t="s">
        <v>25</v>
      </c>
      <c r="I554" s="56">
        <v>44593</v>
      </c>
      <c r="J554" s="57">
        <f>EFEITO!$J$554*EFEITO!$Y$554</f>
        <v>0</v>
      </c>
      <c r="K554" s="57">
        <f ca="1">EFEITO!$L$554*EFEITO!$Z$554</f>
        <v>24118.804830550147</v>
      </c>
      <c r="L554" s="57">
        <f>EFEITO!$N$554*EFEITO!$AA$554</f>
        <v>12651.2201063432</v>
      </c>
      <c r="M554" s="57">
        <f>$J$554-EFEITO!$K$554*EFEITO!$Y$554</f>
        <v>0</v>
      </c>
      <c r="N554" s="57">
        <f ca="1">$K$554-EFEITO!$M$554*EFEITO!$Z$554</f>
        <v>0</v>
      </c>
      <c r="O554" s="57">
        <f>$L$554-EFEITO!$O$554*EFEITO!$AA$554</f>
        <v>0</v>
      </c>
      <c r="P554" s="40"/>
      <c r="Q554" s="40"/>
      <c r="R554" s="40"/>
      <c r="S554" s="40"/>
      <c r="T554" s="40"/>
      <c r="U554" s="40"/>
      <c r="V554" s="40"/>
      <c r="W554" s="40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1.25" customHeight="1" x14ac:dyDescent="0.2">
      <c r="A555" s="36" t="s">
        <v>21</v>
      </c>
      <c r="B555" s="36" t="s">
        <v>33</v>
      </c>
      <c r="C555" s="36" t="s">
        <v>23</v>
      </c>
      <c r="D555" s="36" t="s">
        <v>39</v>
      </c>
      <c r="E555" s="36" t="s">
        <v>25</v>
      </c>
      <c r="F555" s="36" t="s">
        <v>25</v>
      </c>
      <c r="G555" s="36" t="s">
        <v>25</v>
      </c>
      <c r="H555" s="36" t="s">
        <v>25</v>
      </c>
      <c r="I555" s="56">
        <v>44621</v>
      </c>
      <c r="J555" s="57">
        <f>EFEITO!$J$555*EFEITO!$Y$555</f>
        <v>0</v>
      </c>
      <c r="K555" s="57">
        <f ca="1">EFEITO!$L$555*EFEITO!$Z$555</f>
        <v>441430.27274572494</v>
      </c>
      <c r="L555" s="57">
        <f>EFEITO!$N$555*EFEITO!$AA$555</f>
        <v>231546.77776717566</v>
      </c>
      <c r="M555" s="57">
        <f>$J$555-EFEITO!$K$555*EFEITO!$Y$555</f>
        <v>0</v>
      </c>
      <c r="N555" s="57">
        <f ca="1">$K$555-EFEITO!$M$555*EFEITO!$Z$555</f>
        <v>0</v>
      </c>
      <c r="O555" s="57">
        <f>$L$555-EFEITO!$O$555*EFEITO!$AA$555</f>
        <v>0</v>
      </c>
      <c r="P555" s="40"/>
      <c r="Q555" s="40"/>
      <c r="R555" s="40"/>
      <c r="S555" s="40"/>
      <c r="T555" s="40"/>
      <c r="U555" s="40"/>
      <c r="V555" s="40"/>
      <c r="W555" s="40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1.25" customHeight="1" x14ac:dyDescent="0.2">
      <c r="A556" s="36" t="s">
        <v>28</v>
      </c>
      <c r="B556" s="36" t="s">
        <v>33</v>
      </c>
      <c r="C556" s="36" t="s">
        <v>23</v>
      </c>
      <c r="D556" s="36" t="s">
        <v>39</v>
      </c>
      <c r="E556" s="36" t="s">
        <v>25</v>
      </c>
      <c r="F556" s="36" t="s">
        <v>25</v>
      </c>
      <c r="G556" s="36" t="s">
        <v>25</v>
      </c>
      <c r="H556" s="36" t="s">
        <v>25</v>
      </c>
      <c r="I556" s="56">
        <v>44621</v>
      </c>
      <c r="J556" s="57">
        <f>EFEITO!$J$556*EFEITO!$Y$556</f>
        <v>0</v>
      </c>
      <c r="K556" s="57">
        <f ca="1">EFEITO!$L$556*EFEITO!$Z$556</f>
        <v>29326.503172764784</v>
      </c>
      <c r="L556" s="57">
        <f>EFEITO!$N$556*EFEITO!$AA$556</f>
        <v>15382.853719105975</v>
      </c>
      <c r="M556" s="57">
        <f>$J$556-EFEITO!$K$556*EFEITO!$Y$556</f>
        <v>0</v>
      </c>
      <c r="N556" s="57">
        <f ca="1">$K$556-EFEITO!$M$556*EFEITO!$Z$556</f>
        <v>0</v>
      </c>
      <c r="O556" s="57">
        <f>$L$556-EFEITO!$O$556*EFEITO!$AA$556</f>
        <v>0</v>
      </c>
      <c r="P556" s="40"/>
      <c r="Q556" s="40"/>
      <c r="R556" s="40"/>
      <c r="S556" s="40"/>
      <c r="T556" s="40"/>
      <c r="U556" s="40"/>
      <c r="V556" s="40"/>
      <c r="W556" s="40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1.25" customHeight="1" x14ac:dyDescent="0.2">
      <c r="A557" s="36" t="s">
        <v>21</v>
      </c>
      <c r="B557" s="36" t="s">
        <v>33</v>
      </c>
      <c r="C557" s="36" t="s">
        <v>23</v>
      </c>
      <c r="D557" s="36" t="s">
        <v>39</v>
      </c>
      <c r="E557" s="36" t="s">
        <v>25</v>
      </c>
      <c r="F557" s="36" t="s">
        <v>25</v>
      </c>
      <c r="G557" s="36" t="s">
        <v>25</v>
      </c>
      <c r="H557" s="36" t="s">
        <v>25</v>
      </c>
      <c r="I557" s="56">
        <v>44652</v>
      </c>
      <c r="J557" s="57">
        <f>EFEITO!$J$557*EFEITO!$Y$557</f>
        <v>0</v>
      </c>
      <c r="K557" s="57">
        <f ca="1">EFEITO!$L$557*EFEITO!$Z$557</f>
        <v>372950.45478638494</v>
      </c>
      <c r="L557" s="57">
        <f>EFEITO!$N$557*EFEITO!$AA$557</f>
        <v>195626.53810635483</v>
      </c>
      <c r="M557" s="57">
        <f>$J$557-EFEITO!$K$557*EFEITO!$Y$557</f>
        <v>0</v>
      </c>
      <c r="N557" s="57">
        <f ca="1">$K$557-EFEITO!$M$557*EFEITO!$Z$557</f>
        <v>0</v>
      </c>
      <c r="O557" s="57">
        <f>$L$557-EFEITO!$O$557*EFEITO!$AA$557</f>
        <v>0</v>
      </c>
      <c r="P557" s="40"/>
      <c r="Q557" s="40"/>
      <c r="R557" s="40"/>
      <c r="S557" s="40"/>
      <c r="T557" s="40"/>
      <c r="U557" s="40"/>
      <c r="V557" s="40"/>
      <c r="W557" s="40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1.25" customHeight="1" x14ac:dyDescent="0.2">
      <c r="A558" s="36" t="s">
        <v>28</v>
      </c>
      <c r="B558" s="36" t="s">
        <v>33</v>
      </c>
      <c r="C558" s="36" t="s">
        <v>23</v>
      </c>
      <c r="D558" s="36" t="s">
        <v>39</v>
      </c>
      <c r="E558" s="36" t="s">
        <v>25</v>
      </c>
      <c r="F558" s="36" t="s">
        <v>25</v>
      </c>
      <c r="G558" s="36" t="s">
        <v>25</v>
      </c>
      <c r="H558" s="36" t="s">
        <v>25</v>
      </c>
      <c r="I558" s="56">
        <v>44652</v>
      </c>
      <c r="J558" s="57">
        <f>EFEITO!$J$558*EFEITO!$Y$558</f>
        <v>0</v>
      </c>
      <c r="K558" s="57">
        <f ca="1">EFEITO!$L$558*EFEITO!$Z$558</f>
        <v>22581.039092688243</v>
      </c>
      <c r="L558" s="57">
        <f>EFEITO!$N$558*EFEITO!$AA$558</f>
        <v>11844.604150106348</v>
      </c>
      <c r="M558" s="57">
        <f>$J$558-EFEITO!$K$558*EFEITO!$Y$558</f>
        <v>0</v>
      </c>
      <c r="N558" s="57">
        <f ca="1">$K$558-EFEITO!$M$558*EFEITO!$Z$558</f>
        <v>0</v>
      </c>
      <c r="O558" s="57">
        <f>$L$558-EFEITO!$O$558*EFEITO!$AA$558</f>
        <v>0</v>
      </c>
      <c r="P558" s="40"/>
      <c r="Q558" s="40"/>
      <c r="R558" s="40"/>
      <c r="S558" s="40"/>
      <c r="T558" s="40"/>
      <c r="U558" s="40"/>
      <c r="V558" s="40"/>
      <c r="W558" s="40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1.25" customHeight="1" x14ac:dyDescent="0.2">
      <c r="A559" s="36" t="s">
        <v>21</v>
      </c>
      <c r="B559" s="36" t="s">
        <v>33</v>
      </c>
      <c r="C559" s="36" t="s">
        <v>23</v>
      </c>
      <c r="D559" s="36" t="s">
        <v>39</v>
      </c>
      <c r="E559" s="36" t="s">
        <v>25</v>
      </c>
      <c r="F559" s="36" t="s">
        <v>25</v>
      </c>
      <c r="G559" s="36" t="s">
        <v>25</v>
      </c>
      <c r="H559" s="36" t="s">
        <v>25</v>
      </c>
      <c r="I559" s="56">
        <v>44682</v>
      </c>
      <c r="J559" s="57">
        <f>EFEITO!$J$559*EFEITO!$Y$559</f>
        <v>0</v>
      </c>
      <c r="K559" s="57">
        <f ca="1">EFEITO!$L$559*EFEITO!$Z$559</f>
        <v>326692.63127191167</v>
      </c>
      <c r="L559" s="57">
        <f>EFEITO!$N$559*EFEITO!$AA$559</f>
        <v>171362.57017620635</v>
      </c>
      <c r="M559" s="57">
        <f>$J$559-EFEITO!$K$559*EFEITO!$Y$559</f>
        <v>0</v>
      </c>
      <c r="N559" s="57">
        <f ca="1">$K$559-EFEITO!$M$559*EFEITO!$Z$559</f>
        <v>0</v>
      </c>
      <c r="O559" s="57">
        <f>$L$559-EFEITO!$O$559*EFEITO!$AA$559</f>
        <v>0</v>
      </c>
      <c r="P559" s="40"/>
      <c r="Q559" s="40"/>
      <c r="R559" s="40"/>
      <c r="S559" s="40"/>
      <c r="T559" s="40"/>
      <c r="U559" s="40"/>
      <c r="V559" s="40"/>
      <c r="W559" s="40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1.25" customHeight="1" x14ac:dyDescent="0.2">
      <c r="A560" s="36" t="s">
        <v>27</v>
      </c>
      <c r="B560" s="36" t="s">
        <v>33</v>
      </c>
      <c r="C560" s="36" t="s">
        <v>23</v>
      </c>
      <c r="D560" s="36" t="s">
        <v>39</v>
      </c>
      <c r="E560" s="36" t="s">
        <v>25</v>
      </c>
      <c r="F560" s="36" t="s">
        <v>25</v>
      </c>
      <c r="G560" s="36" t="s">
        <v>25</v>
      </c>
      <c r="H560" s="36" t="s">
        <v>25</v>
      </c>
      <c r="I560" s="56">
        <v>44682</v>
      </c>
      <c r="J560" s="57">
        <f>EFEITO!$J$560*EFEITO!$Y$560</f>
        <v>0</v>
      </c>
      <c r="K560" s="57">
        <f ca="1">EFEITO!$L$560*EFEITO!$Z$560</f>
        <v>-1981.7248326304064</v>
      </c>
      <c r="L560" s="57">
        <f>EFEITO!$N$560*EFEITO!$AA$560</f>
        <v>-1039.4891962497604</v>
      </c>
      <c r="M560" s="57">
        <f>$J$560-EFEITO!$K$560*EFEITO!$Y$560</f>
        <v>0</v>
      </c>
      <c r="N560" s="57">
        <f ca="1">$K$560-EFEITO!$M$560*EFEITO!$Z$560</f>
        <v>0</v>
      </c>
      <c r="O560" s="57">
        <f>$L$560-EFEITO!$O$560*EFEITO!$AA$560</f>
        <v>0</v>
      </c>
      <c r="P560" s="40"/>
      <c r="Q560" s="40"/>
      <c r="R560" s="40"/>
      <c r="S560" s="40"/>
      <c r="T560" s="40"/>
      <c r="U560" s="40"/>
      <c r="V560" s="40"/>
      <c r="W560" s="40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1.25" customHeight="1" x14ac:dyDescent="0.2">
      <c r="A561" s="36" t="s">
        <v>28</v>
      </c>
      <c r="B561" s="36" t="s">
        <v>33</v>
      </c>
      <c r="C561" s="36" t="s">
        <v>23</v>
      </c>
      <c r="D561" s="36" t="s">
        <v>39</v>
      </c>
      <c r="E561" s="36" t="s">
        <v>25</v>
      </c>
      <c r="F561" s="36" t="s">
        <v>25</v>
      </c>
      <c r="G561" s="36" t="s">
        <v>25</v>
      </c>
      <c r="H561" s="36" t="s">
        <v>25</v>
      </c>
      <c r="I561" s="56">
        <v>44682</v>
      </c>
      <c r="J561" s="57">
        <f>EFEITO!$J$561*EFEITO!$Y$561</f>
        <v>0</v>
      </c>
      <c r="K561" s="57">
        <f ca="1">EFEITO!$L$561*EFEITO!$Z$561</f>
        <v>21482.967340387459</v>
      </c>
      <c r="L561" s="57">
        <f>EFEITO!$N$561*EFEITO!$AA$561</f>
        <v>11268.624223716342</v>
      </c>
      <c r="M561" s="57">
        <f>$J$561-EFEITO!$K$561*EFEITO!$Y$561</f>
        <v>0</v>
      </c>
      <c r="N561" s="57">
        <f ca="1">$K$561-EFEITO!$M$561*EFEITO!$Z$561</f>
        <v>0</v>
      </c>
      <c r="O561" s="57">
        <f>$L$561-EFEITO!$O$561*EFEITO!$AA$561</f>
        <v>0</v>
      </c>
      <c r="P561" s="40"/>
      <c r="Q561" s="40"/>
      <c r="R561" s="40"/>
      <c r="S561" s="40"/>
      <c r="T561" s="40"/>
      <c r="U561" s="40"/>
      <c r="V561" s="40"/>
      <c r="W561" s="40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1.25" customHeight="1" x14ac:dyDescent="0.2">
      <c r="A562" s="36" t="s">
        <v>21</v>
      </c>
      <c r="B562" s="36" t="s">
        <v>33</v>
      </c>
      <c r="C562" s="36" t="s">
        <v>23</v>
      </c>
      <c r="D562" s="36" t="s">
        <v>39</v>
      </c>
      <c r="E562" s="36" t="s">
        <v>25</v>
      </c>
      <c r="F562" s="36" t="s">
        <v>25</v>
      </c>
      <c r="G562" s="36" t="s">
        <v>25</v>
      </c>
      <c r="H562" s="36" t="s">
        <v>25</v>
      </c>
      <c r="I562" s="56">
        <v>44713</v>
      </c>
      <c r="J562" s="57">
        <f>EFEITO!$J$562*EFEITO!$Y$562</f>
        <v>0</v>
      </c>
      <c r="K562" s="57">
        <f ca="1">EFEITO!$L$562*EFEITO!$Z$562</f>
        <v>329774.75428004691</v>
      </c>
      <c r="L562" s="57">
        <f>EFEITO!$N$562*EFEITO!$AA$562</f>
        <v>172979.25959530033</v>
      </c>
      <c r="M562" s="57">
        <f>$J$562-EFEITO!$K$562*EFEITO!$Y$562</f>
        <v>0</v>
      </c>
      <c r="N562" s="57">
        <f ca="1">$K$562-EFEITO!$M$562*EFEITO!$Z$562</f>
        <v>0</v>
      </c>
      <c r="O562" s="57">
        <f>$L$562-EFEITO!$O$562*EFEITO!$AA$562</f>
        <v>0</v>
      </c>
      <c r="P562" s="40"/>
      <c r="Q562" s="40"/>
      <c r="R562" s="40"/>
      <c r="S562" s="40"/>
      <c r="T562" s="40"/>
      <c r="U562" s="40"/>
      <c r="V562" s="40"/>
      <c r="W562" s="40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1.25" customHeight="1" x14ac:dyDescent="0.2">
      <c r="A563" s="36" t="s">
        <v>28</v>
      </c>
      <c r="B563" s="36" t="s">
        <v>33</v>
      </c>
      <c r="C563" s="36" t="s">
        <v>23</v>
      </c>
      <c r="D563" s="36" t="s">
        <v>39</v>
      </c>
      <c r="E563" s="36" t="s">
        <v>25</v>
      </c>
      <c r="F563" s="36" t="s">
        <v>25</v>
      </c>
      <c r="G563" s="36" t="s">
        <v>25</v>
      </c>
      <c r="H563" s="36" t="s">
        <v>25</v>
      </c>
      <c r="I563" s="56">
        <v>44713</v>
      </c>
      <c r="J563" s="57">
        <f>EFEITO!$J$563*EFEITO!$Y$563</f>
        <v>0</v>
      </c>
      <c r="K563" s="57">
        <f ca="1">EFEITO!$L$563*EFEITO!$Z$563</f>
        <v>24932.277477558288</v>
      </c>
      <c r="L563" s="57">
        <f>EFEITO!$N$563*EFEITO!$AA$563</f>
        <v>13077.917099834103</v>
      </c>
      <c r="M563" s="57">
        <f>$J$563-EFEITO!$K$563*EFEITO!$Y$563</f>
        <v>0</v>
      </c>
      <c r="N563" s="57">
        <f ca="1">$K$563-EFEITO!$M$563*EFEITO!$Z$563</f>
        <v>0</v>
      </c>
      <c r="O563" s="57">
        <f>$L$563-EFEITO!$O$563*EFEITO!$AA$563</f>
        <v>0</v>
      </c>
      <c r="P563" s="40"/>
      <c r="Q563" s="40"/>
      <c r="R563" s="40"/>
      <c r="S563" s="40"/>
      <c r="T563" s="40"/>
      <c r="U563" s="40"/>
      <c r="V563" s="40"/>
      <c r="W563" s="40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1.25" customHeight="1" x14ac:dyDescent="0.2">
      <c r="A564" s="36" t="s">
        <v>21</v>
      </c>
      <c r="B564" s="36" t="s">
        <v>33</v>
      </c>
      <c r="C564" s="36" t="s">
        <v>23</v>
      </c>
      <c r="D564" s="36" t="s">
        <v>39</v>
      </c>
      <c r="E564" s="36" t="s">
        <v>25</v>
      </c>
      <c r="F564" s="36" t="s">
        <v>25</v>
      </c>
      <c r="G564" s="36" t="s">
        <v>25</v>
      </c>
      <c r="H564" s="36" t="s">
        <v>25</v>
      </c>
      <c r="I564" s="56">
        <v>44743</v>
      </c>
      <c r="J564" s="57">
        <f>EFEITO!$J$564*EFEITO!$Y$564</f>
        <v>0</v>
      </c>
      <c r="K564" s="57">
        <f ca="1">EFEITO!$L$564*EFEITO!$Z$564</f>
        <v>319626.12078967941</v>
      </c>
      <c r="L564" s="57">
        <f>EFEITO!$N$564*EFEITO!$AA$564</f>
        <v>167655.91969652488</v>
      </c>
      <c r="M564" s="57">
        <f>$J$564-EFEITO!$K$564*EFEITO!$Y$564</f>
        <v>0</v>
      </c>
      <c r="N564" s="57">
        <f ca="1">$K$564-EFEITO!$M$564*EFEITO!$Z$564</f>
        <v>0</v>
      </c>
      <c r="O564" s="57">
        <f>$L$564-EFEITO!$O$564*EFEITO!$AA$564</f>
        <v>0</v>
      </c>
      <c r="P564" s="40"/>
      <c r="Q564" s="40"/>
      <c r="R564" s="40"/>
      <c r="S564" s="40"/>
      <c r="T564" s="40"/>
      <c r="U564" s="40"/>
      <c r="V564" s="40"/>
      <c r="W564" s="40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1.25" customHeight="1" x14ac:dyDescent="0.2">
      <c r="A565" s="36" t="s">
        <v>27</v>
      </c>
      <c r="B565" s="36" t="s">
        <v>33</v>
      </c>
      <c r="C565" s="36" t="s">
        <v>23</v>
      </c>
      <c r="D565" s="36" t="s">
        <v>39</v>
      </c>
      <c r="E565" s="36" t="s">
        <v>25</v>
      </c>
      <c r="F565" s="36" t="s">
        <v>25</v>
      </c>
      <c r="G565" s="36" t="s">
        <v>25</v>
      </c>
      <c r="H565" s="36" t="s">
        <v>25</v>
      </c>
      <c r="I565" s="56">
        <v>44743</v>
      </c>
      <c r="J565" s="57">
        <f>EFEITO!$J$565*EFEITO!$Y$565</f>
        <v>0</v>
      </c>
      <c r="K565" s="57">
        <f ca="1">EFEITO!$L$565*EFEITO!$Z$565</f>
        <v>-381.53340546044217</v>
      </c>
      <c r="L565" s="57">
        <f>EFEITO!$N$565*EFEITO!$AA$565</f>
        <v>-200.12861849144281</v>
      </c>
      <c r="M565" s="57">
        <f>$J$565-EFEITO!$K$565*EFEITO!$Y$565</f>
        <v>0</v>
      </c>
      <c r="N565" s="57">
        <f ca="1">$K$565-EFEITO!$M$565*EFEITO!$Z$565</f>
        <v>0</v>
      </c>
      <c r="O565" s="57">
        <f>$L$565-EFEITO!$O$565*EFEITO!$AA$565</f>
        <v>0</v>
      </c>
      <c r="P565" s="40"/>
      <c r="Q565" s="40"/>
      <c r="R565" s="40"/>
      <c r="S565" s="40"/>
      <c r="T565" s="40"/>
      <c r="U565" s="40"/>
      <c r="V565" s="40"/>
      <c r="W565" s="40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1.25" customHeight="1" x14ac:dyDescent="0.2">
      <c r="A566" s="36" t="s">
        <v>21</v>
      </c>
      <c r="B566" s="36" t="s">
        <v>33</v>
      </c>
      <c r="C566" s="36" t="s">
        <v>23</v>
      </c>
      <c r="D566" s="36" t="s">
        <v>39</v>
      </c>
      <c r="E566" s="36" t="s">
        <v>25</v>
      </c>
      <c r="F566" s="36" t="s">
        <v>25</v>
      </c>
      <c r="G566" s="36" t="s">
        <v>25</v>
      </c>
      <c r="H566" s="36" t="s">
        <v>25</v>
      </c>
      <c r="I566" s="56">
        <v>44774</v>
      </c>
      <c r="J566" s="57">
        <f>EFEITO!$J$566*EFEITO!$Y$566</f>
        <v>0</v>
      </c>
      <c r="K566" s="57">
        <f ca="1">EFEITO!$L$566*EFEITO!$Z$566</f>
        <v>336864.14125711878</v>
      </c>
      <c r="L566" s="57">
        <f>EFEITO!$N$566*EFEITO!$AA$566</f>
        <v>176697.90965678156</v>
      </c>
      <c r="M566" s="57">
        <f>$J$566-EFEITO!$K$566*EFEITO!$Y$566</f>
        <v>0</v>
      </c>
      <c r="N566" s="57">
        <f ca="1">$K$566-EFEITO!$M$566*EFEITO!$Z$566</f>
        <v>0</v>
      </c>
      <c r="O566" s="57">
        <f>$L$566-EFEITO!$O$566*EFEITO!$AA$566</f>
        <v>0</v>
      </c>
      <c r="P566" s="40"/>
      <c r="Q566" s="40"/>
      <c r="R566" s="40"/>
      <c r="S566" s="40"/>
      <c r="T566" s="40"/>
      <c r="U566" s="40"/>
      <c r="V566" s="40"/>
      <c r="W566" s="40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1.25" customHeight="1" x14ac:dyDescent="0.2">
      <c r="A567" s="36" t="s">
        <v>28</v>
      </c>
      <c r="B567" s="36" t="s">
        <v>33</v>
      </c>
      <c r="C567" s="36" t="s">
        <v>23</v>
      </c>
      <c r="D567" s="36" t="s">
        <v>39</v>
      </c>
      <c r="E567" s="36" t="s">
        <v>25</v>
      </c>
      <c r="F567" s="36" t="s">
        <v>25</v>
      </c>
      <c r="G567" s="36" t="s">
        <v>25</v>
      </c>
      <c r="H567" s="36" t="s">
        <v>25</v>
      </c>
      <c r="I567" s="56">
        <v>44774</v>
      </c>
      <c r="J567" s="57">
        <f>EFEITO!$J$567*EFEITO!$Y$567</f>
        <v>0</v>
      </c>
      <c r="K567" s="57">
        <f ca="1">EFEITO!$L$567*EFEITO!$Z$567</f>
        <v>27705.373936758569</v>
      </c>
      <c r="L567" s="57">
        <f>EFEITO!$N$567*EFEITO!$AA$567</f>
        <v>14532.510473259708</v>
      </c>
      <c r="M567" s="57">
        <f>$J$567-EFEITO!$K$567*EFEITO!$Y$567</f>
        <v>0</v>
      </c>
      <c r="N567" s="57">
        <f ca="1">$K$567-EFEITO!$M$567*EFEITO!$Z$567</f>
        <v>0</v>
      </c>
      <c r="O567" s="57">
        <f>$L$567-EFEITO!$O$567*EFEITO!$AA$567</f>
        <v>0</v>
      </c>
      <c r="P567" s="40"/>
      <c r="Q567" s="40"/>
      <c r="R567" s="40"/>
      <c r="S567" s="40"/>
      <c r="T567" s="40"/>
      <c r="U567" s="40"/>
      <c r="V567" s="40"/>
      <c r="W567" s="40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1.25" customHeight="1" x14ac:dyDescent="0.2">
      <c r="A568" s="36" t="s">
        <v>21</v>
      </c>
      <c r="B568" s="36" t="s">
        <v>33</v>
      </c>
      <c r="C568" s="36" t="s">
        <v>23</v>
      </c>
      <c r="D568" s="36" t="s">
        <v>49</v>
      </c>
      <c r="E568" s="36" t="s">
        <v>25</v>
      </c>
      <c r="F568" s="36" t="s">
        <v>25</v>
      </c>
      <c r="G568" s="36" t="s">
        <v>25</v>
      </c>
      <c r="H568" s="36" t="s">
        <v>25</v>
      </c>
      <c r="I568" s="56">
        <v>44440</v>
      </c>
      <c r="J568" s="57">
        <f>EFEITO!$J$568*EFEITO!$Y$568</f>
        <v>0</v>
      </c>
      <c r="K568" s="57">
        <f ca="1">EFEITO!$L$568*EFEITO!$Z$568</f>
        <v>3491.9612292446568</v>
      </c>
      <c r="L568" s="57">
        <f>EFEITO!$N$568*EFEITO!$AA$568</f>
        <v>1831.6649777783882</v>
      </c>
      <c r="M568" s="57">
        <f>$J$568-EFEITO!$K$568*EFEITO!$Y$568</f>
        <v>0</v>
      </c>
      <c r="N568" s="57">
        <f ca="1">$K$568-EFEITO!$M$568*EFEITO!$Z$568</f>
        <v>0</v>
      </c>
      <c r="O568" s="57">
        <f>$L$568-EFEITO!$O$568*EFEITO!$AA$568</f>
        <v>0</v>
      </c>
      <c r="P568" s="40"/>
      <c r="Q568" s="40"/>
      <c r="R568" s="40"/>
      <c r="S568" s="40"/>
      <c r="T568" s="40"/>
      <c r="U568" s="40"/>
      <c r="V568" s="40"/>
      <c r="W568" s="40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1.25" customHeight="1" x14ac:dyDescent="0.2">
      <c r="A569" s="36" t="s">
        <v>21</v>
      </c>
      <c r="B569" s="36" t="s">
        <v>33</v>
      </c>
      <c r="C569" s="36" t="s">
        <v>23</v>
      </c>
      <c r="D569" s="36" t="s">
        <v>49</v>
      </c>
      <c r="E569" s="36" t="s">
        <v>25</v>
      </c>
      <c r="F569" s="36" t="s">
        <v>25</v>
      </c>
      <c r="G569" s="36" t="s">
        <v>25</v>
      </c>
      <c r="H569" s="36" t="s">
        <v>25</v>
      </c>
      <c r="I569" s="56">
        <v>44470</v>
      </c>
      <c r="J569" s="57">
        <f>EFEITO!$J$569*EFEITO!$Y$569</f>
        <v>0</v>
      </c>
      <c r="K569" s="57">
        <f ca="1">EFEITO!$L$569*EFEITO!$Z$569</f>
        <v>3704.8289524131351</v>
      </c>
      <c r="L569" s="57">
        <f>EFEITO!$N$569*EFEITO!$AA$569</f>
        <v>1943.3221033391626</v>
      </c>
      <c r="M569" s="57">
        <f>$J$569-EFEITO!$K$569*EFEITO!$Y$569</f>
        <v>0</v>
      </c>
      <c r="N569" s="57">
        <f ca="1">$K$569-EFEITO!$M$569*EFEITO!$Z$569</f>
        <v>0</v>
      </c>
      <c r="O569" s="57">
        <f>$L$569-EFEITO!$O$569*EFEITO!$AA$569</f>
        <v>0</v>
      </c>
      <c r="P569" s="40"/>
      <c r="Q569" s="40"/>
      <c r="R569" s="40"/>
      <c r="S569" s="40"/>
      <c r="T569" s="40"/>
      <c r="U569" s="40"/>
      <c r="V569" s="40"/>
      <c r="W569" s="40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1.25" customHeight="1" x14ac:dyDescent="0.2">
      <c r="A570" s="36" t="s">
        <v>21</v>
      </c>
      <c r="B570" s="36" t="s">
        <v>33</v>
      </c>
      <c r="C570" s="36" t="s">
        <v>23</v>
      </c>
      <c r="D570" s="36" t="s">
        <v>49</v>
      </c>
      <c r="E570" s="36" t="s">
        <v>25</v>
      </c>
      <c r="F570" s="36" t="s">
        <v>25</v>
      </c>
      <c r="G570" s="36" t="s">
        <v>25</v>
      </c>
      <c r="H570" s="36" t="s">
        <v>25</v>
      </c>
      <c r="I570" s="56">
        <v>44501</v>
      </c>
      <c r="J570" s="57">
        <f>EFEITO!$J$570*EFEITO!$Y$570</f>
        <v>0</v>
      </c>
      <c r="K570" s="57">
        <f ca="1">EFEITO!$L$570*EFEITO!$Z$570</f>
        <v>4226.7232245165451</v>
      </c>
      <c r="L570" s="57">
        <f>EFEITO!$N$570*EFEITO!$AA$570</f>
        <v>2217.0752745683112</v>
      </c>
      <c r="M570" s="57">
        <f>$J$570-EFEITO!$K$570*EFEITO!$Y$570</f>
        <v>0</v>
      </c>
      <c r="N570" s="57">
        <f ca="1">$K$570-EFEITO!$M$570*EFEITO!$Z$570</f>
        <v>0</v>
      </c>
      <c r="O570" s="57">
        <f>$L$570-EFEITO!$O$570*EFEITO!$AA$570</f>
        <v>0</v>
      </c>
      <c r="P570" s="40"/>
      <c r="Q570" s="40"/>
      <c r="R570" s="40"/>
      <c r="S570" s="40"/>
      <c r="T570" s="40"/>
      <c r="U570" s="40"/>
      <c r="V570" s="40"/>
      <c r="W570" s="40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1.25" customHeight="1" x14ac:dyDescent="0.2">
      <c r="A571" s="36" t="s">
        <v>21</v>
      </c>
      <c r="B571" s="36" t="s">
        <v>33</v>
      </c>
      <c r="C571" s="36" t="s">
        <v>23</v>
      </c>
      <c r="D571" s="36" t="s">
        <v>49</v>
      </c>
      <c r="E571" s="36" t="s">
        <v>25</v>
      </c>
      <c r="F571" s="36" t="s">
        <v>25</v>
      </c>
      <c r="G571" s="36" t="s">
        <v>25</v>
      </c>
      <c r="H571" s="36" t="s">
        <v>25</v>
      </c>
      <c r="I571" s="56">
        <v>44531</v>
      </c>
      <c r="J571" s="57">
        <f>EFEITO!$J$571*EFEITO!$Y$571</f>
        <v>0</v>
      </c>
      <c r="K571" s="57">
        <f ca="1">EFEITO!$L$571*EFEITO!$Z$571</f>
        <v>4612.1340019836989</v>
      </c>
      <c r="L571" s="57">
        <f>EFEITO!$N$571*EFEITO!$AA$571</f>
        <v>2419.2377204834474</v>
      </c>
      <c r="M571" s="57">
        <f>$J$571-EFEITO!$K$571*EFEITO!$Y$571</f>
        <v>0</v>
      </c>
      <c r="N571" s="57">
        <f ca="1">$K$571-EFEITO!$M$571*EFEITO!$Z$571</f>
        <v>0</v>
      </c>
      <c r="O571" s="57">
        <f>$L$571-EFEITO!$O$571*EFEITO!$AA$571</f>
        <v>0</v>
      </c>
      <c r="P571" s="40"/>
      <c r="Q571" s="40"/>
      <c r="R571" s="40"/>
      <c r="S571" s="40"/>
      <c r="T571" s="40"/>
      <c r="U571" s="40"/>
      <c r="V571" s="40"/>
      <c r="W571" s="40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1.25" customHeight="1" x14ac:dyDescent="0.2">
      <c r="A572" s="36" t="s">
        <v>21</v>
      </c>
      <c r="B572" s="36" t="s">
        <v>33</v>
      </c>
      <c r="C572" s="36" t="s">
        <v>23</v>
      </c>
      <c r="D572" s="36" t="s">
        <v>49</v>
      </c>
      <c r="E572" s="36" t="s">
        <v>25</v>
      </c>
      <c r="F572" s="36" t="s">
        <v>25</v>
      </c>
      <c r="G572" s="36" t="s">
        <v>25</v>
      </c>
      <c r="H572" s="36" t="s">
        <v>25</v>
      </c>
      <c r="I572" s="56">
        <v>44562</v>
      </c>
      <c r="J572" s="57">
        <f>EFEITO!$J$572*EFEITO!$Y$572</f>
        <v>0</v>
      </c>
      <c r="K572" s="57">
        <f ca="1">EFEITO!$L$572*EFEITO!$Z$572</f>
        <v>5265.0834479139685</v>
      </c>
      <c r="L572" s="57">
        <f>EFEITO!$N$572*EFEITO!$AA$572</f>
        <v>2761.7342586334371</v>
      </c>
      <c r="M572" s="57">
        <f>$J$572-EFEITO!$K$572*EFEITO!$Y$572</f>
        <v>0</v>
      </c>
      <c r="N572" s="57">
        <f ca="1">$K$572-EFEITO!$M$572*EFEITO!$Z$572</f>
        <v>0</v>
      </c>
      <c r="O572" s="57">
        <f>$L$572-EFEITO!$O$572*EFEITO!$AA$572</f>
        <v>0</v>
      </c>
      <c r="P572" s="40"/>
      <c r="Q572" s="40"/>
      <c r="R572" s="40"/>
      <c r="S572" s="40"/>
      <c r="T572" s="40"/>
      <c r="U572" s="40"/>
      <c r="V572" s="40"/>
      <c r="W572" s="40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1.25" customHeight="1" x14ac:dyDescent="0.2">
      <c r="A573" s="36" t="s">
        <v>21</v>
      </c>
      <c r="B573" s="36" t="s">
        <v>33</v>
      </c>
      <c r="C573" s="36" t="s">
        <v>23</v>
      </c>
      <c r="D573" s="36" t="s">
        <v>49</v>
      </c>
      <c r="E573" s="36" t="s">
        <v>25</v>
      </c>
      <c r="F573" s="36" t="s">
        <v>25</v>
      </c>
      <c r="G573" s="36" t="s">
        <v>25</v>
      </c>
      <c r="H573" s="36" t="s">
        <v>25</v>
      </c>
      <c r="I573" s="56">
        <v>44593</v>
      </c>
      <c r="J573" s="57">
        <f>EFEITO!$J$573*EFEITO!$Y$573</f>
        <v>0</v>
      </c>
      <c r="K573" s="57">
        <f ca="1">EFEITO!$L$573*EFEITO!$Z$573</f>
        <v>5590.3949592770887</v>
      </c>
      <c r="L573" s="57">
        <f>EFEITO!$N$573*EFEITO!$AA$573</f>
        <v>2932.3723794813236</v>
      </c>
      <c r="M573" s="57">
        <f>$J$573-EFEITO!$K$573*EFEITO!$Y$573</f>
        <v>0</v>
      </c>
      <c r="N573" s="57">
        <f ca="1">$K$573-EFEITO!$M$573*EFEITO!$Z$573</f>
        <v>0</v>
      </c>
      <c r="O573" s="57">
        <f>$L$573-EFEITO!$O$573*EFEITO!$AA$573</f>
        <v>0</v>
      </c>
      <c r="P573" s="40"/>
      <c r="Q573" s="40"/>
      <c r="R573" s="40"/>
      <c r="S573" s="40"/>
      <c r="T573" s="40"/>
      <c r="U573" s="40"/>
      <c r="V573" s="40"/>
      <c r="W573" s="40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1.25" customHeight="1" x14ac:dyDescent="0.2">
      <c r="A574" s="36" t="s">
        <v>21</v>
      </c>
      <c r="B574" s="36" t="s">
        <v>33</v>
      </c>
      <c r="C574" s="36" t="s">
        <v>23</v>
      </c>
      <c r="D574" s="36" t="s">
        <v>49</v>
      </c>
      <c r="E574" s="36" t="s">
        <v>25</v>
      </c>
      <c r="F574" s="36" t="s">
        <v>25</v>
      </c>
      <c r="G574" s="36" t="s">
        <v>25</v>
      </c>
      <c r="H574" s="36" t="s">
        <v>25</v>
      </c>
      <c r="I574" s="56">
        <v>44621</v>
      </c>
      <c r="J574" s="57">
        <f>EFEITO!$J$574*EFEITO!$Y$574</f>
        <v>0</v>
      </c>
      <c r="K574" s="57">
        <f ca="1">EFEITO!$L$574*EFEITO!$Z$574</f>
        <v>5004.9117862636049</v>
      </c>
      <c r="L574" s="57">
        <f>EFEITO!$N$574*EFEITO!$AA$574</f>
        <v>2625.2644385036015</v>
      </c>
      <c r="M574" s="57">
        <f>$J$574-EFEITO!$K$574*EFEITO!$Y$574</f>
        <v>0</v>
      </c>
      <c r="N574" s="57">
        <f ca="1">$K$574-EFEITO!$M$574*EFEITO!$Z$574</f>
        <v>0</v>
      </c>
      <c r="O574" s="57">
        <f>$L$574-EFEITO!$O$574*EFEITO!$AA$574</f>
        <v>0</v>
      </c>
      <c r="P574" s="40"/>
      <c r="Q574" s="40"/>
      <c r="R574" s="40"/>
      <c r="S574" s="40"/>
      <c r="T574" s="40"/>
      <c r="U574" s="40"/>
      <c r="V574" s="40"/>
      <c r="W574" s="40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1.25" customHeight="1" x14ac:dyDescent="0.2">
      <c r="A575" s="36" t="s">
        <v>21</v>
      </c>
      <c r="B575" s="36" t="s">
        <v>33</v>
      </c>
      <c r="C575" s="36" t="s">
        <v>23</v>
      </c>
      <c r="D575" s="36" t="s">
        <v>49</v>
      </c>
      <c r="E575" s="36" t="s">
        <v>25</v>
      </c>
      <c r="F575" s="36" t="s">
        <v>25</v>
      </c>
      <c r="G575" s="36" t="s">
        <v>25</v>
      </c>
      <c r="H575" s="36" t="s">
        <v>25</v>
      </c>
      <c r="I575" s="56">
        <v>44652</v>
      </c>
      <c r="J575" s="57">
        <f>EFEITO!$J$575*EFEITO!$Y$575</f>
        <v>0</v>
      </c>
      <c r="K575" s="57">
        <f ca="1">EFEITO!$L$575*EFEITO!$Z$575</f>
        <v>4170.5013304192235</v>
      </c>
      <c r="L575" s="57">
        <f>EFEITO!$N$575*EFEITO!$AA$575</f>
        <v>2187.5847769247553</v>
      </c>
      <c r="M575" s="57">
        <f>$J$575-EFEITO!$K$575*EFEITO!$Y$575</f>
        <v>0</v>
      </c>
      <c r="N575" s="57">
        <f ca="1">$K$575-EFEITO!$M$575*EFEITO!$Z$575</f>
        <v>0</v>
      </c>
      <c r="O575" s="57">
        <f>$L$575-EFEITO!$O$575*EFEITO!$AA$575</f>
        <v>0</v>
      </c>
      <c r="P575" s="40"/>
      <c r="Q575" s="40"/>
      <c r="R575" s="40"/>
      <c r="S575" s="40"/>
      <c r="T575" s="40"/>
      <c r="U575" s="40"/>
      <c r="V575" s="40"/>
      <c r="W575" s="40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1.25" customHeight="1" x14ac:dyDescent="0.2">
      <c r="A576" s="36" t="s">
        <v>21</v>
      </c>
      <c r="B576" s="36" t="s">
        <v>33</v>
      </c>
      <c r="C576" s="36" t="s">
        <v>23</v>
      </c>
      <c r="D576" s="36" t="s">
        <v>49</v>
      </c>
      <c r="E576" s="36" t="s">
        <v>25</v>
      </c>
      <c r="F576" s="36" t="s">
        <v>25</v>
      </c>
      <c r="G576" s="36" t="s">
        <v>25</v>
      </c>
      <c r="H576" s="36" t="s">
        <v>25</v>
      </c>
      <c r="I576" s="56">
        <v>44682</v>
      </c>
      <c r="J576" s="57">
        <f>EFEITO!$J$576*EFEITO!$Y$576</f>
        <v>0</v>
      </c>
      <c r="K576" s="57">
        <f ca="1">EFEITO!$L$576*EFEITO!$Z$576</f>
        <v>3673.0345019580986</v>
      </c>
      <c r="L576" s="57">
        <f>EFEITO!$N$576*EFEITO!$AA$576</f>
        <v>1926.644718464876</v>
      </c>
      <c r="M576" s="57">
        <f>$J$576-EFEITO!$K$576*EFEITO!$Y$576</f>
        <v>0</v>
      </c>
      <c r="N576" s="57">
        <f ca="1">$K$576-EFEITO!$M$576*EFEITO!$Z$576</f>
        <v>0</v>
      </c>
      <c r="O576" s="57">
        <f>$L$576-EFEITO!$O$576*EFEITO!$AA$576</f>
        <v>0</v>
      </c>
      <c r="P576" s="40"/>
      <c r="Q576" s="40"/>
      <c r="R576" s="40"/>
      <c r="S576" s="40"/>
      <c r="T576" s="40"/>
      <c r="U576" s="40"/>
      <c r="V576" s="40"/>
      <c r="W576" s="40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1.25" customHeight="1" x14ac:dyDescent="0.2">
      <c r="A577" s="36" t="s">
        <v>21</v>
      </c>
      <c r="B577" s="36" t="s">
        <v>33</v>
      </c>
      <c r="C577" s="36" t="s">
        <v>23</v>
      </c>
      <c r="D577" s="36" t="s">
        <v>49</v>
      </c>
      <c r="E577" s="36" t="s">
        <v>25</v>
      </c>
      <c r="F577" s="36" t="s">
        <v>25</v>
      </c>
      <c r="G577" s="36" t="s">
        <v>25</v>
      </c>
      <c r="H577" s="36" t="s">
        <v>25</v>
      </c>
      <c r="I577" s="56">
        <v>44713</v>
      </c>
      <c r="J577" s="57">
        <f>EFEITO!$J$577*EFEITO!$Y$577</f>
        <v>0</v>
      </c>
      <c r="K577" s="57">
        <f ca="1">EFEITO!$L$577*EFEITO!$Z$577</f>
        <v>3751.3574164936772</v>
      </c>
      <c r="L577" s="57">
        <f>EFEITO!$N$577*EFEITO!$AA$577</f>
        <v>1967.7280324234853</v>
      </c>
      <c r="M577" s="57">
        <f>$J$577-EFEITO!$K$577*EFEITO!$Y$577</f>
        <v>0</v>
      </c>
      <c r="N577" s="57">
        <f ca="1">$K$577-EFEITO!$M$577*EFEITO!$Z$577</f>
        <v>0</v>
      </c>
      <c r="O577" s="57">
        <f>$L$577-EFEITO!$O$577*EFEITO!$AA$577</f>
        <v>0</v>
      </c>
      <c r="P577" s="40"/>
      <c r="Q577" s="40"/>
      <c r="R577" s="40"/>
      <c r="S577" s="40"/>
      <c r="T577" s="40"/>
      <c r="U577" s="40"/>
      <c r="V577" s="40"/>
      <c r="W577" s="40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1.25" customHeight="1" x14ac:dyDescent="0.2">
      <c r="A578" s="36" t="s">
        <v>21</v>
      </c>
      <c r="B578" s="36" t="s">
        <v>33</v>
      </c>
      <c r="C578" s="36" t="s">
        <v>23</v>
      </c>
      <c r="D578" s="36" t="s">
        <v>49</v>
      </c>
      <c r="E578" s="36" t="s">
        <v>25</v>
      </c>
      <c r="F578" s="36" t="s">
        <v>25</v>
      </c>
      <c r="G578" s="36" t="s">
        <v>25</v>
      </c>
      <c r="H578" s="36" t="s">
        <v>25</v>
      </c>
      <c r="I578" s="56">
        <v>44743</v>
      </c>
      <c r="J578" s="57">
        <f>EFEITO!$J$578*EFEITO!$Y$578</f>
        <v>0</v>
      </c>
      <c r="K578" s="57">
        <f ca="1">EFEITO!$L$578*EFEITO!$Z$578</f>
        <v>3633.8730446903091</v>
      </c>
      <c r="L578" s="57">
        <f>EFEITO!$N$578*EFEITO!$AA$578</f>
        <v>1906.1030614855713</v>
      </c>
      <c r="M578" s="57">
        <f>$J$578-EFEITO!$K$578*EFEITO!$Y$578</f>
        <v>0</v>
      </c>
      <c r="N578" s="57">
        <f ca="1">$K$578-EFEITO!$M$578*EFEITO!$Z$578</f>
        <v>0</v>
      </c>
      <c r="O578" s="57">
        <f>$L$578-EFEITO!$O$578*EFEITO!$AA$578</f>
        <v>0</v>
      </c>
      <c r="P578" s="40"/>
      <c r="Q578" s="40"/>
      <c r="R578" s="40"/>
      <c r="S578" s="40"/>
      <c r="T578" s="40"/>
      <c r="U578" s="40"/>
      <c r="V578" s="40"/>
      <c r="W578" s="40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1.25" customHeight="1" x14ac:dyDescent="0.2">
      <c r="A579" s="36" t="s">
        <v>21</v>
      </c>
      <c r="B579" s="36" t="s">
        <v>33</v>
      </c>
      <c r="C579" s="36" t="s">
        <v>23</v>
      </c>
      <c r="D579" s="36" t="s">
        <v>49</v>
      </c>
      <c r="E579" s="36" t="s">
        <v>25</v>
      </c>
      <c r="F579" s="36" t="s">
        <v>25</v>
      </c>
      <c r="G579" s="36" t="s">
        <v>25</v>
      </c>
      <c r="H579" s="36" t="s">
        <v>25</v>
      </c>
      <c r="I579" s="56">
        <v>44774</v>
      </c>
      <c r="J579" s="57">
        <f>EFEITO!$J$579*EFEITO!$Y$579</f>
        <v>0</v>
      </c>
      <c r="K579" s="57">
        <f ca="1">EFEITO!$L$579*EFEITO!$Z$579</f>
        <v>4064.6490746359914</v>
      </c>
      <c r="L579" s="57">
        <f>EFEITO!$N$579*EFEITO!$AA$579</f>
        <v>2132.0612882579221</v>
      </c>
      <c r="M579" s="57">
        <f>$J$579-EFEITO!$K$579*EFEITO!$Y$579</f>
        <v>0</v>
      </c>
      <c r="N579" s="57">
        <f ca="1">$K$579-EFEITO!$M$579*EFEITO!$Z$579</f>
        <v>0</v>
      </c>
      <c r="O579" s="57">
        <f>$L$579-EFEITO!$O$579*EFEITO!$AA$579</f>
        <v>0</v>
      </c>
      <c r="P579" s="40"/>
      <c r="Q579" s="40"/>
      <c r="R579" s="40"/>
      <c r="S579" s="40"/>
      <c r="T579" s="40"/>
      <c r="U579" s="40"/>
      <c r="V579" s="40"/>
      <c r="W579" s="40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1.25" customHeight="1" x14ac:dyDescent="0.2">
      <c r="A580" s="36" t="s">
        <v>21</v>
      </c>
      <c r="B580" s="36" t="s">
        <v>33</v>
      </c>
      <c r="C580" s="36" t="s">
        <v>23</v>
      </c>
      <c r="D580" s="36" t="s">
        <v>34</v>
      </c>
      <c r="E580" s="36" t="s">
        <v>25</v>
      </c>
      <c r="F580" s="36" t="s">
        <v>25</v>
      </c>
      <c r="G580" s="36" t="s">
        <v>25</v>
      </c>
      <c r="H580" s="36" t="s">
        <v>25</v>
      </c>
      <c r="I580" s="56">
        <v>44440</v>
      </c>
      <c r="J580" s="57">
        <f>EFEITO!$J$580*EFEITO!$Y$580</f>
        <v>0</v>
      </c>
      <c r="K580" s="57">
        <f ca="1">EFEITO!$L$580*EFEITO!$Z$580</f>
        <v>171502.7553892748</v>
      </c>
      <c r="L580" s="57">
        <f>EFEITO!$N$580*EFEITO!$AA$580</f>
        <v>89959.644456584865</v>
      </c>
      <c r="M580" s="57">
        <f>$J$580-EFEITO!$K$580*EFEITO!$Y$580</f>
        <v>0</v>
      </c>
      <c r="N580" s="57">
        <f ca="1">$K$580-EFEITO!$M$580*EFEITO!$Z$580</f>
        <v>0</v>
      </c>
      <c r="O580" s="57">
        <f>$L$580-EFEITO!$O$580*EFEITO!$AA$580</f>
        <v>0</v>
      </c>
      <c r="P580" s="40"/>
      <c r="Q580" s="40"/>
      <c r="R580" s="40"/>
      <c r="S580" s="40"/>
      <c r="T580" s="40"/>
      <c r="U580" s="40"/>
      <c r="V580" s="40"/>
      <c r="W580" s="40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1.25" customHeight="1" x14ac:dyDescent="0.2">
      <c r="A581" s="36" t="s">
        <v>27</v>
      </c>
      <c r="B581" s="36" t="s">
        <v>33</v>
      </c>
      <c r="C581" s="36" t="s">
        <v>23</v>
      </c>
      <c r="D581" s="36" t="s">
        <v>34</v>
      </c>
      <c r="E581" s="36" t="s">
        <v>25</v>
      </c>
      <c r="F581" s="36" t="s">
        <v>25</v>
      </c>
      <c r="G581" s="36" t="s">
        <v>25</v>
      </c>
      <c r="H581" s="36" t="s">
        <v>25</v>
      </c>
      <c r="I581" s="56">
        <v>44440</v>
      </c>
      <c r="J581" s="57">
        <f>EFEITO!$J$581*EFEITO!$Y$581</f>
        <v>0</v>
      </c>
      <c r="K581" s="57">
        <f ca="1">EFEITO!$L$581*EFEITO!$Z$581</f>
        <v>-288.08874009868754</v>
      </c>
      <c r="L581" s="57">
        <f>EFEITO!$N$581*EFEITO!$AA$581</f>
        <v>-151.11337758042887</v>
      </c>
      <c r="M581" s="57">
        <f>$J$581-EFEITO!$K$581*EFEITO!$Y$581</f>
        <v>0</v>
      </c>
      <c r="N581" s="57">
        <f ca="1">$K$581-EFEITO!$M$581*EFEITO!$Z$581</f>
        <v>0</v>
      </c>
      <c r="O581" s="57">
        <f>$L$581-EFEITO!$O$581*EFEITO!$AA$581</f>
        <v>0</v>
      </c>
      <c r="P581" s="40"/>
      <c r="Q581" s="40"/>
      <c r="R581" s="40"/>
      <c r="S581" s="40"/>
      <c r="T581" s="40"/>
      <c r="U581" s="40"/>
      <c r="V581" s="40"/>
      <c r="W581" s="40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1.25" customHeight="1" x14ac:dyDescent="0.2">
      <c r="A582" s="36" t="s">
        <v>28</v>
      </c>
      <c r="B582" s="36" t="s">
        <v>33</v>
      </c>
      <c r="C582" s="36" t="s">
        <v>23</v>
      </c>
      <c r="D582" s="36" t="s">
        <v>34</v>
      </c>
      <c r="E582" s="36" t="s">
        <v>25</v>
      </c>
      <c r="F582" s="36" t="s">
        <v>25</v>
      </c>
      <c r="G582" s="36" t="s">
        <v>25</v>
      </c>
      <c r="H582" s="36" t="s">
        <v>25</v>
      </c>
      <c r="I582" s="56">
        <v>44440</v>
      </c>
      <c r="J582" s="57">
        <f>EFEITO!$J$582*EFEITO!$Y$582</f>
        <v>0</v>
      </c>
      <c r="K582" s="57">
        <f ca="1">EFEITO!$L$582*EFEITO!$Z$582</f>
        <v>25063.720388585818</v>
      </c>
      <c r="L582" s="57">
        <f>EFEITO!$N$582*EFEITO!$AA$582</f>
        <v>13146.863849497313</v>
      </c>
      <c r="M582" s="57">
        <f>$J$582-EFEITO!$K$582*EFEITO!$Y$582</f>
        <v>0</v>
      </c>
      <c r="N582" s="57">
        <f ca="1">$K$582-EFEITO!$M$582*EFEITO!$Z$582</f>
        <v>0</v>
      </c>
      <c r="O582" s="57">
        <f>$L$582-EFEITO!$O$582*EFEITO!$AA$582</f>
        <v>0</v>
      </c>
      <c r="P582" s="40"/>
      <c r="Q582" s="40"/>
      <c r="R582" s="40"/>
      <c r="S582" s="40"/>
      <c r="T582" s="40"/>
      <c r="U582" s="40"/>
      <c r="V582" s="40"/>
      <c r="W582" s="40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1.25" customHeight="1" x14ac:dyDescent="0.2">
      <c r="A583" s="36" t="s">
        <v>21</v>
      </c>
      <c r="B583" s="36" t="s">
        <v>33</v>
      </c>
      <c r="C583" s="36" t="s">
        <v>23</v>
      </c>
      <c r="D583" s="36" t="s">
        <v>34</v>
      </c>
      <c r="E583" s="36" t="s">
        <v>25</v>
      </c>
      <c r="F583" s="36" t="s">
        <v>25</v>
      </c>
      <c r="G583" s="36" t="s">
        <v>25</v>
      </c>
      <c r="H583" s="36" t="s">
        <v>25</v>
      </c>
      <c r="I583" s="56">
        <v>44470</v>
      </c>
      <c r="J583" s="57">
        <f>EFEITO!$J$583*EFEITO!$Y$583</f>
        <v>0</v>
      </c>
      <c r="K583" s="57">
        <f ca="1">EFEITO!$L$583*EFEITO!$Z$583</f>
        <v>173543.02853920657</v>
      </c>
      <c r="L583" s="57">
        <f>EFEITO!$N$583*EFEITO!$AA$583</f>
        <v>91029.844446932402</v>
      </c>
      <c r="M583" s="57">
        <f>$J$583-EFEITO!$K$583*EFEITO!$Y$583</f>
        <v>0</v>
      </c>
      <c r="N583" s="57">
        <f ca="1">$K$583-EFEITO!$M$583*EFEITO!$Z$583</f>
        <v>0</v>
      </c>
      <c r="O583" s="57">
        <f>$L$583-EFEITO!$O$583*EFEITO!$AA$583</f>
        <v>0</v>
      </c>
      <c r="P583" s="40"/>
      <c r="Q583" s="40"/>
      <c r="R583" s="40"/>
      <c r="S583" s="40"/>
      <c r="T583" s="40"/>
      <c r="U583" s="40"/>
      <c r="V583" s="40"/>
      <c r="W583" s="40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1.25" customHeight="1" x14ac:dyDescent="0.2">
      <c r="A584" s="36" t="s">
        <v>27</v>
      </c>
      <c r="B584" s="36" t="s">
        <v>33</v>
      </c>
      <c r="C584" s="36" t="s">
        <v>23</v>
      </c>
      <c r="D584" s="36" t="s">
        <v>34</v>
      </c>
      <c r="E584" s="36" t="s">
        <v>25</v>
      </c>
      <c r="F584" s="36" t="s">
        <v>25</v>
      </c>
      <c r="G584" s="36" t="s">
        <v>25</v>
      </c>
      <c r="H584" s="36" t="s">
        <v>25</v>
      </c>
      <c r="I584" s="56">
        <v>44470</v>
      </c>
      <c r="J584" s="57">
        <f>EFEITO!$J$584*EFEITO!$Y$584</f>
        <v>0</v>
      </c>
      <c r="K584" s="57">
        <f ca="1">EFEITO!$L$584*EFEITO!$Z$584</f>
        <v>-105794.09520313177</v>
      </c>
      <c r="L584" s="57">
        <f>EFEITO!$N$584*EFEITO!$AA$584</f>
        <v>-55492.981255477825</v>
      </c>
      <c r="M584" s="57">
        <f>$J$584-EFEITO!$K$584*EFEITO!$Y$584</f>
        <v>0</v>
      </c>
      <c r="N584" s="57">
        <f ca="1">$K$584-EFEITO!$M$584*EFEITO!$Z$584</f>
        <v>0</v>
      </c>
      <c r="O584" s="57">
        <f>$L$584-EFEITO!$O$584*EFEITO!$AA$584</f>
        <v>0</v>
      </c>
      <c r="P584" s="40"/>
      <c r="Q584" s="40"/>
      <c r="R584" s="40"/>
      <c r="S584" s="40"/>
      <c r="T584" s="40"/>
      <c r="U584" s="40"/>
      <c r="V584" s="40"/>
      <c r="W584" s="40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1.25" customHeight="1" x14ac:dyDescent="0.2">
      <c r="A585" s="36" t="s">
        <v>28</v>
      </c>
      <c r="B585" s="36" t="s">
        <v>33</v>
      </c>
      <c r="C585" s="36" t="s">
        <v>23</v>
      </c>
      <c r="D585" s="36" t="s">
        <v>34</v>
      </c>
      <c r="E585" s="36" t="s">
        <v>25</v>
      </c>
      <c r="F585" s="36" t="s">
        <v>25</v>
      </c>
      <c r="G585" s="36" t="s">
        <v>25</v>
      </c>
      <c r="H585" s="36" t="s">
        <v>25</v>
      </c>
      <c r="I585" s="56">
        <v>44470</v>
      </c>
      <c r="J585" s="57">
        <f>EFEITO!$J$585*EFEITO!$Y$585</f>
        <v>0</v>
      </c>
      <c r="K585" s="57">
        <f ca="1">EFEITO!$L$585*EFEITO!$Z$585</f>
        <v>24843.097921403914</v>
      </c>
      <c r="L585" s="57">
        <f>EFEITO!$N$585*EFEITO!$AA$585</f>
        <v>13031.139069089151</v>
      </c>
      <c r="M585" s="57">
        <f>$J$585-EFEITO!$K$585*EFEITO!$Y$585</f>
        <v>0</v>
      </c>
      <c r="N585" s="57">
        <f ca="1">$K$585-EFEITO!$M$585*EFEITO!$Z$585</f>
        <v>0</v>
      </c>
      <c r="O585" s="57">
        <f>$L$585-EFEITO!$O$585*EFEITO!$AA$585</f>
        <v>0</v>
      </c>
      <c r="P585" s="40"/>
      <c r="Q585" s="40"/>
      <c r="R585" s="40"/>
      <c r="S585" s="40"/>
      <c r="T585" s="40"/>
      <c r="U585" s="40"/>
      <c r="V585" s="40"/>
      <c r="W585" s="40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1.25" customHeight="1" x14ac:dyDescent="0.2">
      <c r="A586" s="36" t="s">
        <v>21</v>
      </c>
      <c r="B586" s="36" t="s">
        <v>33</v>
      </c>
      <c r="C586" s="36" t="s">
        <v>23</v>
      </c>
      <c r="D586" s="36" t="s">
        <v>34</v>
      </c>
      <c r="E586" s="36" t="s">
        <v>25</v>
      </c>
      <c r="F586" s="36" t="s">
        <v>25</v>
      </c>
      <c r="G586" s="36" t="s">
        <v>25</v>
      </c>
      <c r="H586" s="36" t="s">
        <v>25</v>
      </c>
      <c r="I586" s="56">
        <v>44501</v>
      </c>
      <c r="J586" s="57">
        <f>EFEITO!$J$586*EFEITO!$Y$586</f>
        <v>0</v>
      </c>
      <c r="K586" s="57">
        <f ca="1">EFEITO!$L$586*EFEITO!$Z$586</f>
        <v>167559.85579564958</v>
      </c>
      <c r="L586" s="57">
        <f>EFEITO!$N$586*EFEITO!$AA$586</f>
        <v>87891.445349430927</v>
      </c>
      <c r="M586" s="57">
        <f>$J$586-EFEITO!$K$586*EFEITO!$Y$586</f>
        <v>0</v>
      </c>
      <c r="N586" s="57">
        <f ca="1">$K$586-EFEITO!$M$586*EFEITO!$Z$586</f>
        <v>0</v>
      </c>
      <c r="O586" s="57">
        <f>$L$586-EFEITO!$O$586*EFEITO!$AA$586</f>
        <v>0</v>
      </c>
      <c r="P586" s="40"/>
      <c r="Q586" s="40"/>
      <c r="R586" s="40"/>
      <c r="S586" s="40"/>
      <c r="T586" s="40"/>
      <c r="U586" s="40"/>
      <c r="V586" s="40"/>
      <c r="W586" s="40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1.25" customHeight="1" x14ac:dyDescent="0.2">
      <c r="A587" s="36" t="s">
        <v>27</v>
      </c>
      <c r="B587" s="36" t="s">
        <v>33</v>
      </c>
      <c r="C587" s="36" t="s">
        <v>23</v>
      </c>
      <c r="D587" s="36" t="s">
        <v>34</v>
      </c>
      <c r="E587" s="36" t="s">
        <v>25</v>
      </c>
      <c r="F587" s="36" t="s">
        <v>25</v>
      </c>
      <c r="G587" s="36" t="s">
        <v>25</v>
      </c>
      <c r="H587" s="36" t="s">
        <v>25</v>
      </c>
      <c r="I587" s="56">
        <v>44501</v>
      </c>
      <c r="J587" s="57">
        <f>EFEITO!$J$587*EFEITO!$Y$587</f>
        <v>0</v>
      </c>
      <c r="K587" s="57">
        <f ca="1">EFEITO!$L$587*EFEITO!$Z$587</f>
        <v>-90029.476098242885</v>
      </c>
      <c r="L587" s="57">
        <f>EFEITO!$N$587*EFEITO!$AA$587</f>
        <v>-47223.845716224685</v>
      </c>
      <c r="M587" s="57">
        <f>$J$587-EFEITO!$K$587*EFEITO!$Y$587</f>
        <v>0</v>
      </c>
      <c r="N587" s="57">
        <f ca="1">$K$587-EFEITO!$M$587*EFEITO!$Z$587</f>
        <v>0</v>
      </c>
      <c r="O587" s="57">
        <f>$L$587-EFEITO!$O$587*EFEITO!$AA$587</f>
        <v>0</v>
      </c>
      <c r="P587" s="40"/>
      <c r="Q587" s="40"/>
      <c r="R587" s="40"/>
      <c r="S587" s="40"/>
      <c r="T587" s="40"/>
      <c r="U587" s="40"/>
      <c r="V587" s="40"/>
      <c r="W587" s="40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1.25" customHeight="1" x14ac:dyDescent="0.2">
      <c r="A588" s="36" t="s">
        <v>28</v>
      </c>
      <c r="B588" s="36" t="s">
        <v>33</v>
      </c>
      <c r="C588" s="36" t="s">
        <v>23</v>
      </c>
      <c r="D588" s="36" t="s">
        <v>34</v>
      </c>
      <c r="E588" s="36" t="s">
        <v>25</v>
      </c>
      <c r="F588" s="36" t="s">
        <v>25</v>
      </c>
      <c r="G588" s="36" t="s">
        <v>25</v>
      </c>
      <c r="H588" s="36" t="s">
        <v>25</v>
      </c>
      <c r="I588" s="56">
        <v>44501</v>
      </c>
      <c r="J588" s="57">
        <f>EFEITO!$J$588*EFEITO!$Y$588</f>
        <v>0</v>
      </c>
      <c r="K588" s="57">
        <f ca="1">EFEITO!$L$588*EFEITO!$Z$588</f>
        <v>16510.625478980233</v>
      </c>
      <c r="L588" s="57">
        <f>EFEITO!$N$588*EFEITO!$AA$588</f>
        <v>8660.4439355717659</v>
      </c>
      <c r="M588" s="57">
        <f>$J$588-EFEITO!$K$588*EFEITO!$Y$588</f>
        <v>0</v>
      </c>
      <c r="N588" s="57">
        <f ca="1">$K$588-EFEITO!$M$588*EFEITO!$Z$588</f>
        <v>0</v>
      </c>
      <c r="O588" s="57">
        <f>$L$588-EFEITO!$O$588*EFEITO!$AA$588</f>
        <v>0</v>
      </c>
      <c r="P588" s="40"/>
      <c r="Q588" s="40"/>
      <c r="R588" s="40"/>
      <c r="S588" s="40"/>
      <c r="T588" s="40"/>
      <c r="U588" s="40"/>
      <c r="V588" s="40"/>
      <c r="W588" s="40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1.25" customHeight="1" x14ac:dyDescent="0.2">
      <c r="A589" s="36" t="s">
        <v>21</v>
      </c>
      <c r="B589" s="36" t="s">
        <v>33</v>
      </c>
      <c r="C589" s="36" t="s">
        <v>23</v>
      </c>
      <c r="D589" s="36" t="s">
        <v>34</v>
      </c>
      <c r="E589" s="36" t="s">
        <v>25</v>
      </c>
      <c r="F589" s="36" t="s">
        <v>25</v>
      </c>
      <c r="G589" s="36" t="s">
        <v>25</v>
      </c>
      <c r="H589" s="36" t="s">
        <v>25</v>
      </c>
      <c r="I589" s="56">
        <v>44531</v>
      </c>
      <c r="J589" s="57">
        <f>EFEITO!$J$589*EFEITO!$Y$589</f>
        <v>0</v>
      </c>
      <c r="K589" s="57">
        <f ca="1">EFEITO!$L$589*EFEITO!$Z$589</f>
        <v>175736.84562060412</v>
      </c>
      <c r="L589" s="57">
        <f>EFEITO!$N$589*EFEITO!$AA$589</f>
        <v>92180.584003258205</v>
      </c>
      <c r="M589" s="57">
        <f>$J$589-EFEITO!$K$589*EFEITO!$Y$589</f>
        <v>0</v>
      </c>
      <c r="N589" s="57">
        <f ca="1">$K$589-EFEITO!$M$589*EFEITO!$Z$589</f>
        <v>0</v>
      </c>
      <c r="O589" s="57">
        <f>$L$589-EFEITO!$O$589*EFEITO!$AA$589</f>
        <v>0</v>
      </c>
      <c r="P589" s="40"/>
      <c r="Q589" s="40"/>
      <c r="R589" s="40"/>
      <c r="S589" s="40"/>
      <c r="T589" s="40"/>
      <c r="U589" s="40"/>
      <c r="V589" s="40"/>
      <c r="W589" s="40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1.25" customHeight="1" x14ac:dyDescent="0.2">
      <c r="A590" s="36" t="s">
        <v>28</v>
      </c>
      <c r="B590" s="36" t="s">
        <v>33</v>
      </c>
      <c r="C590" s="36" t="s">
        <v>23</v>
      </c>
      <c r="D590" s="36" t="s">
        <v>34</v>
      </c>
      <c r="E590" s="36" t="s">
        <v>25</v>
      </c>
      <c r="F590" s="36" t="s">
        <v>25</v>
      </c>
      <c r="G590" s="36" t="s">
        <v>25</v>
      </c>
      <c r="H590" s="36" t="s">
        <v>25</v>
      </c>
      <c r="I590" s="56">
        <v>44531</v>
      </c>
      <c r="J590" s="57">
        <f>EFEITO!$J$590*EFEITO!$Y$590</f>
        <v>0</v>
      </c>
      <c r="K590" s="57">
        <f ca="1">EFEITO!$L$590*EFEITO!$Z$590</f>
        <v>17644.756790943436</v>
      </c>
      <c r="L590" s="57">
        <f>EFEITO!$N$590*EFEITO!$AA$590</f>
        <v>9255.3384570021226</v>
      </c>
      <c r="M590" s="57">
        <f>$J$590-EFEITO!$K$590*EFEITO!$Y$590</f>
        <v>0</v>
      </c>
      <c r="N590" s="57">
        <f ca="1">$K$590-EFEITO!$M$590*EFEITO!$Z$590</f>
        <v>0</v>
      </c>
      <c r="O590" s="57">
        <f>$L$590-EFEITO!$O$590*EFEITO!$AA$590</f>
        <v>0</v>
      </c>
      <c r="P590" s="40"/>
      <c r="Q590" s="40"/>
      <c r="R590" s="40"/>
      <c r="S590" s="40"/>
      <c r="T590" s="40"/>
      <c r="U590" s="40"/>
      <c r="V590" s="40"/>
      <c r="W590" s="40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1.25" customHeight="1" x14ac:dyDescent="0.2">
      <c r="A591" s="36" t="s">
        <v>21</v>
      </c>
      <c r="B591" s="36" t="s">
        <v>33</v>
      </c>
      <c r="C591" s="36" t="s">
        <v>23</v>
      </c>
      <c r="D591" s="36" t="s">
        <v>34</v>
      </c>
      <c r="E591" s="36" t="s">
        <v>25</v>
      </c>
      <c r="F591" s="36" t="s">
        <v>25</v>
      </c>
      <c r="G591" s="36" t="s">
        <v>25</v>
      </c>
      <c r="H591" s="36" t="s">
        <v>25</v>
      </c>
      <c r="I591" s="56">
        <v>44562</v>
      </c>
      <c r="J591" s="57">
        <f>EFEITO!$J$591*EFEITO!$Y$591</f>
        <v>0</v>
      </c>
      <c r="K591" s="57">
        <f ca="1">EFEITO!$L$591*EFEITO!$Z$591</f>
        <v>148749.94871668925</v>
      </c>
      <c r="L591" s="57">
        <f>EFEITO!$N$591*EFEITO!$AA$591</f>
        <v>78024.941751608902</v>
      </c>
      <c r="M591" s="57">
        <f>$J$591-EFEITO!$K$591*EFEITO!$Y$591</f>
        <v>0</v>
      </c>
      <c r="N591" s="57">
        <f ca="1">$K$591-EFEITO!$M$591*EFEITO!$Z$591</f>
        <v>0</v>
      </c>
      <c r="O591" s="57">
        <f>$L$591-EFEITO!$O$591*EFEITO!$AA$591</f>
        <v>0</v>
      </c>
      <c r="P591" s="40"/>
      <c r="Q591" s="40"/>
      <c r="R591" s="40"/>
      <c r="S591" s="40"/>
      <c r="T591" s="40"/>
      <c r="U591" s="40"/>
      <c r="V591" s="40"/>
      <c r="W591" s="40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1.25" customHeight="1" x14ac:dyDescent="0.2">
      <c r="A592" s="36" t="s">
        <v>27</v>
      </c>
      <c r="B592" s="36" t="s">
        <v>33</v>
      </c>
      <c r="C592" s="36" t="s">
        <v>23</v>
      </c>
      <c r="D592" s="36" t="s">
        <v>34</v>
      </c>
      <c r="E592" s="36" t="s">
        <v>25</v>
      </c>
      <c r="F592" s="36" t="s">
        <v>25</v>
      </c>
      <c r="G592" s="36" t="s">
        <v>25</v>
      </c>
      <c r="H592" s="36" t="s">
        <v>25</v>
      </c>
      <c r="I592" s="56">
        <v>44562</v>
      </c>
      <c r="J592" s="57">
        <f>EFEITO!$J$592*EFEITO!$Y$592</f>
        <v>0</v>
      </c>
      <c r="K592" s="57">
        <f ca="1">EFEITO!$L$592*EFEITO!$Z$592</f>
        <v>-206.27619075706835</v>
      </c>
      <c r="L592" s="57">
        <f>EFEITO!$N$592*EFEITO!$AA$592</f>
        <v>-108.19961894049551</v>
      </c>
      <c r="M592" s="57">
        <f>$J$592-EFEITO!$K$592*EFEITO!$Y$592</f>
        <v>0</v>
      </c>
      <c r="N592" s="57">
        <f ca="1">$K$592-EFEITO!$M$592*EFEITO!$Z$592</f>
        <v>0</v>
      </c>
      <c r="O592" s="57">
        <f>$L$592-EFEITO!$O$592*EFEITO!$AA$592</f>
        <v>0</v>
      </c>
      <c r="P592" s="40"/>
      <c r="Q592" s="40"/>
      <c r="R592" s="40"/>
      <c r="S592" s="40"/>
      <c r="T592" s="40"/>
      <c r="U592" s="40"/>
      <c r="V592" s="40"/>
      <c r="W592" s="40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1.25" customHeight="1" x14ac:dyDescent="0.2">
      <c r="A593" s="36" t="s">
        <v>28</v>
      </c>
      <c r="B593" s="36" t="s">
        <v>33</v>
      </c>
      <c r="C593" s="36" t="s">
        <v>23</v>
      </c>
      <c r="D593" s="36" t="s">
        <v>34</v>
      </c>
      <c r="E593" s="36" t="s">
        <v>25</v>
      </c>
      <c r="F593" s="36" t="s">
        <v>25</v>
      </c>
      <c r="G593" s="36" t="s">
        <v>25</v>
      </c>
      <c r="H593" s="36" t="s">
        <v>25</v>
      </c>
      <c r="I593" s="56">
        <v>44562</v>
      </c>
      <c r="J593" s="57">
        <f>EFEITO!$J$593*EFEITO!$Y$593</f>
        <v>0</v>
      </c>
      <c r="K593" s="57">
        <f ca="1">EFEITO!$L$593*EFEITO!$Z$593</f>
        <v>11745.335282731417</v>
      </c>
      <c r="L593" s="57">
        <f>EFEITO!$N$593*EFEITO!$AA$593</f>
        <v>6160.8700318524252</v>
      </c>
      <c r="M593" s="57">
        <f>$J$593-EFEITO!$K$593*EFEITO!$Y$593</f>
        <v>0</v>
      </c>
      <c r="N593" s="57">
        <f ca="1">$K$593-EFEITO!$M$593*EFEITO!$Z$593</f>
        <v>0</v>
      </c>
      <c r="O593" s="57">
        <f>$L$593-EFEITO!$O$593*EFEITO!$AA$593</f>
        <v>0</v>
      </c>
      <c r="P593" s="40"/>
      <c r="Q593" s="40"/>
      <c r="R593" s="40"/>
      <c r="S593" s="40"/>
      <c r="T593" s="40"/>
      <c r="U593" s="40"/>
      <c r="V593" s="40"/>
      <c r="W593" s="40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1.25" customHeight="1" x14ac:dyDescent="0.2">
      <c r="A594" s="36" t="s">
        <v>21</v>
      </c>
      <c r="B594" s="36" t="s">
        <v>33</v>
      </c>
      <c r="C594" s="36" t="s">
        <v>23</v>
      </c>
      <c r="D594" s="36" t="s">
        <v>34</v>
      </c>
      <c r="E594" s="36" t="s">
        <v>25</v>
      </c>
      <c r="F594" s="36" t="s">
        <v>25</v>
      </c>
      <c r="G594" s="36" t="s">
        <v>25</v>
      </c>
      <c r="H594" s="36" t="s">
        <v>25</v>
      </c>
      <c r="I594" s="56">
        <v>44593</v>
      </c>
      <c r="J594" s="57">
        <f>EFEITO!$J$594*EFEITO!$Y$594</f>
        <v>0</v>
      </c>
      <c r="K594" s="57">
        <f ca="1">EFEITO!$L$594*EFEITO!$Z$594</f>
        <v>199712.96316130724</v>
      </c>
      <c r="L594" s="57">
        <f>EFEITO!$N$594*EFEITO!$AA$594</f>
        <v>104756.95926040948</v>
      </c>
      <c r="M594" s="57">
        <f>$J$594-EFEITO!$K$594*EFEITO!$Y$594</f>
        <v>0</v>
      </c>
      <c r="N594" s="57">
        <f ca="1">$K$594-EFEITO!$M$594*EFEITO!$Z$594</f>
        <v>0</v>
      </c>
      <c r="O594" s="57">
        <f>$L$594-EFEITO!$O$594*EFEITO!$AA$594</f>
        <v>0</v>
      </c>
      <c r="P594" s="40"/>
      <c r="Q594" s="40"/>
      <c r="R594" s="40"/>
      <c r="S594" s="40"/>
      <c r="T594" s="40"/>
      <c r="U594" s="40"/>
      <c r="V594" s="40"/>
      <c r="W594" s="40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1.25" customHeight="1" x14ac:dyDescent="0.2">
      <c r="A595" s="36" t="s">
        <v>27</v>
      </c>
      <c r="B595" s="36" t="s">
        <v>33</v>
      </c>
      <c r="C595" s="36" t="s">
        <v>23</v>
      </c>
      <c r="D595" s="36" t="s">
        <v>34</v>
      </c>
      <c r="E595" s="36" t="s">
        <v>25</v>
      </c>
      <c r="F595" s="36" t="s">
        <v>25</v>
      </c>
      <c r="G595" s="36" t="s">
        <v>25</v>
      </c>
      <c r="H595" s="36" t="s">
        <v>25</v>
      </c>
      <c r="I595" s="56">
        <v>44593</v>
      </c>
      <c r="J595" s="57">
        <f>EFEITO!$J$595*EFEITO!$Y$595</f>
        <v>0</v>
      </c>
      <c r="K595" s="57">
        <f ca="1">EFEITO!$L$595*EFEITO!$Z$595</f>
        <v>-707.62039122490546</v>
      </c>
      <c r="L595" s="57">
        <f>EFEITO!$N$595*EFEITO!$AA$595</f>
        <v>-371.17350482406823</v>
      </c>
      <c r="M595" s="57">
        <f>$J$595-EFEITO!$K$595*EFEITO!$Y$595</f>
        <v>0</v>
      </c>
      <c r="N595" s="57">
        <f ca="1">$K$595-EFEITO!$M$595*EFEITO!$Z$595</f>
        <v>0</v>
      </c>
      <c r="O595" s="57">
        <f>$L$595-EFEITO!$O$595*EFEITO!$AA$595</f>
        <v>0</v>
      </c>
      <c r="P595" s="40"/>
      <c r="Q595" s="40"/>
      <c r="R595" s="40"/>
      <c r="S595" s="40"/>
      <c r="T595" s="40"/>
      <c r="U595" s="40"/>
      <c r="V595" s="40"/>
      <c r="W595" s="40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1.25" customHeight="1" x14ac:dyDescent="0.2">
      <c r="A596" s="36" t="s">
        <v>28</v>
      </c>
      <c r="B596" s="36" t="s">
        <v>33</v>
      </c>
      <c r="C596" s="36" t="s">
        <v>23</v>
      </c>
      <c r="D596" s="36" t="s">
        <v>34</v>
      </c>
      <c r="E596" s="36" t="s">
        <v>25</v>
      </c>
      <c r="F596" s="36" t="s">
        <v>25</v>
      </c>
      <c r="G596" s="36" t="s">
        <v>25</v>
      </c>
      <c r="H596" s="36" t="s">
        <v>25</v>
      </c>
      <c r="I596" s="56">
        <v>44593</v>
      </c>
      <c r="J596" s="57">
        <f>EFEITO!$J$596*EFEITO!$Y$596</f>
        <v>0</v>
      </c>
      <c r="K596" s="57">
        <f ca="1">EFEITO!$L$596*EFEITO!$Z$596</f>
        <v>19289.150258989917</v>
      </c>
      <c r="L596" s="57">
        <f>EFEITO!$N$596*EFEITO!$AA$596</f>
        <v>10117.884667390546</v>
      </c>
      <c r="M596" s="57">
        <f>$J$596-EFEITO!$K$596*EFEITO!$Y$596</f>
        <v>0</v>
      </c>
      <c r="N596" s="57">
        <f ca="1">$K$596-EFEITO!$M$596*EFEITO!$Z$596</f>
        <v>0</v>
      </c>
      <c r="O596" s="57">
        <f>$L$596-EFEITO!$O$596*EFEITO!$AA$596</f>
        <v>0</v>
      </c>
      <c r="P596" s="40"/>
      <c r="Q596" s="40"/>
      <c r="R596" s="40"/>
      <c r="S596" s="40"/>
      <c r="T596" s="40"/>
      <c r="U596" s="40"/>
      <c r="V596" s="40"/>
      <c r="W596" s="40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1.25" customHeight="1" x14ac:dyDescent="0.2">
      <c r="A597" s="36" t="s">
        <v>21</v>
      </c>
      <c r="B597" s="36" t="s">
        <v>33</v>
      </c>
      <c r="C597" s="36" t="s">
        <v>23</v>
      </c>
      <c r="D597" s="36" t="s">
        <v>34</v>
      </c>
      <c r="E597" s="36" t="s">
        <v>25</v>
      </c>
      <c r="F597" s="36" t="s">
        <v>25</v>
      </c>
      <c r="G597" s="36" t="s">
        <v>25</v>
      </c>
      <c r="H597" s="36" t="s">
        <v>25</v>
      </c>
      <c r="I597" s="56">
        <v>44621</v>
      </c>
      <c r="J597" s="57">
        <f>EFEITO!$J$597*EFEITO!$Y$597</f>
        <v>0</v>
      </c>
      <c r="K597" s="57">
        <f ca="1">EFEITO!$L$597*EFEITO!$Z$597</f>
        <v>182869.27142695049</v>
      </c>
      <c r="L597" s="57">
        <f>EFEITO!$N$597*EFEITO!$AA$597</f>
        <v>95921.809549142432</v>
      </c>
      <c r="M597" s="57">
        <f>$J$597-EFEITO!$K$597*EFEITO!$Y$597</f>
        <v>0</v>
      </c>
      <c r="N597" s="57">
        <f ca="1">$K$597-EFEITO!$M$597*EFEITO!$Z$597</f>
        <v>0</v>
      </c>
      <c r="O597" s="57">
        <f>$L$597-EFEITO!$O$597*EFEITO!$AA$597</f>
        <v>0</v>
      </c>
      <c r="P597" s="40"/>
      <c r="Q597" s="40"/>
      <c r="R597" s="40"/>
      <c r="S597" s="40"/>
      <c r="T597" s="40"/>
      <c r="U597" s="40"/>
      <c r="V597" s="40"/>
      <c r="W597" s="40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1.25" customHeight="1" x14ac:dyDescent="0.2">
      <c r="A598" s="36" t="s">
        <v>28</v>
      </c>
      <c r="B598" s="36" t="s">
        <v>33</v>
      </c>
      <c r="C598" s="36" t="s">
        <v>23</v>
      </c>
      <c r="D598" s="36" t="s">
        <v>34</v>
      </c>
      <c r="E598" s="36" t="s">
        <v>25</v>
      </c>
      <c r="F598" s="36" t="s">
        <v>25</v>
      </c>
      <c r="G598" s="36" t="s">
        <v>25</v>
      </c>
      <c r="H598" s="36" t="s">
        <v>25</v>
      </c>
      <c r="I598" s="56">
        <v>44621</v>
      </c>
      <c r="J598" s="57">
        <f>EFEITO!$J$598*EFEITO!$Y$598</f>
        <v>0</v>
      </c>
      <c r="K598" s="57">
        <f ca="1">EFEITO!$L$598*EFEITO!$Z$598</f>
        <v>18728.482266819388</v>
      </c>
      <c r="L598" s="57">
        <f>EFEITO!$N$598*EFEITO!$AA$598</f>
        <v>9823.7932219244631</v>
      </c>
      <c r="M598" s="57">
        <f>$J$598-EFEITO!$K$598*EFEITO!$Y$598</f>
        <v>0</v>
      </c>
      <c r="N598" s="57">
        <f ca="1">$K$598-EFEITO!$M$598*EFEITO!$Z$598</f>
        <v>0</v>
      </c>
      <c r="O598" s="57">
        <f>$L$598-EFEITO!$O$598*EFEITO!$AA$598</f>
        <v>0</v>
      </c>
      <c r="P598" s="40"/>
      <c r="Q598" s="40"/>
      <c r="R598" s="40"/>
      <c r="S598" s="40"/>
      <c r="T598" s="40"/>
      <c r="U598" s="40"/>
      <c r="V598" s="40"/>
      <c r="W598" s="40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1.25" customHeight="1" x14ac:dyDescent="0.2">
      <c r="A599" s="36" t="s">
        <v>21</v>
      </c>
      <c r="B599" s="36" t="s">
        <v>33</v>
      </c>
      <c r="C599" s="36" t="s">
        <v>23</v>
      </c>
      <c r="D599" s="36" t="s">
        <v>34</v>
      </c>
      <c r="E599" s="36" t="s">
        <v>25</v>
      </c>
      <c r="F599" s="36" t="s">
        <v>25</v>
      </c>
      <c r="G599" s="36" t="s">
        <v>25</v>
      </c>
      <c r="H599" s="36" t="s">
        <v>25</v>
      </c>
      <c r="I599" s="56">
        <v>44652</v>
      </c>
      <c r="J599" s="57">
        <f>EFEITO!$J$599*EFEITO!$Y$599</f>
        <v>0</v>
      </c>
      <c r="K599" s="57">
        <f ca="1">EFEITO!$L$599*EFEITO!$Z$599</f>
        <v>168460.95705000937</v>
      </c>
      <c r="L599" s="57">
        <f>EFEITO!$N$599*EFEITO!$AA$599</f>
        <v>88364.106842697292</v>
      </c>
      <c r="M599" s="57">
        <f>$J$599-EFEITO!$K$599*EFEITO!$Y$599</f>
        <v>0</v>
      </c>
      <c r="N599" s="57">
        <f ca="1">$K$599-EFEITO!$M$599*EFEITO!$Z$599</f>
        <v>0</v>
      </c>
      <c r="O599" s="57">
        <f>$L$599-EFEITO!$O$599*EFEITO!$AA$599</f>
        <v>0</v>
      </c>
      <c r="P599" s="40"/>
      <c r="Q599" s="40"/>
      <c r="R599" s="40"/>
      <c r="S599" s="40"/>
      <c r="T599" s="40"/>
      <c r="U599" s="40"/>
      <c r="V599" s="40"/>
      <c r="W599" s="40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1.25" customHeight="1" x14ac:dyDescent="0.2">
      <c r="A600" s="36" t="s">
        <v>28</v>
      </c>
      <c r="B600" s="36" t="s">
        <v>33</v>
      </c>
      <c r="C600" s="36" t="s">
        <v>23</v>
      </c>
      <c r="D600" s="36" t="s">
        <v>34</v>
      </c>
      <c r="E600" s="36" t="s">
        <v>25</v>
      </c>
      <c r="F600" s="36" t="s">
        <v>25</v>
      </c>
      <c r="G600" s="36" t="s">
        <v>25</v>
      </c>
      <c r="H600" s="36" t="s">
        <v>25</v>
      </c>
      <c r="I600" s="56">
        <v>44652</v>
      </c>
      <c r="J600" s="57">
        <f>EFEITO!$J$600*EFEITO!$Y$600</f>
        <v>0</v>
      </c>
      <c r="K600" s="57">
        <f ca="1">EFEITO!$L$600*EFEITO!$Z$600</f>
        <v>14201.262711782678</v>
      </c>
      <c r="L600" s="57">
        <f>EFEITO!$N$600*EFEITO!$AA$600</f>
        <v>7449.0963220199028</v>
      </c>
      <c r="M600" s="57">
        <f>$J$600-EFEITO!$K$600*EFEITO!$Y$600</f>
        <v>0</v>
      </c>
      <c r="N600" s="57">
        <f ca="1">$K$600-EFEITO!$M$600*EFEITO!$Z$600</f>
        <v>0</v>
      </c>
      <c r="O600" s="57">
        <f>$L$600-EFEITO!$O$600*EFEITO!$AA$600</f>
        <v>0</v>
      </c>
      <c r="P600" s="40"/>
      <c r="Q600" s="40"/>
      <c r="R600" s="40"/>
      <c r="S600" s="40"/>
      <c r="T600" s="40"/>
      <c r="U600" s="40"/>
      <c r="V600" s="40"/>
      <c r="W600" s="40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1.25" customHeight="1" x14ac:dyDescent="0.2">
      <c r="A601" s="36" t="s">
        <v>21</v>
      </c>
      <c r="B601" s="36" t="s">
        <v>33</v>
      </c>
      <c r="C601" s="36" t="s">
        <v>23</v>
      </c>
      <c r="D601" s="36" t="s">
        <v>34</v>
      </c>
      <c r="E601" s="36" t="s">
        <v>25</v>
      </c>
      <c r="F601" s="36" t="s">
        <v>25</v>
      </c>
      <c r="G601" s="36" t="s">
        <v>25</v>
      </c>
      <c r="H601" s="36" t="s">
        <v>25</v>
      </c>
      <c r="I601" s="56">
        <v>44682</v>
      </c>
      <c r="J601" s="57">
        <f>EFEITO!$J$601*EFEITO!$Y$601</f>
        <v>0</v>
      </c>
      <c r="K601" s="57">
        <f ca="1">EFEITO!$L$601*EFEITO!$Z$601</f>
        <v>158735.73258277483</v>
      </c>
      <c r="L601" s="57">
        <f>EFEITO!$N$601*EFEITO!$AA$601</f>
        <v>83262.860898589206</v>
      </c>
      <c r="M601" s="57">
        <f>$J$601-EFEITO!$K$601*EFEITO!$Y$601</f>
        <v>0</v>
      </c>
      <c r="N601" s="57">
        <f ca="1">$K$601-EFEITO!$M$601*EFEITO!$Z$601</f>
        <v>0</v>
      </c>
      <c r="O601" s="57">
        <f>$L$601-EFEITO!$O$601*EFEITO!$AA$601</f>
        <v>0</v>
      </c>
      <c r="P601" s="40"/>
      <c r="Q601" s="40"/>
      <c r="R601" s="40"/>
      <c r="S601" s="40"/>
      <c r="T601" s="40"/>
      <c r="U601" s="40"/>
      <c r="V601" s="40"/>
      <c r="W601" s="40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1.25" customHeight="1" x14ac:dyDescent="0.2">
      <c r="A602" s="36" t="s">
        <v>28</v>
      </c>
      <c r="B602" s="36" t="s">
        <v>33</v>
      </c>
      <c r="C602" s="36" t="s">
        <v>23</v>
      </c>
      <c r="D602" s="36" t="s">
        <v>34</v>
      </c>
      <c r="E602" s="36" t="s">
        <v>25</v>
      </c>
      <c r="F602" s="36" t="s">
        <v>25</v>
      </c>
      <c r="G602" s="36" t="s">
        <v>25</v>
      </c>
      <c r="H602" s="36" t="s">
        <v>25</v>
      </c>
      <c r="I602" s="56">
        <v>44682</v>
      </c>
      <c r="J602" s="57">
        <f>EFEITO!$J$602*EFEITO!$Y$602</f>
        <v>0</v>
      </c>
      <c r="K602" s="57">
        <f ca="1">EFEITO!$L$602*EFEITO!$Z$602</f>
        <v>16637.415543599709</v>
      </c>
      <c r="L602" s="57">
        <f>EFEITO!$N$602*EFEITO!$AA$602</f>
        <v>8726.9500923265441</v>
      </c>
      <c r="M602" s="57">
        <f>$J$602-EFEITO!$K$602*EFEITO!$Y$602</f>
        <v>0</v>
      </c>
      <c r="N602" s="57">
        <f ca="1">$K$602-EFEITO!$M$602*EFEITO!$Z$602</f>
        <v>0</v>
      </c>
      <c r="O602" s="57">
        <f>$L$602-EFEITO!$O$602*EFEITO!$AA$602</f>
        <v>0</v>
      </c>
      <c r="P602" s="40"/>
      <c r="Q602" s="40"/>
      <c r="R602" s="40"/>
      <c r="S602" s="40"/>
      <c r="T602" s="40"/>
      <c r="U602" s="40"/>
      <c r="V602" s="40"/>
      <c r="W602" s="40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1.25" customHeight="1" x14ac:dyDescent="0.2">
      <c r="A603" s="36" t="s">
        <v>21</v>
      </c>
      <c r="B603" s="36" t="s">
        <v>33</v>
      </c>
      <c r="C603" s="36" t="s">
        <v>23</v>
      </c>
      <c r="D603" s="36" t="s">
        <v>34</v>
      </c>
      <c r="E603" s="36" t="s">
        <v>25</v>
      </c>
      <c r="F603" s="36" t="s">
        <v>25</v>
      </c>
      <c r="G603" s="36" t="s">
        <v>25</v>
      </c>
      <c r="H603" s="36" t="s">
        <v>25</v>
      </c>
      <c r="I603" s="56">
        <v>44713</v>
      </c>
      <c r="J603" s="57">
        <f>EFEITO!$J$603*EFEITO!$Y$603</f>
        <v>0</v>
      </c>
      <c r="K603" s="57">
        <f ca="1">EFEITO!$L$603*EFEITO!$Z$603</f>
        <v>167490.45083672943</v>
      </c>
      <c r="L603" s="57">
        <f>EFEITO!$N$603*EFEITO!$AA$603</f>
        <v>87855.039838546814</v>
      </c>
      <c r="M603" s="57">
        <f>$J$603-EFEITO!$K$603*EFEITO!$Y$603</f>
        <v>0</v>
      </c>
      <c r="N603" s="57">
        <f ca="1">$K$603-EFEITO!$M$603*EFEITO!$Z$603</f>
        <v>0</v>
      </c>
      <c r="O603" s="57">
        <f>$L$603-EFEITO!$O$603*EFEITO!$AA$603</f>
        <v>0</v>
      </c>
      <c r="P603" s="40"/>
      <c r="Q603" s="40"/>
      <c r="R603" s="40"/>
      <c r="S603" s="40"/>
      <c r="T603" s="40"/>
      <c r="U603" s="40"/>
      <c r="V603" s="40"/>
      <c r="W603" s="40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1.25" customHeight="1" x14ac:dyDescent="0.2">
      <c r="A604" s="36" t="s">
        <v>27</v>
      </c>
      <c r="B604" s="36" t="s">
        <v>33</v>
      </c>
      <c r="C604" s="36" t="s">
        <v>23</v>
      </c>
      <c r="D604" s="36" t="s">
        <v>34</v>
      </c>
      <c r="E604" s="36" t="s">
        <v>25</v>
      </c>
      <c r="F604" s="36" t="s">
        <v>25</v>
      </c>
      <c r="G604" s="36" t="s">
        <v>25</v>
      </c>
      <c r="H604" s="36" t="s">
        <v>25</v>
      </c>
      <c r="I604" s="56">
        <v>44713</v>
      </c>
      <c r="J604" s="57">
        <f>EFEITO!$J$604*EFEITO!$Y$604</f>
        <v>0</v>
      </c>
      <c r="K604" s="57">
        <f ca="1">EFEITO!$L$604*EFEITO!$Z$604</f>
        <v>-560.28025496985674</v>
      </c>
      <c r="L604" s="57">
        <f>EFEITO!$N$604*EFEITO!$AA$604</f>
        <v>-293.88806272371431</v>
      </c>
      <c r="M604" s="57">
        <f>$J$604-EFEITO!$K$604*EFEITO!$Y$604</f>
        <v>0</v>
      </c>
      <c r="N604" s="57">
        <f ca="1">$K$604-EFEITO!$M$604*EFEITO!$Z$604</f>
        <v>0</v>
      </c>
      <c r="O604" s="57">
        <f>$L$604-EFEITO!$O$604*EFEITO!$AA$604</f>
        <v>0</v>
      </c>
      <c r="P604" s="40"/>
      <c r="Q604" s="40"/>
      <c r="R604" s="40"/>
      <c r="S604" s="40"/>
      <c r="T604" s="40"/>
      <c r="U604" s="40"/>
      <c r="V604" s="40"/>
      <c r="W604" s="40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1.25" customHeight="1" x14ac:dyDescent="0.2">
      <c r="A605" s="36" t="s">
        <v>28</v>
      </c>
      <c r="B605" s="36" t="s">
        <v>33</v>
      </c>
      <c r="C605" s="36" t="s">
        <v>23</v>
      </c>
      <c r="D605" s="36" t="s">
        <v>34</v>
      </c>
      <c r="E605" s="36" t="s">
        <v>25</v>
      </c>
      <c r="F605" s="36" t="s">
        <v>25</v>
      </c>
      <c r="G605" s="36" t="s">
        <v>25</v>
      </c>
      <c r="H605" s="36" t="s">
        <v>25</v>
      </c>
      <c r="I605" s="56">
        <v>44713</v>
      </c>
      <c r="J605" s="57">
        <f>EFEITO!$J$605*EFEITO!$Y$605</f>
        <v>0</v>
      </c>
      <c r="K605" s="57">
        <f ca="1">EFEITO!$L$605*EFEITO!$Z$605</f>
        <v>20460.892079418227</v>
      </c>
      <c r="L605" s="57">
        <f>EFEITO!$N$605*EFEITO!$AA$605</f>
        <v>10732.507314830729</v>
      </c>
      <c r="M605" s="57">
        <f>$J$605-EFEITO!$K$605*EFEITO!$Y$605</f>
        <v>0</v>
      </c>
      <c r="N605" s="57">
        <f ca="1">$K$605-EFEITO!$M$605*EFEITO!$Z$605</f>
        <v>0</v>
      </c>
      <c r="O605" s="57">
        <f>$L$605-EFEITO!$O$605*EFEITO!$AA$605</f>
        <v>0</v>
      </c>
      <c r="P605" s="40"/>
      <c r="Q605" s="40"/>
      <c r="R605" s="40"/>
      <c r="S605" s="40"/>
      <c r="T605" s="40"/>
      <c r="U605" s="40"/>
      <c r="V605" s="40"/>
      <c r="W605" s="40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1.25" customHeight="1" x14ac:dyDescent="0.2">
      <c r="A606" s="36" t="s">
        <v>21</v>
      </c>
      <c r="B606" s="36" t="s">
        <v>33</v>
      </c>
      <c r="C606" s="36" t="s">
        <v>23</v>
      </c>
      <c r="D606" s="36" t="s">
        <v>34</v>
      </c>
      <c r="E606" s="36" t="s">
        <v>25</v>
      </c>
      <c r="F606" s="36" t="s">
        <v>25</v>
      </c>
      <c r="G606" s="36" t="s">
        <v>25</v>
      </c>
      <c r="H606" s="36" t="s">
        <v>25</v>
      </c>
      <c r="I606" s="56">
        <v>44743</v>
      </c>
      <c r="J606" s="57">
        <f>EFEITO!$J$606*EFEITO!$Y$606</f>
        <v>0</v>
      </c>
      <c r="K606" s="57">
        <f ca="1">EFEITO!$L$606*EFEITO!$Z$606</f>
        <v>161852.36420176979</v>
      </c>
      <c r="L606" s="57">
        <f>EFEITO!$N$606*EFEITO!$AA$606</f>
        <v>84897.651381754054</v>
      </c>
      <c r="M606" s="57">
        <f>$J$606-EFEITO!$K$606*EFEITO!$Y$606</f>
        <v>0</v>
      </c>
      <c r="N606" s="57">
        <f ca="1">$K$606-EFEITO!$M$606*EFEITO!$Z$606</f>
        <v>0</v>
      </c>
      <c r="O606" s="57">
        <f>$L$606-EFEITO!$O$606*EFEITO!$AA$606</f>
        <v>0</v>
      </c>
      <c r="P606" s="40"/>
      <c r="Q606" s="40"/>
      <c r="R606" s="40"/>
      <c r="S606" s="40"/>
      <c r="T606" s="40"/>
      <c r="U606" s="40"/>
      <c r="V606" s="40"/>
      <c r="W606" s="40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1.25" customHeight="1" x14ac:dyDescent="0.2">
      <c r="A607" s="36" t="s">
        <v>21</v>
      </c>
      <c r="B607" s="36" t="s">
        <v>33</v>
      </c>
      <c r="C607" s="36" t="s">
        <v>23</v>
      </c>
      <c r="D607" s="36" t="s">
        <v>34</v>
      </c>
      <c r="E607" s="36" t="s">
        <v>25</v>
      </c>
      <c r="F607" s="36" t="s">
        <v>25</v>
      </c>
      <c r="G607" s="36" t="s">
        <v>25</v>
      </c>
      <c r="H607" s="36" t="s">
        <v>25</v>
      </c>
      <c r="I607" s="56">
        <v>44774</v>
      </c>
      <c r="J607" s="57">
        <f>EFEITO!$J$607*EFEITO!$Y$607</f>
        <v>0</v>
      </c>
      <c r="K607" s="57">
        <f ca="1">EFEITO!$L$607*EFEITO!$Z$607</f>
        <v>169399.66881283431</v>
      </c>
      <c r="L607" s="57">
        <f>EFEITO!$N$607*EFEITO!$AA$607</f>
        <v>88856.496461973496</v>
      </c>
      <c r="M607" s="57">
        <f>$J$607-EFEITO!$K$607*EFEITO!$Y$607</f>
        <v>0</v>
      </c>
      <c r="N607" s="57">
        <f ca="1">$K$607-EFEITO!$M$607*EFEITO!$Z$607</f>
        <v>0</v>
      </c>
      <c r="O607" s="57">
        <f>$L$607-EFEITO!$O$607*EFEITO!$AA$607</f>
        <v>0</v>
      </c>
      <c r="P607" s="40"/>
      <c r="Q607" s="40"/>
      <c r="R607" s="40"/>
      <c r="S607" s="40"/>
      <c r="T607" s="40"/>
      <c r="U607" s="40"/>
      <c r="V607" s="40"/>
      <c r="W607" s="40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1.25" customHeight="1" x14ac:dyDescent="0.2">
      <c r="A608" s="36" t="s">
        <v>28</v>
      </c>
      <c r="B608" s="36" t="s">
        <v>33</v>
      </c>
      <c r="C608" s="36" t="s">
        <v>23</v>
      </c>
      <c r="D608" s="36" t="s">
        <v>34</v>
      </c>
      <c r="E608" s="36" t="s">
        <v>25</v>
      </c>
      <c r="F608" s="36" t="s">
        <v>25</v>
      </c>
      <c r="G608" s="36" t="s">
        <v>25</v>
      </c>
      <c r="H608" s="36" t="s">
        <v>25</v>
      </c>
      <c r="I608" s="56">
        <v>44774</v>
      </c>
      <c r="J608" s="57">
        <f>EFEITO!$J$608*EFEITO!$Y$608</f>
        <v>0</v>
      </c>
      <c r="K608" s="57">
        <f ca="1">EFEITO!$L$608*EFEITO!$Z$608</f>
        <v>22238.279407294918</v>
      </c>
      <c r="L608" s="57">
        <f>EFEITO!$N$608*EFEITO!$AA$608</f>
        <v>11664.81380585184</v>
      </c>
      <c r="M608" s="57">
        <f>$J$608-EFEITO!$K$608*EFEITO!$Y$608</f>
        <v>0</v>
      </c>
      <c r="N608" s="57">
        <f ca="1">$K$608-EFEITO!$M$608*EFEITO!$Z$608</f>
        <v>0</v>
      </c>
      <c r="O608" s="57">
        <f>$L$608-EFEITO!$O$608*EFEITO!$AA$608</f>
        <v>0</v>
      </c>
      <c r="P608" s="40"/>
      <c r="Q608" s="40"/>
      <c r="R608" s="40"/>
      <c r="S608" s="40"/>
      <c r="T608" s="40"/>
      <c r="U608" s="40"/>
      <c r="V608" s="40"/>
      <c r="W608" s="40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1.25" customHeight="1" x14ac:dyDescent="0.2">
      <c r="A609" s="36" t="s">
        <v>21</v>
      </c>
      <c r="B609" s="36" t="s">
        <v>33</v>
      </c>
      <c r="C609" s="36" t="s">
        <v>23</v>
      </c>
      <c r="D609" s="36" t="s">
        <v>42</v>
      </c>
      <c r="E609" s="36" t="s">
        <v>25</v>
      </c>
      <c r="F609" s="36" t="s">
        <v>25</v>
      </c>
      <c r="G609" s="36" t="s">
        <v>25</v>
      </c>
      <c r="H609" s="36" t="s">
        <v>25</v>
      </c>
      <c r="I609" s="56">
        <v>44440</v>
      </c>
      <c r="J609" s="57">
        <f>EFEITO!$J$609*EFEITO!$Y$609</f>
        <v>0</v>
      </c>
      <c r="K609" s="57">
        <f ca="1">EFEITO!$L$609*EFEITO!$Z$609</f>
        <v>38436.388702534183</v>
      </c>
      <c r="L609" s="57">
        <f>EFEITO!$N$609*EFEITO!$AA$609</f>
        <v>20161.331251073909</v>
      </c>
      <c r="M609" s="57">
        <f>$J$609-EFEITO!$K$609*EFEITO!$Y$609</f>
        <v>0</v>
      </c>
      <c r="N609" s="57">
        <f ca="1">$K$609-EFEITO!$M$609*EFEITO!$Z$609</f>
        <v>0</v>
      </c>
      <c r="O609" s="57">
        <f>$L$609-EFEITO!$O$609*EFEITO!$AA$609</f>
        <v>0</v>
      </c>
      <c r="P609" s="40"/>
      <c r="Q609" s="40"/>
      <c r="R609" s="40"/>
      <c r="S609" s="40"/>
      <c r="T609" s="40"/>
      <c r="U609" s="40"/>
      <c r="V609" s="40"/>
      <c r="W609" s="40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1.25" customHeight="1" x14ac:dyDescent="0.2">
      <c r="A610" s="36" t="s">
        <v>21</v>
      </c>
      <c r="B610" s="36" t="s">
        <v>33</v>
      </c>
      <c r="C610" s="36" t="s">
        <v>23</v>
      </c>
      <c r="D610" s="36" t="s">
        <v>42</v>
      </c>
      <c r="E610" s="36" t="s">
        <v>25</v>
      </c>
      <c r="F610" s="36" t="s">
        <v>25</v>
      </c>
      <c r="G610" s="36" t="s">
        <v>25</v>
      </c>
      <c r="H610" s="36" t="s">
        <v>25</v>
      </c>
      <c r="I610" s="56">
        <v>44470</v>
      </c>
      <c r="J610" s="57">
        <f>EFEITO!$J$610*EFEITO!$Y$610</f>
        <v>0</v>
      </c>
      <c r="K610" s="57">
        <f ca="1">EFEITO!$L$610*EFEITO!$Z$610</f>
        <v>40396.400251927</v>
      </c>
      <c r="L610" s="57">
        <f>EFEITO!$N$610*EFEITO!$AA$610</f>
        <v>21189.431013750986</v>
      </c>
      <c r="M610" s="57">
        <f>$J$610-EFEITO!$K$610*EFEITO!$Y$610</f>
        <v>0</v>
      </c>
      <c r="N610" s="57">
        <f ca="1">$K$610-EFEITO!$M$610*EFEITO!$Z$610</f>
        <v>0</v>
      </c>
      <c r="O610" s="57">
        <f>$L$610-EFEITO!$O$610*EFEITO!$AA$610</f>
        <v>0</v>
      </c>
      <c r="P610" s="40"/>
      <c r="Q610" s="40"/>
      <c r="R610" s="40"/>
      <c r="S610" s="40"/>
      <c r="T610" s="40"/>
      <c r="U610" s="40"/>
      <c r="V610" s="40"/>
      <c r="W610" s="40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1.25" customHeight="1" x14ac:dyDescent="0.2">
      <c r="A611" s="36" t="s">
        <v>21</v>
      </c>
      <c r="B611" s="36" t="s">
        <v>33</v>
      </c>
      <c r="C611" s="36" t="s">
        <v>23</v>
      </c>
      <c r="D611" s="36" t="s">
        <v>42</v>
      </c>
      <c r="E611" s="36" t="s">
        <v>25</v>
      </c>
      <c r="F611" s="36" t="s">
        <v>25</v>
      </c>
      <c r="G611" s="36" t="s">
        <v>25</v>
      </c>
      <c r="H611" s="36" t="s">
        <v>25</v>
      </c>
      <c r="I611" s="56">
        <v>44501</v>
      </c>
      <c r="J611" s="57">
        <f>EFEITO!$J$611*EFEITO!$Y$611</f>
        <v>0</v>
      </c>
      <c r="K611" s="57">
        <f ca="1">EFEITO!$L$611*EFEITO!$Z$611</f>
        <v>52052.555978504053</v>
      </c>
      <c r="L611" s="57">
        <f>EFEITO!$N$611*EFEITO!$AA$611</f>
        <v>27303.523014858463</v>
      </c>
      <c r="M611" s="57">
        <f>$J$611-EFEITO!$K$611*EFEITO!$Y$611</f>
        <v>0</v>
      </c>
      <c r="N611" s="57">
        <f ca="1">$K$611-EFEITO!$M$611*EFEITO!$Z$611</f>
        <v>0</v>
      </c>
      <c r="O611" s="57">
        <f>$L$611-EFEITO!$O$611*EFEITO!$AA$611</f>
        <v>0</v>
      </c>
      <c r="P611" s="40"/>
      <c r="Q611" s="40"/>
      <c r="R611" s="40"/>
      <c r="S611" s="40"/>
      <c r="T611" s="40"/>
      <c r="U611" s="40"/>
      <c r="V611" s="40"/>
      <c r="W611" s="40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1.25" customHeight="1" x14ac:dyDescent="0.2">
      <c r="A612" s="36" t="s">
        <v>21</v>
      </c>
      <c r="B612" s="36" t="s">
        <v>33</v>
      </c>
      <c r="C612" s="36" t="s">
        <v>23</v>
      </c>
      <c r="D612" s="36" t="s">
        <v>42</v>
      </c>
      <c r="E612" s="36" t="s">
        <v>25</v>
      </c>
      <c r="F612" s="36" t="s">
        <v>25</v>
      </c>
      <c r="G612" s="36" t="s">
        <v>25</v>
      </c>
      <c r="H612" s="36" t="s">
        <v>25</v>
      </c>
      <c r="I612" s="56">
        <v>44531</v>
      </c>
      <c r="J612" s="57">
        <f>EFEITO!$J$612*EFEITO!$Y$612</f>
        <v>0</v>
      </c>
      <c r="K612" s="57">
        <f ca="1">EFEITO!$L$612*EFEITO!$Z$612</f>
        <v>53352.251075153843</v>
      </c>
      <c r="L612" s="57">
        <f>EFEITO!$N$612*EFEITO!$AA$612</f>
        <v>27985.261967280527</v>
      </c>
      <c r="M612" s="57">
        <f>$J$612-EFEITO!$K$612*EFEITO!$Y$612</f>
        <v>0</v>
      </c>
      <c r="N612" s="57">
        <f ca="1">$K$612-EFEITO!$M$612*EFEITO!$Z$612</f>
        <v>0</v>
      </c>
      <c r="O612" s="57">
        <f>$L$612-EFEITO!$O$612*EFEITO!$AA$612</f>
        <v>0</v>
      </c>
      <c r="P612" s="40"/>
      <c r="Q612" s="40"/>
      <c r="R612" s="40"/>
      <c r="S612" s="40"/>
      <c r="T612" s="40"/>
      <c r="U612" s="40"/>
      <c r="V612" s="40"/>
      <c r="W612" s="40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1.25" customHeight="1" x14ac:dyDescent="0.2">
      <c r="A613" s="36" t="s">
        <v>21</v>
      </c>
      <c r="B613" s="36" t="s">
        <v>33</v>
      </c>
      <c r="C613" s="36" t="s">
        <v>23</v>
      </c>
      <c r="D613" s="36" t="s">
        <v>42</v>
      </c>
      <c r="E613" s="36" t="s">
        <v>25</v>
      </c>
      <c r="F613" s="36" t="s">
        <v>25</v>
      </c>
      <c r="G613" s="36" t="s">
        <v>25</v>
      </c>
      <c r="H613" s="36" t="s">
        <v>25</v>
      </c>
      <c r="I613" s="56">
        <v>44562</v>
      </c>
      <c r="J613" s="57">
        <f>EFEITO!$J$613*EFEITO!$Y$613</f>
        <v>0</v>
      </c>
      <c r="K613" s="57">
        <f ca="1">EFEITO!$L$613*EFEITO!$Z$613</f>
        <v>43556.458437397123</v>
      </c>
      <c r="L613" s="57">
        <f>EFEITO!$N$613*EFEITO!$AA$613</f>
        <v>22847.000364061209</v>
      </c>
      <c r="M613" s="57">
        <f>$J$613-EFEITO!$K$613*EFEITO!$Y$613</f>
        <v>0</v>
      </c>
      <c r="N613" s="57">
        <f ca="1">$K$613-EFEITO!$M$613*EFEITO!$Z$613</f>
        <v>0</v>
      </c>
      <c r="O613" s="57">
        <f>$L$613-EFEITO!$O$613*EFEITO!$AA$613</f>
        <v>0</v>
      </c>
      <c r="P613" s="40"/>
      <c r="Q613" s="40"/>
      <c r="R613" s="40"/>
      <c r="S613" s="40"/>
      <c r="T613" s="40"/>
      <c r="U613" s="40"/>
      <c r="V613" s="40"/>
      <c r="W613" s="40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1.25" customHeight="1" x14ac:dyDescent="0.2">
      <c r="A614" s="36" t="s">
        <v>21</v>
      </c>
      <c r="B614" s="36" t="s">
        <v>33</v>
      </c>
      <c r="C614" s="36" t="s">
        <v>23</v>
      </c>
      <c r="D614" s="36" t="s">
        <v>42</v>
      </c>
      <c r="E614" s="36" t="s">
        <v>25</v>
      </c>
      <c r="F614" s="36" t="s">
        <v>25</v>
      </c>
      <c r="G614" s="36" t="s">
        <v>25</v>
      </c>
      <c r="H614" s="36" t="s">
        <v>25</v>
      </c>
      <c r="I614" s="56">
        <v>44593</v>
      </c>
      <c r="J614" s="57">
        <f>EFEITO!$J$614*EFEITO!$Y$614</f>
        <v>0</v>
      </c>
      <c r="K614" s="57">
        <f ca="1">EFEITO!$L$614*EFEITO!$Z$614</f>
        <v>64406.25092908855</v>
      </c>
      <c r="L614" s="57">
        <f>EFEITO!$N$614*EFEITO!$AA$614</f>
        <v>33783.500569488402</v>
      </c>
      <c r="M614" s="57">
        <f>$J$614-EFEITO!$K$614*EFEITO!$Y$614</f>
        <v>0</v>
      </c>
      <c r="N614" s="57">
        <f ca="1">$K$614-EFEITO!$M$614*EFEITO!$Z$614</f>
        <v>0</v>
      </c>
      <c r="O614" s="57">
        <f>$L$614-EFEITO!$O$614*EFEITO!$AA$614</f>
        <v>0</v>
      </c>
      <c r="P614" s="40"/>
      <c r="Q614" s="40"/>
      <c r="R614" s="40"/>
      <c r="S614" s="40"/>
      <c r="T614" s="40"/>
      <c r="U614" s="40"/>
      <c r="V614" s="40"/>
      <c r="W614" s="40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1.25" customHeight="1" x14ac:dyDescent="0.2">
      <c r="A615" s="36" t="s">
        <v>21</v>
      </c>
      <c r="B615" s="36" t="s">
        <v>33</v>
      </c>
      <c r="C615" s="36" t="s">
        <v>23</v>
      </c>
      <c r="D615" s="36" t="s">
        <v>42</v>
      </c>
      <c r="E615" s="36" t="s">
        <v>25</v>
      </c>
      <c r="F615" s="36" t="s">
        <v>25</v>
      </c>
      <c r="G615" s="36" t="s">
        <v>25</v>
      </c>
      <c r="H615" s="36" t="s">
        <v>25</v>
      </c>
      <c r="I615" s="56">
        <v>44621</v>
      </c>
      <c r="J615" s="57">
        <f>EFEITO!$J$615*EFEITO!$Y$615</f>
        <v>0</v>
      </c>
      <c r="K615" s="57">
        <f ca="1">EFEITO!$L$615*EFEITO!$Z$615</f>
        <v>70468.522061582466</v>
      </c>
      <c r="L615" s="57">
        <f>EFEITO!$N$615*EFEITO!$AA$615</f>
        <v>36963.389746433226</v>
      </c>
      <c r="M615" s="57">
        <f>$J$615-EFEITO!$K$615*EFEITO!$Y$615</f>
        <v>0</v>
      </c>
      <c r="N615" s="57">
        <f ca="1">$K$615-EFEITO!$M$615*EFEITO!$Z$615</f>
        <v>0</v>
      </c>
      <c r="O615" s="57">
        <f>$L$615-EFEITO!$O$615*EFEITO!$AA$615</f>
        <v>0</v>
      </c>
      <c r="P615" s="40"/>
      <c r="Q615" s="40"/>
      <c r="R615" s="40"/>
      <c r="S615" s="40"/>
      <c r="T615" s="40"/>
      <c r="U615" s="40"/>
      <c r="V615" s="40"/>
      <c r="W615" s="40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1.25" customHeight="1" x14ac:dyDescent="0.2">
      <c r="A616" s="36" t="s">
        <v>21</v>
      </c>
      <c r="B616" s="36" t="s">
        <v>33</v>
      </c>
      <c r="C616" s="36" t="s">
        <v>23</v>
      </c>
      <c r="D616" s="36" t="s">
        <v>42</v>
      </c>
      <c r="E616" s="36" t="s">
        <v>25</v>
      </c>
      <c r="F616" s="36" t="s">
        <v>25</v>
      </c>
      <c r="G616" s="36" t="s">
        <v>25</v>
      </c>
      <c r="H616" s="36" t="s">
        <v>25</v>
      </c>
      <c r="I616" s="56">
        <v>44652</v>
      </c>
      <c r="J616" s="57">
        <f>EFEITO!$J$616*EFEITO!$Y$616</f>
        <v>0</v>
      </c>
      <c r="K616" s="57">
        <f ca="1">EFEITO!$L$616*EFEITO!$Z$616</f>
        <v>49015.798222847363</v>
      </c>
      <c r="L616" s="57">
        <f>EFEITO!$N$616*EFEITO!$AA$616</f>
        <v>25710.629376621691</v>
      </c>
      <c r="M616" s="57">
        <f>$J$616-EFEITO!$K$616*EFEITO!$Y$616</f>
        <v>0</v>
      </c>
      <c r="N616" s="57">
        <f ca="1">$K$616-EFEITO!$M$616*EFEITO!$Z$616</f>
        <v>0</v>
      </c>
      <c r="O616" s="57">
        <f>$L$616-EFEITO!$O$616*EFEITO!$AA$616</f>
        <v>0</v>
      </c>
      <c r="P616" s="40"/>
      <c r="Q616" s="40"/>
      <c r="R616" s="40"/>
      <c r="S616" s="40"/>
      <c r="T616" s="40"/>
      <c r="U616" s="40"/>
      <c r="V616" s="40"/>
      <c r="W616" s="40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1.25" customHeight="1" x14ac:dyDescent="0.2">
      <c r="A617" s="36" t="s">
        <v>21</v>
      </c>
      <c r="B617" s="36" t="s">
        <v>33</v>
      </c>
      <c r="C617" s="36" t="s">
        <v>23</v>
      </c>
      <c r="D617" s="36" t="s">
        <v>42</v>
      </c>
      <c r="E617" s="36" t="s">
        <v>25</v>
      </c>
      <c r="F617" s="36" t="s">
        <v>25</v>
      </c>
      <c r="G617" s="36" t="s">
        <v>25</v>
      </c>
      <c r="H617" s="36" t="s">
        <v>25</v>
      </c>
      <c r="I617" s="56">
        <v>44682</v>
      </c>
      <c r="J617" s="57">
        <f>EFEITO!$J$617*EFEITO!$Y$617</f>
        <v>0</v>
      </c>
      <c r="K617" s="57">
        <f ca="1">EFEITO!$L$617*EFEITO!$Z$617</f>
        <v>42108.647730090939</v>
      </c>
      <c r="L617" s="57">
        <f>EFEITO!$N$617*EFEITO!$AA$617</f>
        <v>22087.569204054045</v>
      </c>
      <c r="M617" s="57">
        <f>$J$617-EFEITO!$K$617*EFEITO!$Y$617</f>
        <v>0</v>
      </c>
      <c r="N617" s="57">
        <f ca="1">$K$617-EFEITO!$M$617*EFEITO!$Z$617</f>
        <v>0</v>
      </c>
      <c r="O617" s="57">
        <f>$L$617-EFEITO!$O$617*EFEITO!$AA$617</f>
        <v>0</v>
      </c>
      <c r="P617" s="40"/>
      <c r="Q617" s="40"/>
      <c r="R617" s="40"/>
      <c r="S617" s="40"/>
      <c r="T617" s="40"/>
      <c r="U617" s="40"/>
      <c r="V617" s="40"/>
      <c r="W617" s="40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1.25" customHeight="1" x14ac:dyDescent="0.2">
      <c r="A618" s="36" t="s">
        <v>21</v>
      </c>
      <c r="B618" s="36" t="s">
        <v>33</v>
      </c>
      <c r="C618" s="36" t="s">
        <v>23</v>
      </c>
      <c r="D618" s="36" t="s">
        <v>42</v>
      </c>
      <c r="E618" s="36" t="s">
        <v>25</v>
      </c>
      <c r="F618" s="36" t="s">
        <v>25</v>
      </c>
      <c r="G618" s="36" t="s">
        <v>25</v>
      </c>
      <c r="H618" s="36" t="s">
        <v>25</v>
      </c>
      <c r="I618" s="56">
        <v>44713</v>
      </c>
      <c r="J618" s="57">
        <f>EFEITO!$J$618*EFEITO!$Y$618</f>
        <v>0</v>
      </c>
      <c r="K618" s="57">
        <f ca="1">EFEITO!$L$618*EFEITO!$Z$618</f>
        <v>43403.689980332681</v>
      </c>
      <c r="L618" s="57">
        <f>EFEITO!$N$618*EFEITO!$AA$618</f>
        <v>22766.867563567685</v>
      </c>
      <c r="M618" s="57">
        <f>$J$618-EFEITO!$K$618*EFEITO!$Y$618</f>
        <v>0</v>
      </c>
      <c r="N618" s="57">
        <f ca="1">$K$618-EFEITO!$M$618*EFEITO!$Z$618</f>
        <v>0</v>
      </c>
      <c r="O618" s="57">
        <f>$L$618-EFEITO!$O$618*EFEITO!$AA$618</f>
        <v>0</v>
      </c>
      <c r="P618" s="40"/>
      <c r="Q618" s="40"/>
      <c r="R618" s="40"/>
      <c r="S618" s="40"/>
      <c r="T618" s="40"/>
      <c r="U618" s="40"/>
      <c r="V618" s="40"/>
      <c r="W618" s="40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1.25" customHeight="1" x14ac:dyDescent="0.2">
      <c r="A619" s="36" t="s">
        <v>21</v>
      </c>
      <c r="B619" s="36" t="s">
        <v>33</v>
      </c>
      <c r="C619" s="36" t="s">
        <v>23</v>
      </c>
      <c r="D619" s="36" t="s">
        <v>42</v>
      </c>
      <c r="E619" s="36" t="s">
        <v>25</v>
      </c>
      <c r="F619" s="36" t="s">
        <v>25</v>
      </c>
      <c r="G619" s="36" t="s">
        <v>25</v>
      </c>
      <c r="H619" s="36" t="s">
        <v>25</v>
      </c>
      <c r="I619" s="56">
        <v>44743</v>
      </c>
      <c r="J619" s="57">
        <f>EFEITO!$J$619*EFEITO!$Y$619</f>
        <v>0</v>
      </c>
      <c r="K619" s="57">
        <f ca="1">EFEITO!$L$619*EFEITO!$Z$619</f>
        <v>51555.864624444264</v>
      </c>
      <c r="L619" s="57">
        <f>EFEITO!$N$619*EFEITO!$AA$619</f>
        <v>27042.989721883321</v>
      </c>
      <c r="M619" s="57">
        <f>$J$619-EFEITO!$K$619*EFEITO!$Y$619</f>
        <v>0</v>
      </c>
      <c r="N619" s="57">
        <f ca="1">$K$619-EFEITO!$M$619*EFEITO!$Z$619</f>
        <v>0</v>
      </c>
      <c r="O619" s="57">
        <f>$L$619-EFEITO!$O$619*EFEITO!$AA$619</f>
        <v>0</v>
      </c>
      <c r="P619" s="40"/>
      <c r="Q619" s="40"/>
      <c r="R619" s="40"/>
      <c r="S619" s="40"/>
      <c r="T619" s="40"/>
      <c r="U619" s="40"/>
      <c r="V619" s="40"/>
      <c r="W619" s="40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1.25" customHeight="1" x14ac:dyDescent="0.2">
      <c r="A620" s="36" t="s">
        <v>21</v>
      </c>
      <c r="B620" s="36" t="s">
        <v>33</v>
      </c>
      <c r="C620" s="36" t="s">
        <v>23</v>
      </c>
      <c r="D620" s="36" t="s">
        <v>42</v>
      </c>
      <c r="E620" s="36" t="s">
        <v>25</v>
      </c>
      <c r="F620" s="36" t="s">
        <v>25</v>
      </c>
      <c r="G620" s="36" t="s">
        <v>25</v>
      </c>
      <c r="H620" s="36" t="s">
        <v>25</v>
      </c>
      <c r="I620" s="56">
        <v>44774</v>
      </c>
      <c r="J620" s="57">
        <f>EFEITO!$J$620*EFEITO!$Y$620</f>
        <v>0</v>
      </c>
      <c r="K620" s="57">
        <f ca="1">EFEITO!$L$620*EFEITO!$Z$620</f>
        <v>41510.369229455304</v>
      </c>
      <c r="L620" s="57">
        <f>EFEITO!$N$620*EFEITO!$AA$620</f>
        <v>21773.749632578136</v>
      </c>
      <c r="M620" s="57">
        <f>$J$620-EFEITO!$K$620*EFEITO!$Y$620</f>
        <v>0</v>
      </c>
      <c r="N620" s="57">
        <f ca="1">$K$620-EFEITO!$M$620*EFEITO!$Z$620</f>
        <v>0</v>
      </c>
      <c r="O620" s="57">
        <f>$L$620-EFEITO!$O$620*EFEITO!$AA$620</f>
        <v>0</v>
      </c>
      <c r="P620" s="40"/>
      <c r="Q620" s="40"/>
      <c r="R620" s="40"/>
      <c r="S620" s="40"/>
      <c r="T620" s="40"/>
      <c r="U620" s="40"/>
      <c r="V620" s="40"/>
      <c r="W620" s="40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1.25" customHeight="1" x14ac:dyDescent="0.2">
      <c r="A621" s="36" t="s">
        <v>21</v>
      </c>
      <c r="B621" s="36" t="s">
        <v>33</v>
      </c>
      <c r="C621" s="36" t="s">
        <v>23</v>
      </c>
      <c r="D621" s="36" t="s">
        <v>46</v>
      </c>
      <c r="E621" s="36" t="s">
        <v>47</v>
      </c>
      <c r="F621" s="36" t="s">
        <v>25</v>
      </c>
      <c r="G621" s="36" t="s">
        <v>25</v>
      </c>
      <c r="H621" s="36" t="s">
        <v>25</v>
      </c>
      <c r="I621" s="56">
        <v>44440</v>
      </c>
      <c r="J621" s="57">
        <f>EFEITO!$J$621*EFEITO!$Y$620</f>
        <v>0</v>
      </c>
      <c r="K621" s="57">
        <f ca="1">EFEITO!$L$621*EFEITO!$Z$620</f>
        <v>6522.1274524899372</v>
      </c>
      <c r="L621" s="57">
        <f>EFEITO!$N$621*EFEITO!$AA$620</f>
        <v>3421.1011093948778</v>
      </c>
      <c r="M621" s="57">
        <f>$J$621-EFEITO!$K$621*EFEITO!$Y$621</f>
        <v>0</v>
      </c>
      <c r="N621" s="57">
        <f ca="1">$K$621-EFEITO!$M$621*EFEITO!$Z$621</f>
        <v>195.66382357469865</v>
      </c>
      <c r="O621" s="57">
        <f>$L$621-EFEITO!$O$621*EFEITO!$AA$621</f>
        <v>102.63303328184611</v>
      </c>
      <c r="P621" s="40"/>
      <c r="Q621" s="40"/>
      <c r="R621" s="40"/>
      <c r="S621" s="40"/>
      <c r="T621" s="40"/>
      <c r="U621" s="40"/>
      <c r="V621" s="40"/>
      <c r="W621" s="40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1.25" customHeight="1" x14ac:dyDescent="0.2">
      <c r="A622" s="36" t="s">
        <v>21</v>
      </c>
      <c r="B622" s="36" t="s">
        <v>33</v>
      </c>
      <c r="C622" s="36" t="s">
        <v>23</v>
      </c>
      <c r="D622" s="36" t="s">
        <v>46</v>
      </c>
      <c r="E622" s="36" t="s">
        <v>47</v>
      </c>
      <c r="F622" s="36" t="s">
        <v>25</v>
      </c>
      <c r="G622" s="36" t="s">
        <v>25</v>
      </c>
      <c r="H622" s="36" t="s">
        <v>25</v>
      </c>
      <c r="I622" s="56">
        <v>44470</v>
      </c>
      <c r="J622" s="57">
        <f>EFEITO!$J$622*EFEITO!$Y$620</f>
        <v>0</v>
      </c>
      <c r="K622" s="57">
        <f ca="1">EFEITO!$L$622*EFEITO!$Z$620</f>
        <v>6660.1618959288771</v>
      </c>
      <c r="L622" s="57">
        <f>EFEITO!$N$622*EFEITO!$AA$620</f>
        <v>3493.5053656783671</v>
      </c>
      <c r="M622" s="57">
        <f>$J$622-EFEITO!$K$622*EFEITO!$Y$622</f>
        <v>0</v>
      </c>
      <c r="N622" s="57">
        <f ca="1">$K$622-EFEITO!$M$622*EFEITO!$Z$622</f>
        <v>199.80485687786677</v>
      </c>
      <c r="O622" s="57">
        <f>$L$622-EFEITO!$O$622*EFEITO!$AA$622</f>
        <v>104.80516097035115</v>
      </c>
      <c r="P622" s="40"/>
      <c r="Q622" s="40"/>
      <c r="R622" s="40"/>
      <c r="S622" s="40"/>
      <c r="T622" s="40"/>
      <c r="U622" s="40"/>
      <c r="V622" s="40"/>
      <c r="W622" s="40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1.25" customHeight="1" x14ac:dyDescent="0.2">
      <c r="A623" s="36" t="s">
        <v>21</v>
      </c>
      <c r="B623" s="36" t="s">
        <v>33</v>
      </c>
      <c r="C623" s="36" t="s">
        <v>23</v>
      </c>
      <c r="D623" s="36" t="s">
        <v>46</v>
      </c>
      <c r="E623" s="36" t="s">
        <v>47</v>
      </c>
      <c r="F623" s="36" t="s">
        <v>25</v>
      </c>
      <c r="G623" s="36" t="s">
        <v>25</v>
      </c>
      <c r="H623" s="36" t="s">
        <v>25</v>
      </c>
      <c r="I623" s="56">
        <v>44501</v>
      </c>
      <c r="J623" s="57">
        <f>EFEITO!$J$623*EFEITO!$Y$620</f>
        <v>0</v>
      </c>
      <c r="K623" s="57">
        <f ca="1">EFEITO!$L$623*EFEITO!$Z$620</f>
        <v>7249.9101781497438</v>
      </c>
      <c r="L623" s="57">
        <f>EFEITO!$N$623*EFEITO!$AA$620</f>
        <v>3802.8505168221523</v>
      </c>
      <c r="M623" s="57">
        <f>$J$623-EFEITO!$K$623*EFEITO!$Y$623</f>
        <v>0</v>
      </c>
      <c r="N623" s="57">
        <f ca="1">$K$623-EFEITO!$M$623*EFEITO!$Z$623</f>
        <v>217.49730534449282</v>
      </c>
      <c r="O623" s="57">
        <f>$L$623-EFEITO!$O$623*EFEITO!$AA$623</f>
        <v>114.08551550466473</v>
      </c>
      <c r="P623" s="40"/>
      <c r="Q623" s="40"/>
      <c r="R623" s="40"/>
      <c r="S623" s="40"/>
      <c r="T623" s="40"/>
      <c r="U623" s="40"/>
      <c r="V623" s="40"/>
      <c r="W623" s="40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1.25" customHeight="1" x14ac:dyDescent="0.2">
      <c r="A624" s="36" t="s">
        <v>21</v>
      </c>
      <c r="B624" s="36" t="s">
        <v>33</v>
      </c>
      <c r="C624" s="36" t="s">
        <v>23</v>
      </c>
      <c r="D624" s="36" t="s">
        <v>46</v>
      </c>
      <c r="E624" s="36" t="s">
        <v>47</v>
      </c>
      <c r="F624" s="36" t="s">
        <v>25</v>
      </c>
      <c r="G624" s="36" t="s">
        <v>25</v>
      </c>
      <c r="H624" s="36" t="s">
        <v>25</v>
      </c>
      <c r="I624" s="56">
        <v>44531</v>
      </c>
      <c r="J624" s="57">
        <f>EFEITO!$J$624*EFEITO!$Y$620</f>
        <v>0</v>
      </c>
      <c r="K624" s="57">
        <f ca="1">EFEITO!$L$624*EFEITO!$Z$620</f>
        <v>7163.057045199399</v>
      </c>
      <c r="L624" s="57">
        <f>EFEITO!$N$624*EFEITO!$AA$620</f>
        <v>3757.2927825314173</v>
      </c>
      <c r="M624" s="57">
        <f>$J$624-EFEITO!$K$624*EFEITO!$Y$624</f>
        <v>0</v>
      </c>
      <c r="N624" s="57">
        <f ca="1">$K$624-EFEITO!$M$624*EFEITO!$Z$624</f>
        <v>214.8917113559819</v>
      </c>
      <c r="O624" s="57">
        <f>$L$624-EFEITO!$O$624*EFEITO!$AA$624</f>
        <v>112.71878347594247</v>
      </c>
      <c r="P624" s="40"/>
      <c r="Q624" s="40"/>
      <c r="R624" s="40"/>
      <c r="S624" s="40"/>
      <c r="T624" s="40"/>
      <c r="U624" s="40"/>
      <c r="V624" s="40"/>
      <c r="W624" s="40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1.25" customHeight="1" x14ac:dyDescent="0.2">
      <c r="A625" s="36" t="s">
        <v>21</v>
      </c>
      <c r="B625" s="36" t="s">
        <v>33</v>
      </c>
      <c r="C625" s="36" t="s">
        <v>23</v>
      </c>
      <c r="D625" s="36" t="s">
        <v>46</v>
      </c>
      <c r="E625" s="36" t="s">
        <v>47</v>
      </c>
      <c r="F625" s="36" t="s">
        <v>25</v>
      </c>
      <c r="G625" s="36" t="s">
        <v>25</v>
      </c>
      <c r="H625" s="36" t="s">
        <v>25</v>
      </c>
      <c r="I625" s="56">
        <v>44562</v>
      </c>
      <c r="J625" s="57">
        <f>EFEITO!$J$625*EFEITO!$Y$620</f>
        <v>0</v>
      </c>
      <c r="K625" s="57">
        <f ca="1">EFEITO!$L$625*EFEITO!$Z$620</f>
        <v>6823.7869946121164</v>
      </c>
      <c r="L625" s="57">
        <f>EFEITO!$N$625*EFEITO!$AA$620</f>
        <v>3579.3328829582338</v>
      </c>
      <c r="M625" s="57">
        <f>$J$625-EFEITO!$K$625*EFEITO!$Y$625</f>
        <v>0</v>
      </c>
      <c r="N625" s="57">
        <f ca="1">$K$625-EFEITO!$M$625*EFEITO!$Z$625</f>
        <v>204.71360983836439</v>
      </c>
      <c r="O625" s="57">
        <f>$L$625-EFEITO!$O$625*EFEITO!$AA$625</f>
        <v>107.37998648874691</v>
      </c>
      <c r="P625" s="40"/>
      <c r="Q625" s="40"/>
      <c r="R625" s="40"/>
      <c r="S625" s="40"/>
      <c r="T625" s="40"/>
      <c r="U625" s="40"/>
      <c r="V625" s="40"/>
      <c r="W625" s="40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1.25" customHeight="1" x14ac:dyDescent="0.2">
      <c r="A626" s="36" t="s">
        <v>21</v>
      </c>
      <c r="B626" s="36" t="s">
        <v>33</v>
      </c>
      <c r="C626" s="36" t="s">
        <v>23</v>
      </c>
      <c r="D626" s="36" t="s">
        <v>46</v>
      </c>
      <c r="E626" s="36" t="s">
        <v>47</v>
      </c>
      <c r="F626" s="36" t="s">
        <v>25</v>
      </c>
      <c r="G626" s="36" t="s">
        <v>25</v>
      </c>
      <c r="H626" s="36" t="s">
        <v>25</v>
      </c>
      <c r="I626" s="56">
        <v>44593</v>
      </c>
      <c r="J626" s="57">
        <f>EFEITO!$J$626*EFEITO!$Y$620</f>
        <v>0</v>
      </c>
      <c r="K626" s="57">
        <f ca="1">EFEITO!$L$626*EFEITO!$Z$620</f>
        <v>6980.8205608839444</v>
      </c>
      <c r="L626" s="57">
        <f>EFEITO!$N$626*EFEITO!$AA$620</f>
        <v>3661.7028936178217</v>
      </c>
      <c r="M626" s="57">
        <f>$J$626-EFEITO!$K$626*EFEITO!$Y$626</f>
        <v>0</v>
      </c>
      <c r="N626" s="57">
        <f ca="1">$K$626-EFEITO!$M$626*EFEITO!$Z$626</f>
        <v>209.42461682651901</v>
      </c>
      <c r="O626" s="57">
        <f>$L$626-EFEITO!$O$626*EFEITO!$AA$626</f>
        <v>109.85108680853455</v>
      </c>
      <c r="P626" s="40"/>
      <c r="Q626" s="40"/>
      <c r="R626" s="40"/>
      <c r="S626" s="40"/>
      <c r="T626" s="40"/>
      <c r="U626" s="40"/>
      <c r="V626" s="40"/>
      <c r="W626" s="40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1.25" customHeight="1" x14ac:dyDescent="0.2">
      <c r="A627" s="36" t="s">
        <v>21</v>
      </c>
      <c r="B627" s="36" t="s">
        <v>33</v>
      </c>
      <c r="C627" s="36" t="s">
        <v>23</v>
      </c>
      <c r="D627" s="36" t="s">
        <v>46</v>
      </c>
      <c r="E627" s="36" t="s">
        <v>47</v>
      </c>
      <c r="F627" s="36" t="s">
        <v>25</v>
      </c>
      <c r="G627" s="36" t="s">
        <v>25</v>
      </c>
      <c r="H627" s="36" t="s">
        <v>25</v>
      </c>
      <c r="I627" s="56">
        <v>44621</v>
      </c>
      <c r="J627" s="57">
        <f>EFEITO!$J$627*EFEITO!$Y$620</f>
        <v>0</v>
      </c>
      <c r="K627" s="57">
        <f ca="1">EFEITO!$L$627*EFEITO!$Z$620</f>
        <v>6669.4675887449857</v>
      </c>
      <c r="L627" s="57">
        <f>EFEITO!$N$627*EFEITO!$AA$620</f>
        <v>3498.3865514952317</v>
      </c>
      <c r="M627" s="57">
        <f>$J$627-EFEITO!$K$627*EFEITO!$Y$627</f>
        <v>0</v>
      </c>
      <c r="N627" s="57">
        <f ca="1">$K$627-EFEITO!$M$627*EFEITO!$Z$627</f>
        <v>200.08402766235031</v>
      </c>
      <c r="O627" s="57">
        <f>$L$627-EFEITO!$O$627*EFEITO!$AA$627</f>
        <v>104.95159654485724</v>
      </c>
      <c r="P627" s="40"/>
      <c r="Q627" s="40"/>
      <c r="R627" s="40"/>
      <c r="S627" s="40"/>
      <c r="T627" s="40"/>
      <c r="U627" s="40"/>
      <c r="V627" s="40"/>
      <c r="W627" s="40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1.25" customHeight="1" x14ac:dyDescent="0.2">
      <c r="A628" s="36" t="s">
        <v>21</v>
      </c>
      <c r="B628" s="36" t="s">
        <v>33</v>
      </c>
      <c r="C628" s="36" t="s">
        <v>23</v>
      </c>
      <c r="D628" s="36" t="s">
        <v>46</v>
      </c>
      <c r="E628" s="36" t="s">
        <v>47</v>
      </c>
      <c r="F628" s="36" t="s">
        <v>25</v>
      </c>
      <c r="G628" s="36" t="s">
        <v>25</v>
      </c>
      <c r="H628" s="36" t="s">
        <v>25</v>
      </c>
      <c r="I628" s="56">
        <v>44652</v>
      </c>
      <c r="J628" s="57">
        <f>EFEITO!$J$628*EFEITO!$Y$620</f>
        <v>0</v>
      </c>
      <c r="K628" s="57">
        <f ca="1">EFEITO!$L$628*EFEITO!$Z$620</f>
        <v>7481.0015497497679</v>
      </c>
      <c r="L628" s="57">
        <f>EFEITO!$N$628*EFEITO!$AA$620</f>
        <v>3924.0666312742865</v>
      </c>
      <c r="M628" s="57">
        <f>$J$628-EFEITO!$K$628*EFEITO!$Y$628</f>
        <v>0</v>
      </c>
      <c r="N628" s="57">
        <f ca="1">$K$628-EFEITO!$M$628*EFEITO!$Z$628</f>
        <v>224.4300464924936</v>
      </c>
      <c r="O628" s="57">
        <f>$L$628-EFEITO!$O$628*EFEITO!$AA$628</f>
        <v>117.72199893822881</v>
      </c>
      <c r="P628" s="40"/>
      <c r="Q628" s="40"/>
      <c r="R628" s="40"/>
      <c r="S628" s="40"/>
      <c r="T628" s="40"/>
      <c r="U628" s="40"/>
      <c r="V628" s="40"/>
      <c r="W628" s="40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1.25" customHeight="1" x14ac:dyDescent="0.2">
      <c r="A629" s="36" t="s">
        <v>21</v>
      </c>
      <c r="B629" s="36" t="s">
        <v>33</v>
      </c>
      <c r="C629" s="36" t="s">
        <v>23</v>
      </c>
      <c r="D629" s="36" t="s">
        <v>46</v>
      </c>
      <c r="E629" s="36" t="s">
        <v>47</v>
      </c>
      <c r="F629" s="36" t="s">
        <v>25</v>
      </c>
      <c r="G629" s="36" t="s">
        <v>25</v>
      </c>
      <c r="H629" s="36" t="s">
        <v>25</v>
      </c>
      <c r="I629" s="56">
        <v>44682</v>
      </c>
      <c r="J629" s="57">
        <f>EFEITO!$J$629*EFEITO!$Y$620</f>
        <v>0</v>
      </c>
      <c r="K629" s="57">
        <f ca="1">EFEITO!$L$629*EFEITO!$Z$620</f>
        <v>7075.8161750483832</v>
      </c>
      <c r="L629" s="57">
        <f>EFEITO!$N$629*EFEITO!$AA$620</f>
        <v>3711.5316654983126</v>
      </c>
      <c r="M629" s="57">
        <f>$J$629-EFEITO!$K$629*EFEITO!$Y$629</f>
        <v>0</v>
      </c>
      <c r="N629" s="57">
        <f ca="1">$K$629-EFEITO!$M$629*EFEITO!$Z$629</f>
        <v>212.27448525145246</v>
      </c>
      <c r="O629" s="57">
        <f>$L$629-EFEITO!$O$629*EFEITO!$AA$629</f>
        <v>111.34594996494934</v>
      </c>
      <c r="P629" s="40"/>
      <c r="Q629" s="40"/>
      <c r="R629" s="40"/>
      <c r="S629" s="40"/>
      <c r="T629" s="40"/>
      <c r="U629" s="40"/>
      <c r="V629" s="40"/>
      <c r="W629" s="40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1.25" customHeight="1" x14ac:dyDescent="0.2">
      <c r="A630" s="36" t="s">
        <v>21</v>
      </c>
      <c r="B630" s="36" t="s">
        <v>33</v>
      </c>
      <c r="C630" s="36" t="s">
        <v>23</v>
      </c>
      <c r="D630" s="36" t="s">
        <v>46</v>
      </c>
      <c r="E630" s="36" t="s">
        <v>47</v>
      </c>
      <c r="F630" s="36" t="s">
        <v>25</v>
      </c>
      <c r="G630" s="36" t="s">
        <v>25</v>
      </c>
      <c r="H630" s="36" t="s">
        <v>25</v>
      </c>
      <c r="I630" s="56">
        <v>44713</v>
      </c>
      <c r="J630" s="57">
        <f>EFEITO!$J$630*EFEITO!$Y$620</f>
        <v>0</v>
      </c>
      <c r="K630" s="57">
        <f ca="1">EFEITO!$L$630*EFEITO!$Z$620</f>
        <v>7724.112774570598</v>
      </c>
      <c r="L630" s="57">
        <f>EFEITO!$N$630*EFEITO!$AA$620</f>
        <v>4051.5876107398703</v>
      </c>
      <c r="M630" s="57">
        <f>$J$630-EFEITO!$K$630*EFEITO!$Y$630</f>
        <v>0</v>
      </c>
      <c r="N630" s="57">
        <f ca="1">$K$630-EFEITO!$M$630*EFEITO!$Z$630</f>
        <v>231.72338323711847</v>
      </c>
      <c r="O630" s="57">
        <f>$L$630-EFEITO!$O$630*EFEITO!$AA$630</f>
        <v>121.54762832219649</v>
      </c>
      <c r="P630" s="40"/>
      <c r="Q630" s="40"/>
      <c r="R630" s="40"/>
      <c r="S630" s="40"/>
      <c r="T630" s="40"/>
      <c r="U630" s="40"/>
      <c r="V630" s="40"/>
      <c r="W630" s="40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1.25" customHeight="1" x14ac:dyDescent="0.2">
      <c r="A631" s="36" t="s">
        <v>21</v>
      </c>
      <c r="B631" s="36" t="s">
        <v>33</v>
      </c>
      <c r="C631" s="36" t="s">
        <v>23</v>
      </c>
      <c r="D631" s="36" t="s">
        <v>46</v>
      </c>
      <c r="E631" s="36" t="s">
        <v>47</v>
      </c>
      <c r="F631" s="36" t="s">
        <v>25</v>
      </c>
      <c r="G631" s="36" t="s">
        <v>25</v>
      </c>
      <c r="H631" s="36" t="s">
        <v>25</v>
      </c>
      <c r="I631" s="56">
        <v>44743</v>
      </c>
      <c r="J631" s="57">
        <f>EFEITO!$J$631*EFEITO!$Y$620</f>
        <v>0</v>
      </c>
      <c r="K631" s="57">
        <f ca="1">EFEITO!$L$631*EFEITO!$Z$620</f>
        <v>7543.4272390578271</v>
      </c>
      <c r="L631" s="57">
        <f>EFEITO!$N$631*EFEITO!$AA$620</f>
        <v>3956.8112527957519</v>
      </c>
      <c r="M631" s="57">
        <f>$J$631-EFEITO!$K$631*EFEITO!$Y$631</f>
        <v>0</v>
      </c>
      <c r="N631" s="57">
        <f ca="1">$K$631-EFEITO!$M$631*EFEITO!$Z$631</f>
        <v>226.30281717173511</v>
      </c>
      <c r="O631" s="57">
        <f>$L$631-EFEITO!$O$631*EFEITO!$AA$631</f>
        <v>118.70433758387298</v>
      </c>
      <c r="P631" s="40"/>
      <c r="Q631" s="40"/>
      <c r="R631" s="40"/>
      <c r="S631" s="40"/>
      <c r="T631" s="40"/>
      <c r="U631" s="40"/>
      <c r="V631" s="40"/>
      <c r="W631" s="40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1.25" customHeight="1" x14ac:dyDescent="0.2">
      <c r="A632" s="36" t="s">
        <v>21</v>
      </c>
      <c r="B632" s="36" t="s">
        <v>33</v>
      </c>
      <c r="C632" s="36" t="s">
        <v>23</v>
      </c>
      <c r="D632" s="36" t="s">
        <v>46</v>
      </c>
      <c r="E632" s="36" t="s">
        <v>47</v>
      </c>
      <c r="F632" s="36" t="s">
        <v>25</v>
      </c>
      <c r="G632" s="36" t="s">
        <v>25</v>
      </c>
      <c r="H632" s="36" t="s">
        <v>25</v>
      </c>
      <c r="I632" s="56">
        <v>44774</v>
      </c>
      <c r="J632" s="57">
        <f>EFEITO!$J$632*EFEITO!$Y$620</f>
        <v>0</v>
      </c>
      <c r="K632" s="57">
        <f ca="1">EFEITO!$L$632*EFEITO!$Z$620</f>
        <v>7531.4073858370211</v>
      </c>
      <c r="L632" s="57">
        <f>EFEITO!$N$632*EFEITO!$AA$620</f>
        <v>3950.5063877823022</v>
      </c>
      <c r="M632" s="57">
        <f>$J$632-EFEITO!$K$632*EFEITO!$Y$632</f>
        <v>0</v>
      </c>
      <c r="N632" s="57">
        <f ca="1">$K$632-EFEITO!$M$632*EFEITO!$Z$632</f>
        <v>225.94222157511103</v>
      </c>
      <c r="O632" s="57">
        <f>$L$632-EFEITO!$O$632*EFEITO!$AA$632</f>
        <v>118.51519163346939</v>
      </c>
      <c r="P632" s="40"/>
      <c r="Q632" s="40"/>
      <c r="R632" s="40"/>
      <c r="S632" s="40"/>
      <c r="T632" s="40"/>
      <c r="U632" s="40"/>
      <c r="V632" s="40"/>
      <c r="W632" s="40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1.25" customHeight="1" x14ac:dyDescent="0.2">
      <c r="A633" s="36" t="s">
        <v>21</v>
      </c>
      <c r="B633" s="36" t="s">
        <v>43</v>
      </c>
      <c r="C633" s="36" t="s">
        <v>23</v>
      </c>
      <c r="D633" s="36" t="s">
        <v>44</v>
      </c>
      <c r="E633" s="36" t="s">
        <v>45</v>
      </c>
      <c r="F633" s="36" t="s">
        <v>25</v>
      </c>
      <c r="G633" s="36" t="s">
        <v>25</v>
      </c>
      <c r="H633" s="36" t="s">
        <v>25</v>
      </c>
      <c r="I633" s="56">
        <v>44440</v>
      </c>
      <c r="J633" s="57">
        <f>EFEITO!$J$633*EFEITO!$Y$633</f>
        <v>0</v>
      </c>
      <c r="K633" s="57">
        <f ca="1">EFEITO!$L$633*EFEITO!$Z$633</f>
        <v>101552.46348324942</v>
      </c>
      <c r="L633" s="57">
        <f>EFEITO!$N$633*EFEITO!$AA$633</f>
        <v>53268.085914465417</v>
      </c>
      <c r="M633" s="57">
        <f>$J$633-EFEITO!$K$633*EFEITO!$Y$633</f>
        <v>0</v>
      </c>
      <c r="N633" s="57">
        <f ca="1">$K$633-EFEITO!$M$633*EFEITO!$Z$633</f>
        <v>0</v>
      </c>
      <c r="O633" s="57">
        <f>$L$633-EFEITO!$O$633*EFEITO!$AA$633</f>
        <v>0</v>
      </c>
      <c r="P633" s="40"/>
      <c r="Q633" s="40"/>
      <c r="R633" s="40"/>
      <c r="S633" s="40"/>
      <c r="T633" s="40"/>
      <c r="U633" s="40"/>
      <c r="V633" s="40"/>
      <c r="W633" s="40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1.25" customHeight="1" x14ac:dyDescent="0.2">
      <c r="A634" s="36" t="s">
        <v>21</v>
      </c>
      <c r="B634" s="36" t="s">
        <v>43</v>
      </c>
      <c r="C634" s="36" t="s">
        <v>23</v>
      </c>
      <c r="D634" s="36" t="s">
        <v>44</v>
      </c>
      <c r="E634" s="36" t="s">
        <v>45</v>
      </c>
      <c r="F634" s="36" t="s">
        <v>25</v>
      </c>
      <c r="G634" s="36" t="s">
        <v>25</v>
      </c>
      <c r="H634" s="36" t="s">
        <v>25</v>
      </c>
      <c r="I634" s="56">
        <v>44470</v>
      </c>
      <c r="J634" s="57">
        <f>EFEITO!$J$634*EFEITO!$Y$634</f>
        <v>0</v>
      </c>
      <c r="K634" s="57">
        <f ca="1">EFEITO!$L$634*EFEITO!$Z$634</f>
        <v>101701.74230550781</v>
      </c>
      <c r="L634" s="57">
        <f>EFEITO!$N$634*EFEITO!$AA$634</f>
        <v>53346.388270277617</v>
      </c>
      <c r="M634" s="57">
        <f>$J$634-EFEITO!$K$634*EFEITO!$Y$634</f>
        <v>0</v>
      </c>
      <c r="N634" s="57">
        <f ca="1">$K$634-EFEITO!$M$634*EFEITO!$Z$634</f>
        <v>0</v>
      </c>
      <c r="O634" s="57">
        <f>$L$634-EFEITO!$O$634*EFEITO!$AA$634</f>
        <v>0</v>
      </c>
      <c r="P634" s="40"/>
      <c r="Q634" s="40"/>
      <c r="R634" s="40"/>
      <c r="S634" s="40"/>
      <c r="T634" s="40"/>
      <c r="U634" s="40"/>
      <c r="V634" s="40"/>
      <c r="W634" s="40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1.25" customHeight="1" x14ac:dyDescent="0.2">
      <c r="A635" s="36" t="s">
        <v>21</v>
      </c>
      <c r="B635" s="36" t="s">
        <v>43</v>
      </c>
      <c r="C635" s="36" t="s">
        <v>23</v>
      </c>
      <c r="D635" s="36" t="s">
        <v>44</v>
      </c>
      <c r="E635" s="36" t="s">
        <v>45</v>
      </c>
      <c r="F635" s="36" t="s">
        <v>25</v>
      </c>
      <c r="G635" s="36" t="s">
        <v>25</v>
      </c>
      <c r="H635" s="36" t="s">
        <v>25</v>
      </c>
      <c r="I635" s="56">
        <v>44501</v>
      </c>
      <c r="J635" s="57">
        <f>EFEITO!$J$635*EFEITO!$Y$635</f>
        <v>0</v>
      </c>
      <c r="K635" s="57">
        <f ca="1">EFEITO!$L$635*EFEITO!$Z$635</f>
        <v>97492.50602874154</v>
      </c>
      <c r="L635" s="57">
        <f>EFEITO!$N$635*EFEITO!$AA$635</f>
        <v>51138.485557390166</v>
      </c>
      <c r="M635" s="57">
        <f>$J$635-EFEITO!$K$635*EFEITO!$Y$635</f>
        <v>0</v>
      </c>
      <c r="N635" s="57">
        <f ca="1">$K$635-EFEITO!$M$635*EFEITO!$Z$635</f>
        <v>0</v>
      </c>
      <c r="O635" s="57">
        <f>$L$635-EFEITO!$O$635*EFEITO!$AA$635</f>
        <v>0</v>
      </c>
      <c r="P635" s="40"/>
      <c r="Q635" s="40"/>
      <c r="R635" s="40"/>
      <c r="S635" s="40"/>
      <c r="T635" s="40"/>
      <c r="U635" s="40"/>
      <c r="V635" s="40"/>
      <c r="W635" s="40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1.25" customHeight="1" x14ac:dyDescent="0.2">
      <c r="A636" s="36" t="s">
        <v>21</v>
      </c>
      <c r="B636" s="36" t="s">
        <v>43</v>
      </c>
      <c r="C636" s="36" t="s">
        <v>23</v>
      </c>
      <c r="D636" s="36" t="s">
        <v>44</v>
      </c>
      <c r="E636" s="36" t="s">
        <v>45</v>
      </c>
      <c r="F636" s="36" t="s">
        <v>25</v>
      </c>
      <c r="G636" s="36" t="s">
        <v>25</v>
      </c>
      <c r="H636" s="36" t="s">
        <v>25</v>
      </c>
      <c r="I636" s="56">
        <v>44531</v>
      </c>
      <c r="J636" s="57">
        <f>EFEITO!$J$636*EFEITO!$Y$636</f>
        <v>0</v>
      </c>
      <c r="K636" s="57">
        <f ca="1">EFEITO!$L$636*EFEITO!$Z$636</f>
        <v>93228.676354120762</v>
      </c>
      <c r="L636" s="57">
        <f>EFEITO!$N$636*EFEITO!$AA$636</f>
        <v>48901.9465543771</v>
      </c>
      <c r="M636" s="57">
        <f>$J$636-EFEITO!$K$636*EFEITO!$Y$636</f>
        <v>0</v>
      </c>
      <c r="N636" s="57">
        <f ca="1">$K$636-EFEITO!$M$636*EFEITO!$Z$636</f>
        <v>0</v>
      </c>
      <c r="O636" s="57">
        <f>$L$636-EFEITO!$O$636*EFEITO!$AA$636</f>
        <v>0</v>
      </c>
      <c r="P636" s="40"/>
      <c r="Q636" s="40"/>
      <c r="R636" s="40"/>
      <c r="S636" s="40"/>
      <c r="T636" s="40"/>
      <c r="U636" s="40"/>
      <c r="V636" s="40"/>
      <c r="W636" s="40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1.25" customHeight="1" x14ac:dyDescent="0.2">
      <c r="A637" s="36" t="s">
        <v>21</v>
      </c>
      <c r="B637" s="36" t="s">
        <v>43</v>
      </c>
      <c r="C637" s="36" t="s">
        <v>23</v>
      </c>
      <c r="D637" s="36" t="s">
        <v>44</v>
      </c>
      <c r="E637" s="36" t="s">
        <v>45</v>
      </c>
      <c r="F637" s="36" t="s">
        <v>25</v>
      </c>
      <c r="G637" s="36" t="s">
        <v>25</v>
      </c>
      <c r="H637" s="36" t="s">
        <v>25</v>
      </c>
      <c r="I637" s="56">
        <v>44562</v>
      </c>
      <c r="J637" s="57">
        <f>EFEITO!$J$637*EFEITO!$Y$637</f>
        <v>0</v>
      </c>
      <c r="K637" s="57">
        <f ca="1">EFEITO!$L$637*EFEITO!$Z$637</f>
        <v>87262.001828452325</v>
      </c>
      <c r="L637" s="57">
        <f>EFEITO!$N$637*EFEITO!$AA$637</f>
        <v>45772.201392563438</v>
      </c>
      <c r="M637" s="57">
        <f>$J$637-EFEITO!$K$637*EFEITO!$Y$637</f>
        <v>0</v>
      </c>
      <c r="N637" s="57">
        <f ca="1">$K$637-EFEITO!$M$637*EFEITO!$Z$637</f>
        <v>0</v>
      </c>
      <c r="O637" s="57">
        <f>$L$637-EFEITO!$O$637*EFEITO!$AA$637</f>
        <v>0</v>
      </c>
      <c r="P637" s="40"/>
      <c r="Q637" s="40"/>
      <c r="R637" s="40"/>
      <c r="S637" s="40"/>
      <c r="T637" s="40"/>
      <c r="U637" s="40"/>
      <c r="V637" s="40"/>
      <c r="W637" s="40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1.25" customHeight="1" x14ac:dyDescent="0.2">
      <c r="A638" s="36" t="s">
        <v>21</v>
      </c>
      <c r="B638" s="36" t="s">
        <v>43</v>
      </c>
      <c r="C638" s="36" t="s">
        <v>23</v>
      </c>
      <c r="D638" s="36" t="s">
        <v>44</v>
      </c>
      <c r="E638" s="36" t="s">
        <v>45</v>
      </c>
      <c r="F638" s="36" t="s">
        <v>25</v>
      </c>
      <c r="G638" s="36" t="s">
        <v>25</v>
      </c>
      <c r="H638" s="36" t="s">
        <v>25</v>
      </c>
      <c r="I638" s="56">
        <v>44593</v>
      </c>
      <c r="J638" s="57">
        <f>EFEITO!$J$638*EFEITO!$Y$638</f>
        <v>0</v>
      </c>
      <c r="K638" s="57">
        <f ca="1">EFEITO!$L$638*EFEITO!$Z$638</f>
        <v>79391.595808068494</v>
      </c>
      <c r="L638" s="57">
        <f>EFEITO!$N$638*EFEITO!$AA$638</f>
        <v>41643.877473127613</v>
      </c>
      <c r="M638" s="57">
        <f>$J$638-EFEITO!$K$638*EFEITO!$Y$638</f>
        <v>0</v>
      </c>
      <c r="N638" s="57">
        <f ca="1">$K$638-EFEITO!$M$638*EFEITO!$Z$638</f>
        <v>0</v>
      </c>
      <c r="O638" s="57">
        <f>$L$638-EFEITO!$O$638*EFEITO!$AA$638</f>
        <v>0</v>
      </c>
      <c r="P638" s="40"/>
      <c r="Q638" s="40"/>
      <c r="R638" s="40"/>
      <c r="S638" s="40"/>
      <c r="T638" s="40"/>
      <c r="U638" s="40"/>
      <c r="V638" s="40"/>
      <c r="W638" s="40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1.25" customHeight="1" x14ac:dyDescent="0.2">
      <c r="A639" s="36" t="s">
        <v>21</v>
      </c>
      <c r="B639" s="36" t="s">
        <v>43</v>
      </c>
      <c r="C639" s="36" t="s">
        <v>23</v>
      </c>
      <c r="D639" s="36" t="s">
        <v>44</v>
      </c>
      <c r="E639" s="36" t="s">
        <v>45</v>
      </c>
      <c r="F639" s="36" t="s">
        <v>25</v>
      </c>
      <c r="G639" s="36" t="s">
        <v>25</v>
      </c>
      <c r="H639" s="36" t="s">
        <v>25</v>
      </c>
      <c r="I639" s="56">
        <v>44621</v>
      </c>
      <c r="J639" s="57">
        <f>EFEITO!$J$639*EFEITO!$Y$639</f>
        <v>0</v>
      </c>
      <c r="K639" s="57">
        <f ca="1">EFEITO!$L$639*EFEITO!$Z$639</f>
        <v>74607.636065607352</v>
      </c>
      <c r="L639" s="57">
        <f>EFEITO!$N$639*EFEITO!$AA$639</f>
        <v>39134.510690363189</v>
      </c>
      <c r="M639" s="57">
        <f>$J$639-EFEITO!$K$639*EFEITO!$Y$639</f>
        <v>0</v>
      </c>
      <c r="N639" s="57">
        <f ca="1">$K$639-EFEITO!$M$639*EFEITO!$Z$639</f>
        <v>0</v>
      </c>
      <c r="O639" s="57">
        <f>$L$639-EFEITO!$O$639*EFEITO!$AA$639</f>
        <v>0</v>
      </c>
      <c r="P639" s="40"/>
      <c r="Q639" s="40"/>
      <c r="R639" s="40"/>
      <c r="S639" s="40"/>
      <c r="T639" s="40"/>
      <c r="U639" s="40"/>
      <c r="V639" s="40"/>
      <c r="W639" s="40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1.25" customHeight="1" x14ac:dyDescent="0.2">
      <c r="A640" s="36" t="s">
        <v>21</v>
      </c>
      <c r="B640" s="36" t="s">
        <v>43</v>
      </c>
      <c r="C640" s="36" t="s">
        <v>23</v>
      </c>
      <c r="D640" s="36" t="s">
        <v>44</v>
      </c>
      <c r="E640" s="36" t="s">
        <v>45</v>
      </c>
      <c r="F640" s="36" t="s">
        <v>25</v>
      </c>
      <c r="G640" s="36" t="s">
        <v>25</v>
      </c>
      <c r="H640" s="36" t="s">
        <v>25</v>
      </c>
      <c r="I640" s="56">
        <v>44652</v>
      </c>
      <c r="J640" s="57">
        <f>EFEITO!$J$640*EFEITO!$Y$640</f>
        <v>0</v>
      </c>
      <c r="K640" s="57">
        <f ca="1">EFEITO!$L$640*EFEITO!$Z$640</f>
        <v>65756.041672065068</v>
      </c>
      <c r="L640" s="57">
        <f>EFEITO!$N$640*EFEITO!$AA$640</f>
        <v>34491.516572224595</v>
      </c>
      <c r="M640" s="57">
        <f>$J$640-EFEITO!$K$640*EFEITO!$Y$640</f>
        <v>0</v>
      </c>
      <c r="N640" s="57">
        <f ca="1">$K$640-EFEITO!$M$640*EFEITO!$Z$640</f>
        <v>0</v>
      </c>
      <c r="O640" s="57">
        <f>$L$640-EFEITO!$O$640*EFEITO!$AA$640</f>
        <v>0</v>
      </c>
      <c r="P640" s="40"/>
      <c r="Q640" s="40"/>
      <c r="R640" s="40"/>
      <c r="S640" s="40"/>
      <c r="T640" s="40"/>
      <c r="U640" s="40"/>
      <c r="V640" s="40"/>
      <c r="W640" s="40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1.25" customHeight="1" x14ac:dyDescent="0.2">
      <c r="A641" s="36" t="s">
        <v>21</v>
      </c>
      <c r="B641" s="36" t="s">
        <v>43</v>
      </c>
      <c r="C641" s="36" t="s">
        <v>23</v>
      </c>
      <c r="D641" s="36" t="s">
        <v>44</v>
      </c>
      <c r="E641" s="36" t="s">
        <v>45</v>
      </c>
      <c r="F641" s="36" t="s">
        <v>25</v>
      </c>
      <c r="G641" s="36" t="s">
        <v>25</v>
      </c>
      <c r="H641" s="36" t="s">
        <v>25</v>
      </c>
      <c r="I641" s="56">
        <v>44682</v>
      </c>
      <c r="J641" s="57">
        <f>EFEITO!$J$641*EFEITO!$Y$641</f>
        <v>0</v>
      </c>
      <c r="K641" s="57">
        <f ca="1">EFEITO!$L$641*EFEITO!$Z$641</f>
        <v>66917.644164695826</v>
      </c>
      <c r="L641" s="57">
        <f>EFEITO!$N$641*EFEITO!$AA$641</f>
        <v>35100.820760951821</v>
      </c>
      <c r="M641" s="57">
        <f>$J$641-EFEITO!$K$641*EFEITO!$Y$641</f>
        <v>0</v>
      </c>
      <c r="N641" s="57">
        <f ca="1">$K$641-EFEITO!$M$641*EFEITO!$Z$641</f>
        <v>0</v>
      </c>
      <c r="O641" s="57">
        <f>$L$641-EFEITO!$O$641*EFEITO!$AA$641</f>
        <v>0</v>
      </c>
      <c r="P641" s="40"/>
      <c r="Q641" s="40"/>
      <c r="R641" s="40"/>
      <c r="S641" s="40"/>
      <c r="T641" s="40"/>
      <c r="U641" s="40"/>
      <c r="V641" s="40"/>
      <c r="W641" s="40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1.25" customHeight="1" x14ac:dyDescent="0.2">
      <c r="A642" s="36" t="s">
        <v>21</v>
      </c>
      <c r="B642" s="36" t="s">
        <v>43</v>
      </c>
      <c r="C642" s="36" t="s">
        <v>23</v>
      </c>
      <c r="D642" s="36" t="s">
        <v>44</v>
      </c>
      <c r="E642" s="36" t="s">
        <v>45</v>
      </c>
      <c r="F642" s="36" t="s">
        <v>25</v>
      </c>
      <c r="G642" s="36" t="s">
        <v>25</v>
      </c>
      <c r="H642" s="36" t="s">
        <v>25</v>
      </c>
      <c r="I642" s="56">
        <v>44713</v>
      </c>
      <c r="J642" s="57">
        <f>EFEITO!$J$642*EFEITO!$Y$642</f>
        <v>0</v>
      </c>
      <c r="K642" s="57">
        <f ca="1">EFEITO!$L$642*EFEITO!$Z$642</f>
        <v>65776.727451720872</v>
      </c>
      <c r="L642" s="57">
        <f>EFEITO!$N$642*EFEITO!$AA$642</f>
        <v>34502.36704153</v>
      </c>
      <c r="M642" s="57">
        <f>$J$642-EFEITO!$K$642*EFEITO!$Y$642</f>
        <v>0</v>
      </c>
      <c r="N642" s="57">
        <f ca="1">$K$642-EFEITO!$M$642*EFEITO!$Z$642</f>
        <v>0</v>
      </c>
      <c r="O642" s="57">
        <f>$L$642-EFEITO!$O$642*EFEITO!$AA$642</f>
        <v>0</v>
      </c>
      <c r="P642" s="40"/>
      <c r="Q642" s="40"/>
      <c r="R642" s="40"/>
      <c r="S642" s="40"/>
      <c r="T642" s="40"/>
      <c r="U642" s="40"/>
      <c r="V642" s="40"/>
      <c r="W642" s="40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1.25" customHeight="1" x14ac:dyDescent="0.2">
      <c r="A643" s="36" t="s">
        <v>21</v>
      </c>
      <c r="B643" s="36" t="s">
        <v>43</v>
      </c>
      <c r="C643" s="36" t="s">
        <v>23</v>
      </c>
      <c r="D643" s="36" t="s">
        <v>44</v>
      </c>
      <c r="E643" s="36" t="s">
        <v>45</v>
      </c>
      <c r="F643" s="36" t="s">
        <v>25</v>
      </c>
      <c r="G643" s="36" t="s">
        <v>25</v>
      </c>
      <c r="H643" s="36" t="s">
        <v>25</v>
      </c>
      <c r="I643" s="56">
        <v>44743</v>
      </c>
      <c r="J643" s="57">
        <f>EFEITO!$J$643*EFEITO!$Y$643</f>
        <v>0</v>
      </c>
      <c r="K643" s="57">
        <f ca="1">EFEITO!$L$643*EFEITO!$Z$643</f>
        <v>67940.843863547008</v>
      </c>
      <c r="L643" s="57">
        <f>EFEITO!$N$643*EFEITO!$AA$643</f>
        <v>35637.527479790304</v>
      </c>
      <c r="M643" s="57">
        <f>$J$643-EFEITO!$K$643*EFEITO!$Y$643</f>
        <v>0</v>
      </c>
      <c r="N643" s="57">
        <f ca="1">$K$643-EFEITO!$M$643*EFEITO!$Z$643</f>
        <v>0</v>
      </c>
      <c r="O643" s="57">
        <f>$L$643-EFEITO!$O$643*EFEITO!$AA$643</f>
        <v>0</v>
      </c>
      <c r="P643" s="40"/>
      <c r="Q643" s="40"/>
      <c r="R643" s="40"/>
      <c r="S643" s="40"/>
      <c r="T643" s="40"/>
      <c r="U643" s="40"/>
      <c r="V643" s="40"/>
      <c r="W643" s="40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1.25" customHeight="1" x14ac:dyDescent="0.2">
      <c r="A644" s="36" t="s">
        <v>21</v>
      </c>
      <c r="B644" s="36" t="s">
        <v>43</v>
      </c>
      <c r="C644" s="36" t="s">
        <v>23</v>
      </c>
      <c r="D644" s="36" t="s">
        <v>44</v>
      </c>
      <c r="E644" s="36" t="s">
        <v>45</v>
      </c>
      <c r="F644" s="36" t="s">
        <v>25</v>
      </c>
      <c r="G644" s="36" t="s">
        <v>25</v>
      </c>
      <c r="H644" s="36" t="s">
        <v>25</v>
      </c>
      <c r="I644" s="56">
        <v>44774</v>
      </c>
      <c r="J644" s="57">
        <f>EFEITO!$J$644*EFEITO!$Y$644</f>
        <v>0</v>
      </c>
      <c r="K644" s="57">
        <f ca="1">EFEITO!$L$644*EFEITO!$Z$644</f>
        <v>68146.208871882496</v>
      </c>
      <c r="L644" s="57">
        <f>EFEITO!$N$644*EFEITO!$AA$644</f>
        <v>35745.249149286232</v>
      </c>
      <c r="M644" s="57">
        <f>$J$644-EFEITO!$K$644*EFEITO!$Y$644</f>
        <v>0</v>
      </c>
      <c r="N644" s="57">
        <f ca="1">$K$644-EFEITO!$M$644*EFEITO!$Z$644</f>
        <v>0</v>
      </c>
      <c r="O644" s="57">
        <f>$L$644-EFEITO!$O$644*EFEITO!$AA$644</f>
        <v>0</v>
      </c>
      <c r="P644" s="40"/>
      <c r="Q644" s="40"/>
      <c r="R644" s="40"/>
      <c r="S644" s="40"/>
      <c r="T644" s="40"/>
      <c r="U644" s="40"/>
      <c r="V644" s="40"/>
      <c r="W644" s="40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E99-1ED0-4872-927C-4E0932CCDB9A}">
  <sheetPr codeName="Planilha23"/>
  <dimension ref="A1:BD109"/>
  <sheetViews>
    <sheetView showGridLines="0" topLeftCell="B32" workbookViewId="0">
      <selection activeCell="L56" sqref="L56:BD109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00" t="s">
        <v>72</v>
      </c>
      <c r="B1" s="100" t="s">
        <v>73</v>
      </c>
      <c r="C1" s="100" t="s">
        <v>74</v>
      </c>
      <c r="D1" s="100" t="s">
        <v>75</v>
      </c>
      <c r="E1" s="100" t="s">
        <v>76</v>
      </c>
      <c r="F1" s="100" t="s">
        <v>15</v>
      </c>
      <c r="G1" s="100" t="s">
        <v>78</v>
      </c>
      <c r="H1" s="100" t="s">
        <v>79</v>
      </c>
      <c r="I1" s="100" t="s">
        <v>565</v>
      </c>
      <c r="J1" s="91"/>
      <c r="L1" s="99" t="s">
        <v>767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I1" s="99" t="s">
        <v>768</v>
      </c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</row>
    <row r="2" spans="1:56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91"/>
      <c r="L2" s="99" t="s">
        <v>464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I2" s="99" t="s">
        <v>464</v>
      </c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</row>
    <row r="3" spans="1:56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91"/>
      <c r="L3" s="99" t="s">
        <v>465</v>
      </c>
      <c r="M3" s="99"/>
      <c r="N3" s="99"/>
      <c r="O3" s="99"/>
      <c r="P3" s="99"/>
      <c r="Q3" s="99"/>
      <c r="R3" s="99"/>
      <c r="S3" s="99"/>
      <c r="T3" s="99" t="s">
        <v>474</v>
      </c>
      <c r="U3" s="99"/>
      <c r="V3" s="99"/>
      <c r="W3" s="99"/>
      <c r="X3" s="99"/>
      <c r="Y3" s="99"/>
      <c r="Z3" s="99"/>
      <c r="AA3" s="10" t="s">
        <v>482</v>
      </c>
      <c r="AB3" s="99" t="s">
        <v>484</v>
      </c>
      <c r="AC3" s="99"/>
      <c r="AD3" s="99" t="s">
        <v>487</v>
      </c>
      <c r="AE3" s="99"/>
      <c r="AF3" s="99"/>
      <c r="AG3" s="99"/>
      <c r="AI3" s="99" t="s">
        <v>465</v>
      </c>
      <c r="AJ3" s="99"/>
      <c r="AK3" s="99"/>
      <c r="AL3" s="99"/>
      <c r="AM3" s="99"/>
      <c r="AN3" s="99"/>
      <c r="AO3" s="99"/>
      <c r="AP3" s="99"/>
      <c r="AQ3" s="99" t="s">
        <v>474</v>
      </c>
      <c r="AR3" s="99"/>
      <c r="AS3" s="99"/>
      <c r="AT3" s="99"/>
      <c r="AU3" s="99"/>
      <c r="AV3" s="99"/>
      <c r="AW3" s="99"/>
      <c r="AX3" s="10" t="s">
        <v>482</v>
      </c>
      <c r="AY3" s="99" t="s">
        <v>484</v>
      </c>
      <c r="AZ3" s="99"/>
      <c r="BA3" s="99" t="s">
        <v>487</v>
      </c>
      <c r="BB3" s="99"/>
      <c r="BC3" s="99"/>
      <c r="BD3" s="99"/>
    </row>
    <row r="4" spans="1:56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91"/>
      <c r="L4" s="10" t="s">
        <v>550</v>
      </c>
      <c r="M4" s="10" t="s">
        <v>466</v>
      </c>
      <c r="N4" s="10" t="s">
        <v>467</v>
      </c>
      <c r="O4" s="10" t="s">
        <v>468</v>
      </c>
      <c r="P4" s="10" t="s">
        <v>469</v>
      </c>
      <c r="Q4" s="10" t="s">
        <v>470</v>
      </c>
      <c r="R4" s="10" t="s">
        <v>471</v>
      </c>
      <c r="S4" s="10" t="s">
        <v>472</v>
      </c>
      <c r="T4" s="10" t="s">
        <v>475</v>
      </c>
      <c r="U4" s="10" t="s">
        <v>476</v>
      </c>
      <c r="V4" s="10" t="s">
        <v>477</v>
      </c>
      <c r="W4" s="10" t="s">
        <v>478</v>
      </c>
      <c r="X4" s="10" t="s">
        <v>479</v>
      </c>
      <c r="Y4" s="10" t="s">
        <v>480</v>
      </c>
      <c r="Z4" s="10" t="s">
        <v>481</v>
      </c>
      <c r="AA4" s="10" t="s">
        <v>483</v>
      </c>
      <c r="AB4" s="10" t="s">
        <v>485</v>
      </c>
      <c r="AC4" s="10" t="s">
        <v>486</v>
      </c>
      <c r="AD4" s="10" t="s">
        <v>488</v>
      </c>
      <c r="AE4" s="10" t="s">
        <v>489</v>
      </c>
      <c r="AF4" s="10" t="s">
        <v>490</v>
      </c>
      <c r="AG4" s="10" t="s">
        <v>491</v>
      </c>
      <c r="AI4" s="10" t="s">
        <v>550</v>
      </c>
      <c r="AJ4" s="10" t="s">
        <v>466</v>
      </c>
      <c r="AK4" s="10" t="s">
        <v>467</v>
      </c>
      <c r="AL4" s="10" t="s">
        <v>468</v>
      </c>
      <c r="AM4" s="10" t="s">
        <v>469</v>
      </c>
      <c r="AN4" s="10" t="s">
        <v>470</v>
      </c>
      <c r="AO4" s="10" t="s">
        <v>471</v>
      </c>
      <c r="AP4" s="10" t="s">
        <v>472</v>
      </c>
      <c r="AQ4" s="10" t="s">
        <v>475</v>
      </c>
      <c r="AR4" s="10" t="s">
        <v>476</v>
      </c>
      <c r="AS4" s="10" t="s">
        <v>477</v>
      </c>
      <c r="AT4" s="10" t="s">
        <v>478</v>
      </c>
      <c r="AU4" s="10" t="s">
        <v>479</v>
      </c>
      <c r="AV4" s="10" t="s">
        <v>480</v>
      </c>
      <c r="AW4" s="10" t="s">
        <v>481</v>
      </c>
      <c r="AX4" s="10" t="s">
        <v>483</v>
      </c>
      <c r="AY4" s="10" t="s">
        <v>485</v>
      </c>
      <c r="AZ4" s="10" t="s">
        <v>486</v>
      </c>
      <c r="BA4" s="10" t="s">
        <v>488</v>
      </c>
      <c r="BB4" s="10" t="s">
        <v>489</v>
      </c>
      <c r="BC4" s="10" t="s">
        <v>490</v>
      </c>
      <c r="BD4" s="10" t="s">
        <v>491</v>
      </c>
    </row>
    <row r="5" spans="1:56" ht="11.25" customHeight="1" x14ac:dyDescent="0.25">
      <c r="A5" s="98" t="s">
        <v>35</v>
      </c>
      <c r="B5" s="98" t="s">
        <v>48</v>
      </c>
      <c r="C5" s="98" t="s">
        <v>25</v>
      </c>
      <c r="D5" s="98" t="s">
        <v>25</v>
      </c>
      <c r="E5" s="98" t="s">
        <v>25</v>
      </c>
      <c r="F5" s="98" t="s">
        <v>25</v>
      </c>
      <c r="G5" s="18" t="s">
        <v>89</v>
      </c>
      <c r="H5" s="18" t="s">
        <v>88</v>
      </c>
      <c r="I5" s="18">
        <f>'MERCADO TUSD'!$U$2</f>
        <v>1455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22.244168846610513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43.973012873109397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19.3402144035574</v>
      </c>
      <c r="AV5" s="13">
        <v>0</v>
      </c>
      <c r="AW5" s="13">
        <v>0</v>
      </c>
      <c r="AX5" s="13">
        <v>36.990925553644097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8"/>
      <c r="B6" s="98"/>
      <c r="C6" s="98"/>
      <c r="D6" s="98"/>
      <c r="E6" s="98"/>
      <c r="F6" s="98"/>
      <c r="G6" s="18" t="s">
        <v>90</v>
      </c>
      <c r="H6" s="18" t="s">
        <v>88</v>
      </c>
      <c r="I6" s="18">
        <f>'MERCADO TUSD'!$U$3</f>
        <v>1461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8.9907855267304519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12.287548314823926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7.8170798121398901</v>
      </c>
      <c r="AV6" s="13">
        <v>0</v>
      </c>
      <c r="AW6" s="13">
        <v>0</v>
      </c>
      <c r="AX6" s="13">
        <v>10.3365060922825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8"/>
      <c r="B7" s="98"/>
      <c r="C7" s="98"/>
      <c r="D7" s="98"/>
      <c r="E7" s="98"/>
      <c r="F7" s="98"/>
      <c r="G7" s="18" t="s">
        <v>87</v>
      </c>
      <c r="H7" s="18" t="s">
        <v>82</v>
      </c>
      <c r="I7" s="18">
        <f>'MERCADO TUSD'!$U$4</f>
        <v>893.7410000000001</v>
      </c>
      <c r="J7" s="15"/>
      <c r="L7" s="13">
        <f>('TUSD BE'!$L$7+'TUSD BF'!$L$7+'TUSD CVA'!$L$7)*1</f>
        <v>0</v>
      </c>
      <c r="M7" s="13">
        <f>('TUSD BE'!$M$7+'TUSD BF'!$M$7+'TUSD CVA'!$M$7)*1</f>
        <v>0.94803261709431375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78.303435258360039</v>
      </c>
      <c r="R7" s="13">
        <f>('TUSD BE'!$R$7+'TUSD BF'!$R$7+'TUSD CVA'!$R$7)*1</f>
        <v>14.709679818603398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8.686768304714624</v>
      </c>
      <c r="AE7" s="13">
        <f>('TUSD BE'!$AI$7+'TUSD BF'!$AI$7+'TUSD CVA'!$AI$7)*1</f>
        <v>0.23842371262618159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0.76044880165477602</v>
      </c>
      <c r="AK7" s="13">
        <v>0</v>
      </c>
      <c r="AL7" s="13">
        <v>0</v>
      </c>
      <c r="AM7" s="13">
        <v>0</v>
      </c>
      <c r="AN7" s="13">
        <v>50.783213720835498</v>
      </c>
      <c r="AO7" s="13">
        <v>9.0791293194196694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10.520167967820001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8"/>
      <c r="B8" s="98"/>
      <c r="C8" s="98"/>
      <c r="D8" s="98"/>
      <c r="E8" s="17" t="s">
        <v>54</v>
      </c>
      <c r="F8" s="17" t="s">
        <v>25</v>
      </c>
      <c r="G8" s="18" t="s">
        <v>87</v>
      </c>
      <c r="H8" s="18" t="s">
        <v>82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0.94803261709431375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8.686768304714624</v>
      </c>
      <c r="AE8" s="13">
        <f>('TUSD BE'!$AI$8+'TUSD BF'!$AI$8+'TUSD CVA'!$AI$8)*1</f>
        <v>0.23842371262618159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0.76044880165477602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10.520167967820001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8"/>
      <c r="B9" s="98" t="s">
        <v>56</v>
      </c>
      <c r="C9" s="98" t="s">
        <v>25</v>
      </c>
      <c r="D9" s="98" t="s">
        <v>25</v>
      </c>
      <c r="E9" s="98" t="s">
        <v>25</v>
      </c>
      <c r="F9" s="98" t="s">
        <v>58</v>
      </c>
      <c r="G9" s="18" t="s">
        <v>89</v>
      </c>
      <c r="H9" s="18" t="s">
        <v>88</v>
      </c>
      <c r="I9" s="18">
        <f>'MERCADO TUSD'!$U$6</f>
        <v>29812</v>
      </c>
      <c r="J9" s="15"/>
      <c r="L9" s="13">
        <f>('TUSD BE'!$L$9+'TUSD BF'!$L$9+'TUSD CVA'!$L$9)*1</f>
        <v>0</v>
      </c>
      <c r="M9" s="13">
        <f>('TUSD BE'!$M$9+'TUSD BF'!$M$9+'TUSD CVA'!$M$9)*1</f>
        <v>0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22.244168846610513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28.158739504332669</v>
      </c>
      <c r="AB9" s="13">
        <f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19.3402144035574</v>
      </c>
      <c r="AV9" s="13">
        <v>0</v>
      </c>
      <c r="AW9" s="13">
        <v>0</v>
      </c>
      <c r="AX9" s="13">
        <v>23.687690374052998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8"/>
      <c r="B10" s="98"/>
      <c r="C10" s="98"/>
      <c r="D10" s="98"/>
      <c r="E10" s="98"/>
      <c r="F10" s="98"/>
      <c r="G10" s="18" t="s">
        <v>90</v>
      </c>
      <c r="H10" s="18" t="s">
        <v>88</v>
      </c>
      <c r="I10" s="18">
        <f>'MERCADO TUSD'!$U$7</f>
        <v>32190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8.9907855267304519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7.868303391094603</v>
      </c>
      <c r="AB10" s="13">
        <f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7.8170798121398901</v>
      </c>
      <c r="AV10" s="13">
        <v>0</v>
      </c>
      <c r="AW10" s="13">
        <v>0</v>
      </c>
      <c r="AX10" s="13">
        <v>6.6189913528778401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8"/>
      <c r="B11" s="98"/>
      <c r="C11" s="98"/>
      <c r="D11" s="98"/>
      <c r="E11" s="98"/>
      <c r="F11" s="98"/>
      <c r="G11" s="18" t="s">
        <v>87</v>
      </c>
      <c r="H11" s="18" t="s">
        <v>82</v>
      </c>
      <c r="I11" s="18">
        <f>'MERCADO TUSD'!$U$8</f>
        <v>6243.2439999999997</v>
      </c>
      <c r="J11" s="15"/>
      <c r="L11" s="13">
        <f>('TUSD BE'!$L$11+'TUSD BF'!$L$11+'TUSD CVA'!$L$11)*1</f>
        <v>0</v>
      </c>
      <c r="M11" s="13">
        <f>('TUSD BE'!$M$11+'TUSD BF'!$M$11+'TUSD CVA'!$M$11)*1</f>
        <v>0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0</v>
      </c>
      <c r="R11" s="13">
        <f>('TUSD BE'!$R$11+'TUSD BF'!$R$11+'TUSD CVA'!$R$11)*1</f>
        <v>0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0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0</v>
      </c>
      <c r="AB11" s="13">
        <f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8.686768304714624</v>
      </c>
      <c r="AE11" s="13">
        <f>('TUSD BE'!$AI$11+'TUSD BF'!$AI$11+'TUSD CVA'!$AI$11)*1</f>
        <v>0.23842371262618159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10.520167967820001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8"/>
      <c r="B12" s="17" t="s">
        <v>60</v>
      </c>
      <c r="C12" s="17" t="s">
        <v>25</v>
      </c>
      <c r="D12" s="17" t="s">
        <v>25</v>
      </c>
      <c r="E12" s="17" t="s">
        <v>25</v>
      </c>
      <c r="F12" s="17" t="s">
        <v>25</v>
      </c>
      <c r="G12" s="18" t="s">
        <v>9</v>
      </c>
      <c r="H12" s="18" t="s">
        <v>88</v>
      </c>
      <c r="I12" s="18">
        <f>'MERCADO TUSD'!$U$9</f>
        <v>53410</v>
      </c>
      <c r="J12" s="15"/>
      <c r="L12" s="13">
        <f>('TUSD BE'!$L$12+'TUSD BF'!$L$12+'TUSD CVA'!$L$12)*1</f>
        <v>0</v>
      </c>
      <c r="M12" s="13">
        <f>('TUSD BE'!$M$12+'TUSD BF'!$M$12+'TUSD CVA'!$M$12)*1</f>
        <v>1.0857870058463987E-2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0</v>
      </c>
      <c r="R12" s="13">
        <f>('TUSD BE'!$R$12+'TUSD BF'!$R$12+'TUSD CVA'!$R$12)*1</f>
        <v>0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3.5437600329236538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0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9.8019884643351096E-3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3.5071641128871902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8"/>
      <c r="B13" s="98" t="s">
        <v>36</v>
      </c>
      <c r="C13" s="98" t="s">
        <v>25</v>
      </c>
      <c r="D13" s="98" t="s">
        <v>25</v>
      </c>
      <c r="E13" s="98" t="s">
        <v>25</v>
      </c>
      <c r="F13" s="98" t="s">
        <v>25</v>
      </c>
      <c r="G13" s="18" t="s">
        <v>9</v>
      </c>
      <c r="H13" s="18" t="s">
        <v>88</v>
      </c>
      <c r="I13" s="18">
        <f>'MERCADO TUSD'!$U$10</f>
        <v>199791</v>
      </c>
      <c r="J13" s="15"/>
      <c r="L13" s="13">
        <f>('TUSD BE'!$L$13+'TUSD BF'!$L$13+'TUSD CVA'!$L$13)*1</f>
        <v>0</v>
      </c>
      <c r="M13" s="13">
        <f>('TUSD BE'!$M$13+'TUSD BF'!$M$13+'TUSD CVA'!$M$13)*1</f>
        <v>0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8.9907855267304519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12.287548314823926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0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7.8170798121398901</v>
      </c>
      <c r="AV13" s="13">
        <v>0</v>
      </c>
      <c r="AW13" s="13">
        <v>0</v>
      </c>
      <c r="AX13" s="13">
        <v>10.3365060922825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8"/>
      <c r="B14" s="98"/>
      <c r="C14" s="98"/>
      <c r="D14" s="98"/>
      <c r="E14" s="98"/>
      <c r="F14" s="98"/>
      <c r="G14" s="18" t="s">
        <v>83</v>
      </c>
      <c r="H14" s="18" t="s">
        <v>82</v>
      </c>
      <c r="I14" s="18">
        <f>'MERCADO TUSD'!$U$11</f>
        <v>3202.3099999999995</v>
      </c>
      <c r="J14" s="15"/>
      <c r="L14" s="13">
        <f>('TUSD BE'!$L$14+'TUSD BF'!$L$14+'TUSD CVA'!$L$14)*1</f>
        <v>0</v>
      </c>
      <c r="M14" s="13">
        <f>('TUSD BE'!$M$14+'TUSD BF'!$M$14+'TUSD CVA'!$M$14)*1</f>
        <v>0.94803261709431375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78.303435258360039</v>
      </c>
      <c r="R14" s="13">
        <f>('TUSD BE'!$R$14+'TUSD BF'!$R$14+'TUSD CVA'!$R$14)*1</f>
        <v>14.709679818603398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535.18380972056798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1057.5527276837759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8.686768304714624</v>
      </c>
      <c r="AE14" s="13">
        <f>('TUSD BE'!$AI$14+'TUSD BF'!$AI$14+'TUSD CVA'!$AI$14)*1</f>
        <v>0.23842371262618159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0.76044880165477602</v>
      </c>
      <c r="AK14" s="13">
        <v>0</v>
      </c>
      <c r="AL14" s="13">
        <v>0</v>
      </c>
      <c r="AM14" s="13">
        <v>0</v>
      </c>
      <c r="AN14" s="13">
        <v>50.783213720835498</v>
      </c>
      <c r="AO14" s="13">
        <v>9.0791293194196694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465.31730528879098</v>
      </c>
      <c r="AV14" s="13">
        <v>0</v>
      </c>
      <c r="AW14" s="13">
        <v>0</v>
      </c>
      <c r="AX14" s="13">
        <v>889.63318761448897</v>
      </c>
      <c r="AY14" s="13">
        <v>0</v>
      </c>
      <c r="AZ14" s="13">
        <v>0</v>
      </c>
      <c r="BA14" s="13">
        <v>10.520167967820001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8"/>
      <c r="B15" s="98"/>
      <c r="C15" s="98"/>
      <c r="D15" s="98"/>
      <c r="E15" s="98"/>
      <c r="F15" s="98"/>
      <c r="G15" s="18" t="s">
        <v>84</v>
      </c>
      <c r="H15" s="18" t="s">
        <v>82</v>
      </c>
      <c r="I15" s="18">
        <f>'MERCADO TUSD'!$U$12</f>
        <v>42355.845999999998</v>
      </c>
      <c r="J15" s="15"/>
      <c r="L15" s="13">
        <f>('TUSD BE'!$L$15+'TUSD BF'!$L$15+'TUSD CVA'!$L$15)*1</f>
        <v>0</v>
      </c>
      <c r="M15" s="13">
        <f>('TUSD BE'!$M$15+'TUSD BF'!$M$15+'TUSD CVA'!$M$15)*1</f>
        <v>0.94803261709431375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78.303435258360039</v>
      </c>
      <c r="R15" s="13">
        <f>('TUSD BE'!$R$15+'TUSD BF'!$R$15+'TUSD CVA'!$R$15)*1</f>
        <v>14.709679818603398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0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8.686768304714624</v>
      </c>
      <c r="AE15" s="13">
        <f>('TUSD BE'!$AI$15+'TUSD BF'!$AI$15+'TUSD CVA'!$AI$15)*1</f>
        <v>0.23842371262618159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0.76044880165477602</v>
      </c>
      <c r="AK15" s="13">
        <v>0</v>
      </c>
      <c r="AL15" s="13">
        <v>0</v>
      </c>
      <c r="AM15" s="13">
        <v>0</v>
      </c>
      <c r="AN15" s="13">
        <v>50.783213720835498</v>
      </c>
      <c r="AO15" s="13">
        <v>9.0791293194196694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10.520167967820001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8"/>
      <c r="B16" s="98"/>
      <c r="C16" s="98"/>
      <c r="D16" s="98"/>
      <c r="E16" s="98" t="s">
        <v>54</v>
      </c>
      <c r="F16" s="98" t="s">
        <v>25</v>
      </c>
      <c r="G16" s="18" t="s">
        <v>83</v>
      </c>
      <c r="H16" s="18" t="s">
        <v>82</v>
      </c>
      <c r="I16" s="18">
        <f>'MERCADO TUSD'!$U$13</f>
        <v>1.032</v>
      </c>
      <c r="J16" s="15"/>
      <c r="L16" s="13">
        <f>('TUSD BE'!$L$16+'TUSD BF'!$L$16+'TUSD CVA'!$L$16)*1</f>
        <v>0</v>
      </c>
      <c r="M16" s="13">
        <f>('TUSD BE'!$M$16+'TUSD BF'!$M$16+'TUSD CVA'!$M$16)*1</f>
        <v>0.94803261709431375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535.18380972056798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1057.5527276837759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8.686768304714624</v>
      </c>
      <c r="AE16" s="13">
        <f>('TUSD BE'!$AI$16+'TUSD BF'!$AI$16+'TUSD CVA'!$AI$16)*1</f>
        <v>0.23842371262618159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0.76044880165477602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465.31730528879098</v>
      </c>
      <c r="AV16" s="13">
        <v>0</v>
      </c>
      <c r="AW16" s="13">
        <v>0</v>
      </c>
      <c r="AX16" s="13">
        <v>889.63318761448897</v>
      </c>
      <c r="AY16" s="13">
        <v>0</v>
      </c>
      <c r="AZ16" s="13">
        <v>0</v>
      </c>
      <c r="BA16" s="13">
        <v>10.520167967820001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8"/>
      <c r="B17" s="98"/>
      <c r="C17" s="98"/>
      <c r="D17" s="98"/>
      <c r="E17" s="98"/>
      <c r="F17" s="98"/>
      <c r="G17" s="18" t="s">
        <v>84</v>
      </c>
      <c r="H17" s="18" t="s">
        <v>82</v>
      </c>
      <c r="I17" s="18">
        <f>'MERCADO TUSD'!$U$14</f>
        <v>65.316000000000003</v>
      </c>
      <c r="J17" s="15"/>
      <c r="L17" s="13">
        <f>('TUSD BE'!$L$17+'TUSD BF'!$L$17+'TUSD CVA'!$L$17)*1</f>
        <v>0</v>
      </c>
      <c r="M17" s="13">
        <f>('TUSD BE'!$M$17+'TUSD BF'!$M$17+'TUSD CVA'!$M$17)*1</f>
        <v>0.94803261709431375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0</v>
      </c>
      <c r="R17" s="13">
        <f>('TUSD BE'!$R$17+'TUSD BF'!$R$17+'TUSD CVA'!$R$17)*1</f>
        <v>0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0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0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8.686768304714624</v>
      </c>
      <c r="AE17" s="13">
        <f>('TUSD BE'!$AI$17+'TUSD BF'!$AI$17+'TUSD CVA'!$AI$17)*1</f>
        <v>0.23842371262618159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0.76044880165477602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10.520167967820001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8" t="s">
        <v>92</v>
      </c>
      <c r="B18" s="98" t="s">
        <v>60</v>
      </c>
      <c r="C18" s="98" t="s">
        <v>25</v>
      </c>
      <c r="D18" s="98" t="s">
        <v>25</v>
      </c>
      <c r="E18" s="17" t="s">
        <v>93</v>
      </c>
      <c r="F18" s="17" t="s">
        <v>25</v>
      </c>
      <c r="G18" s="18" t="s">
        <v>9</v>
      </c>
      <c r="H18" s="18" t="s">
        <v>88</v>
      </c>
      <c r="I18" s="18">
        <f>'MERCADO TUSD'!$U$15+0.00000001</f>
        <v>1E-8</v>
      </c>
      <c r="J18" s="15"/>
      <c r="L18" s="13">
        <f>('TUSD BE'!$L$18+'TUSD BF'!$L$18+'TUSD CVA'!$L$18)*1</f>
        <v>0</v>
      </c>
      <c r="M18" s="13">
        <f>('TUSD BE'!$M$18+'TUSD BF'!$M$18+'TUSD CVA'!$M$18)*1</f>
        <v>1.1171077848611988E-2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0</v>
      </c>
      <c r="R18" s="13">
        <f>('TUSD BE'!$R$18+'TUSD BF'!$R$18+'TUSD CVA'!$R$18)*1</f>
        <v>0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0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5.734006215390183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0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1.0090282242697901E-2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4.8235406963428202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8"/>
      <c r="B19" s="98"/>
      <c r="C19" s="98"/>
      <c r="D19" s="98"/>
      <c r="E19" s="17" t="s">
        <v>94</v>
      </c>
      <c r="F19" s="17" t="s">
        <v>25</v>
      </c>
      <c r="G19" s="18" t="s">
        <v>9</v>
      </c>
      <c r="H19" s="18" t="s">
        <v>88</v>
      </c>
      <c r="I19" s="18">
        <f>'MERCADO TUSD'!$U$16+0.00000001</f>
        <v>1E-8</v>
      </c>
      <c r="J19" s="15"/>
      <c r="L19" s="13">
        <f>('TUSD BE'!$L$19+'TUSD BF'!$L$19+'TUSD CVA'!$L$19)*1</f>
        <v>0</v>
      </c>
      <c r="M19" s="13">
        <f>('TUSD BE'!$M$19+'TUSD BF'!$M$19+'TUSD CVA'!$M$19)*1</f>
        <v>1.1171077848611988E-2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0</v>
      </c>
      <c r="R19" s="13">
        <f>('TUSD BE'!$R$19+'TUSD BF'!$R$19+'TUSD CVA'!$R$19)*1</f>
        <v>0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0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11.6659734186313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0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1.0090282242697901E-2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9.8136524041697193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8" t="s">
        <v>22</v>
      </c>
      <c r="B20" s="98" t="s">
        <v>97</v>
      </c>
      <c r="C20" s="98" t="s">
        <v>24</v>
      </c>
      <c r="D20" s="98" t="s">
        <v>24</v>
      </c>
      <c r="E20" s="98" t="s">
        <v>25</v>
      </c>
      <c r="F20" s="98" t="s">
        <v>25</v>
      </c>
      <c r="G20" s="18" t="s">
        <v>83</v>
      </c>
      <c r="H20" s="18" t="s">
        <v>82</v>
      </c>
      <c r="I20" s="18">
        <f>'MERCADO TUSD'!$U$17</f>
        <v>0</v>
      </c>
      <c r="J20" s="15"/>
      <c r="L20" s="13">
        <f>('TUSD BE'!$L$20+'TUSD BF'!$L$20+'TUSD CVA'!$L$20)*1</f>
        <v>0</v>
      </c>
      <c r="M20" s="13">
        <f>('TUSD BE'!$M$20+'TUSD BF'!$M$20+'TUSD CVA'!$M$20)*1</f>
        <v>1.1501202344605066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93.218375307571478</v>
      </c>
      <c r="R20" s="13">
        <f>('TUSD BE'!$R$20+'TUSD BF'!$R$20+'TUSD CVA'!$R$20)*1</f>
        <v>14.709679818603398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195.93431841792042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494.11942573615244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22.499110639816731</v>
      </c>
      <c r="AE20" s="13">
        <f>('TUSD BE'!$AI$20+'TUSD BF'!$AI$20+'TUSD CVA'!$AI$20)*1</f>
        <v>0.61752786552634498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0.93320420305005902</v>
      </c>
      <c r="AK20" s="13">
        <v>0</v>
      </c>
      <c r="AL20" s="13">
        <v>0</v>
      </c>
      <c r="AM20" s="13">
        <v>0</v>
      </c>
      <c r="AN20" s="13">
        <v>58.371510023948801</v>
      </c>
      <c r="AO20" s="13">
        <v>9.0791293194196694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170.35576495579099</v>
      </c>
      <c r="AV20" s="13">
        <v>0</v>
      </c>
      <c r="AW20" s="13">
        <v>0</v>
      </c>
      <c r="AX20" s="13">
        <v>415.662566801835</v>
      </c>
      <c r="AY20" s="13">
        <v>0</v>
      </c>
      <c r="AZ20" s="13">
        <v>0</v>
      </c>
      <c r="BA20" s="13">
        <v>27.247707505056098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8"/>
      <c r="B21" s="98"/>
      <c r="C21" s="98"/>
      <c r="D21" s="98"/>
      <c r="E21" s="98"/>
      <c r="F21" s="98"/>
      <c r="G21" s="18" t="s">
        <v>95</v>
      </c>
      <c r="H21" s="18" t="s">
        <v>82</v>
      </c>
      <c r="I21" s="18">
        <f>'MERCADO TUSD'!$U$18</f>
        <v>0</v>
      </c>
      <c r="J21" s="15"/>
      <c r="L21" s="13">
        <f>('TUSD BE'!$L$21+'TUSD BF'!$L$21+'TUSD CVA'!$L$21)*1</f>
        <v>0</v>
      </c>
      <c r="M21" s="13">
        <f>('TUSD BE'!$M$21+'TUSD BF'!$M$21+'TUSD CVA'!$M$21)*1</f>
        <v>1.1501202344605066</v>
      </c>
      <c r="N21" s="13">
        <f ca="1">('TUSD BE'!$N$21+'TUSD BF'!$N$21+'TUSD CVA'!$N$21)*1</f>
        <v>0</v>
      </c>
      <c r="O21" s="13">
        <f>('TUSD BE'!$O$21+'TUSD BF'!$O$21+'TUSD CVA'!$O$21)*1</f>
        <v>0</v>
      </c>
      <c r="P21" s="13">
        <f>('TUSD BE'!$P$21+'TUSD BF'!$P$21+'TUSD CVA'!$P$21)*1</f>
        <v>0</v>
      </c>
      <c r="Q21" s="13">
        <f>('TUSD BE'!$Q$21+'TUSD BF'!$Q$21+'TUSD CVA'!$Q$21)*1</f>
        <v>93.218375307571478</v>
      </c>
      <c r="R21" s="13">
        <f>('TUSD BE'!$R$21+'TUSD BF'!$R$21+'TUSD CVA'!$R$21)*1</f>
        <v>14.709679818603398</v>
      </c>
      <c r="S21" s="13">
        <f>('TUSD BE'!$S$21+'TUSD BF'!$S$21+'TUSD CVA'!$S$21)*1</f>
        <v>0</v>
      </c>
      <c r="T21" s="13">
        <f>('TUSD BE'!$U$21+'TUSD BF'!$U$21+'TUSD CVA'!$U$21)*1</f>
        <v>0</v>
      </c>
      <c r="U21" s="13">
        <f>('TUSD BE'!$V$21+'TUSD BF'!$V$21+'TUSD CVA'!$V$21)*1</f>
        <v>0</v>
      </c>
      <c r="V21" s="13">
        <f>('TUSD BE'!$W$21+'TUSD BF'!$W$21+'TUSD CVA'!$W$21)*1</f>
        <v>0</v>
      </c>
      <c r="W21" s="13">
        <f>('TUSD BE'!$X$21+'TUSD BF'!$X$21+'TUSD CVA'!$X$21)*1</f>
        <v>0</v>
      </c>
      <c r="X21" s="13">
        <f>('TUSD BE'!$Y$21+'TUSD BF'!$Y$21+'TUSD CVA'!$Y$21)*1</f>
        <v>117.56061518708924</v>
      </c>
      <c r="Y21" s="13">
        <f>('TUSD BE'!$Z$21+'TUSD BF'!$Z$21+'TUSD CVA'!$Z$21)*1</f>
        <v>0</v>
      </c>
      <c r="Z21" s="13">
        <f>('TUSD BE'!$AA$21+'TUSD BF'!$AA$21+'TUSD CVA'!$AA$21)*1</f>
        <v>0</v>
      </c>
      <c r="AA21" s="13">
        <f>('TUSD BE'!$AC$21+'TUSD BF'!$AC$21+'TUSD CVA'!$AC$21)*1</f>
        <v>296.47184920448547</v>
      </c>
      <c r="AB21" s="13">
        <f ca="1">('TUSD BE'!$AE$21+'TUSD BF'!$AE$21+'TUSD CVA'!$AE$21)*1</f>
        <v>0</v>
      </c>
      <c r="AC21" s="13">
        <f ca="1">('TUSD BE'!$AF$21+'TUSD BF'!$AF$21+'TUSD CVA'!$AF$21)*1</f>
        <v>0</v>
      </c>
      <c r="AD21" s="13">
        <f>('TUSD BE'!$AH$21+'TUSD BF'!$AH$21+'TUSD CVA'!$AH$21)*1</f>
        <v>22.499110639816731</v>
      </c>
      <c r="AE21" s="13">
        <f>('TUSD BE'!$AI$21+'TUSD BF'!$AI$21+'TUSD CVA'!$AI$21)*1</f>
        <v>0.61752786552634498</v>
      </c>
      <c r="AF21" s="13">
        <f ca="1">('TUSD BE'!$AJ$21+'TUSD BF'!$AJ$21+'TUSD CVA'!$AJ$21)*1</f>
        <v>0</v>
      </c>
      <c r="AG21" s="13">
        <f ca="1">('TUSD BE'!$AK$21+'TUSD BF'!$AK$21+'TUSD CVA'!$AK$21)*1</f>
        <v>0</v>
      </c>
      <c r="AI21" s="13">
        <v>0</v>
      </c>
      <c r="AJ21" s="13">
        <v>0.93320420305005902</v>
      </c>
      <c r="AK21" s="13">
        <v>0</v>
      </c>
      <c r="AL21" s="13">
        <v>0</v>
      </c>
      <c r="AM21" s="13">
        <v>0</v>
      </c>
      <c r="AN21" s="13">
        <v>58.371510023948801</v>
      </c>
      <c r="AO21" s="13">
        <v>9.0791293194196694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102.213502932254</v>
      </c>
      <c r="AV21" s="13">
        <v>0</v>
      </c>
      <c r="AW21" s="13">
        <v>0</v>
      </c>
      <c r="AX21" s="13">
        <v>249.39766516571501</v>
      </c>
      <c r="AY21" s="13">
        <v>0</v>
      </c>
      <c r="AZ21" s="13">
        <v>0</v>
      </c>
      <c r="BA21" s="13">
        <v>27.247707505056098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8"/>
      <c r="B22" s="98"/>
      <c r="C22" s="98"/>
      <c r="D22" s="98"/>
      <c r="E22" s="98"/>
      <c r="F22" s="98"/>
      <c r="G22" s="18" t="s">
        <v>84</v>
      </c>
      <c r="H22" s="18" t="s">
        <v>82</v>
      </c>
      <c r="I22" s="18">
        <f>'MERCADO TUSD'!$U$19</f>
        <v>0</v>
      </c>
      <c r="J22" s="15"/>
      <c r="L22" s="13">
        <f>('TUSD BE'!$L$22+'TUSD BF'!$L$22+'TUSD CVA'!$L$22)*1</f>
        <v>0</v>
      </c>
      <c r="M22" s="13">
        <f>('TUSD BE'!$M$22+'TUSD BF'!$M$22+'TUSD CVA'!$M$22)*1</f>
        <v>1.1501202344605066</v>
      </c>
      <c r="N22" s="13">
        <f ca="1">('TUSD BE'!$N$22+'TUSD BF'!$N$22+'TUSD CVA'!$N$22)*1</f>
        <v>0</v>
      </c>
      <c r="O22" s="13">
        <f>('TUSD BE'!$O$22+'TUSD BF'!$O$22+'TUSD CVA'!$O$22)*1</f>
        <v>0</v>
      </c>
      <c r="P22" s="13">
        <f>('TUSD BE'!$P$22+'TUSD BF'!$P$22+'TUSD CVA'!$P$22)*1</f>
        <v>0</v>
      </c>
      <c r="Q22" s="13">
        <f>('TUSD BE'!$Q$22+'TUSD BF'!$Q$22+'TUSD CVA'!$Q$22)*1</f>
        <v>93.218375307571478</v>
      </c>
      <c r="R22" s="13">
        <f>('TUSD BE'!$R$22+'TUSD BF'!$R$22+'TUSD CVA'!$R$22)*1</f>
        <v>14.709679818603398</v>
      </c>
      <c r="S22" s="13">
        <f>('TUSD BE'!$S$22+'TUSD BF'!$S$22+'TUSD CVA'!$S$22)*1</f>
        <v>0</v>
      </c>
      <c r="T22" s="13">
        <f>('TUSD BE'!$U$22+'TUSD BF'!$U$22+'TUSD CVA'!$U$22)*1</f>
        <v>0</v>
      </c>
      <c r="U22" s="13">
        <f>('TUSD BE'!$V$22+'TUSD BF'!$V$22+'TUSD CVA'!$V$22)*1</f>
        <v>0</v>
      </c>
      <c r="V22" s="13">
        <f>('TUSD BE'!$W$22+'TUSD BF'!$W$22+'TUSD CVA'!$W$22)*1</f>
        <v>0</v>
      </c>
      <c r="W22" s="13">
        <f>('TUSD BE'!$X$22+'TUSD BF'!$X$22+'TUSD CVA'!$X$22)*1</f>
        <v>0</v>
      </c>
      <c r="X22" s="13">
        <f>('TUSD BE'!$Y$22+'TUSD BF'!$Y$22+'TUSD CVA'!$Y$22)*1</f>
        <v>39.222754416680047</v>
      </c>
      <c r="Y22" s="13">
        <f>('TUSD BE'!$Z$22+'TUSD BF'!$Z$22+'TUSD CVA'!$Z$22)*1</f>
        <v>0</v>
      </c>
      <c r="Z22" s="13">
        <f>('TUSD BE'!$AA$22+'TUSD BF'!$AA$22+'TUSD CVA'!$AA$22)*1</f>
        <v>0</v>
      </c>
      <c r="AA22" s="13">
        <f>('TUSD BE'!$AC$22+'TUSD BF'!$AC$22+'TUSD CVA'!$AC$22)*1</f>
        <v>98.823788265833514</v>
      </c>
      <c r="AB22" s="13">
        <f ca="1">('TUSD BE'!$AE$22+'TUSD BF'!$AE$22+'TUSD CVA'!$AE$22)*1</f>
        <v>0</v>
      </c>
      <c r="AC22" s="13">
        <f ca="1">('TUSD BE'!$AF$22+'TUSD BF'!$AF$22+'TUSD CVA'!$AF$22)*1</f>
        <v>0</v>
      </c>
      <c r="AD22" s="13">
        <f>('TUSD BE'!$AH$22+'TUSD BF'!$AH$22+'TUSD CVA'!$AH$22)*1</f>
        <v>22.499110639816731</v>
      </c>
      <c r="AE22" s="13">
        <f>('TUSD BE'!$AI$22+'TUSD BF'!$AI$22+'TUSD CVA'!$AI$22)*1</f>
        <v>0.61752786552634498</v>
      </c>
      <c r="AF22" s="13">
        <f ca="1">('TUSD BE'!$AJ$22+'TUSD BF'!$AJ$22+'TUSD CVA'!$AJ$22)*1</f>
        <v>0</v>
      </c>
      <c r="AG22" s="13">
        <f ca="1">('TUSD BE'!$AK$22+'TUSD BF'!$AK$22+'TUSD CVA'!$AK$22)*1</f>
        <v>0</v>
      </c>
      <c r="AI22" s="13">
        <v>0</v>
      </c>
      <c r="AJ22" s="13">
        <v>0.93320420305005902</v>
      </c>
      <c r="AK22" s="13">
        <v>0</v>
      </c>
      <c r="AL22" s="13">
        <v>0</v>
      </c>
      <c r="AM22" s="13">
        <v>0</v>
      </c>
      <c r="AN22" s="13">
        <v>58.371510023948801</v>
      </c>
      <c r="AO22" s="13">
        <v>9.0791293194196694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34.102341745016297</v>
      </c>
      <c r="AV22" s="13">
        <v>0</v>
      </c>
      <c r="AW22" s="13">
        <v>0</v>
      </c>
      <c r="AX22" s="13">
        <v>83.132416072333598</v>
      </c>
      <c r="AY22" s="13">
        <v>0</v>
      </c>
      <c r="AZ22" s="13">
        <v>0</v>
      </c>
      <c r="BA22" s="13">
        <v>27.247707505056098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8"/>
      <c r="B23" s="98" t="s">
        <v>23</v>
      </c>
      <c r="C23" s="98" t="s">
        <v>24</v>
      </c>
      <c r="D23" s="17" t="s">
        <v>24</v>
      </c>
      <c r="E23" s="17" t="s">
        <v>25</v>
      </c>
      <c r="F23" s="17" t="s">
        <v>25</v>
      </c>
      <c r="G23" s="18" t="s">
        <v>87</v>
      </c>
      <c r="H23" s="18" t="s">
        <v>82</v>
      </c>
      <c r="I23" s="18">
        <f>'MERCADO TUSD'!$U$20</f>
        <v>33611.357000000004</v>
      </c>
      <c r="J23" s="15"/>
      <c r="L23" s="13">
        <f>('TUSD BE'!$L$23+'TUSD BF'!$L$23+'TUSD CVA'!$L$23)*1</f>
        <v>0</v>
      </c>
      <c r="M23" s="13">
        <f>('TUSD BE'!$M$23+'TUSD BF'!$M$23+'TUSD CVA'!$M$23)*1</f>
        <v>1.1501202344605066</v>
      </c>
      <c r="N23" s="13">
        <f ca="1">('TUSD BE'!$N$23+'TUSD BF'!$N$23+'TUSD CVA'!$N$23)*1</f>
        <v>0</v>
      </c>
      <c r="O23" s="13">
        <f>('TUSD BE'!$O$23+'TUSD BF'!$O$23+'TUSD CVA'!$O$23)*1</f>
        <v>0</v>
      </c>
      <c r="P23" s="13">
        <f>('TUSD BE'!$P$23+'TUSD BF'!$P$23+'TUSD CVA'!$P$23)*1</f>
        <v>0</v>
      </c>
      <c r="Q23" s="13">
        <f>('TUSD BE'!$Q$23+'TUSD BF'!$Q$23+'TUSD CVA'!$Q$23)*1</f>
        <v>93.218375307571478</v>
      </c>
      <c r="R23" s="13">
        <f>('TUSD BE'!$R$23+'TUSD BF'!$R$23+'TUSD CVA'!$R$23)*1</f>
        <v>14.709679818603398</v>
      </c>
      <c r="S23" s="13">
        <f>('TUSD BE'!$S$23+'TUSD BF'!$S$23+'TUSD CVA'!$S$23)*1</f>
        <v>0</v>
      </c>
      <c r="T23" s="13">
        <f>('TUSD BE'!$U$23+'TUSD BF'!$U$23+'TUSD CVA'!$U$23)*1</f>
        <v>0</v>
      </c>
      <c r="U23" s="13">
        <f>('TUSD BE'!$V$23+'TUSD BF'!$V$23+'TUSD CVA'!$V$23)*1</f>
        <v>0</v>
      </c>
      <c r="V23" s="13">
        <f>('TUSD BE'!$W$23+'TUSD BF'!$W$23+'TUSD CVA'!$W$23)*1</f>
        <v>0</v>
      </c>
      <c r="W23" s="13">
        <f>('TUSD BE'!$X$23+'TUSD BF'!$X$23+'TUSD CVA'!$X$23)*1</f>
        <v>0</v>
      </c>
      <c r="X23" s="13">
        <f>('TUSD BE'!$Y$23+'TUSD BF'!$Y$23+'TUSD CVA'!$Y$23)*1</f>
        <v>72.535123314277897</v>
      </c>
      <c r="Y23" s="13">
        <f>('TUSD BE'!$Z$23+'TUSD BF'!$Z$23+'TUSD CVA'!$Z$23)*1</f>
        <v>0</v>
      </c>
      <c r="Z23" s="13">
        <f>('TUSD BE'!$AA$23+'TUSD BF'!$AA$23+'TUSD CVA'!$AA$23)*1</f>
        <v>0</v>
      </c>
      <c r="AA23" s="13">
        <f>('TUSD BE'!$AC$23+'TUSD BF'!$AC$23+'TUSD CVA'!$AC$23)*1</f>
        <v>183.00726349092469</v>
      </c>
      <c r="AB23" s="13">
        <f ca="1">('TUSD BE'!$AE$23+'TUSD BF'!$AE$23+'TUSD CVA'!$AE$23)*1</f>
        <v>0</v>
      </c>
      <c r="AC23" s="13">
        <f ca="1">('TUSD BE'!$AF$23+'TUSD BF'!$AF$23+'TUSD CVA'!$AF$23)*1</f>
        <v>0</v>
      </c>
      <c r="AD23" s="13">
        <f>('TUSD BE'!$AH$23+'TUSD BF'!$AH$23+'TUSD CVA'!$AH$23)*1</f>
        <v>22.499110639816731</v>
      </c>
      <c r="AE23" s="13">
        <f>('TUSD BE'!$AI$23+'TUSD BF'!$AI$23+'TUSD CVA'!$AI$23)*1</f>
        <v>0.61752786552634498</v>
      </c>
      <c r="AF23" s="13">
        <f ca="1">('TUSD BE'!$AJ$23+'TUSD BF'!$AJ$23+'TUSD CVA'!$AJ$23)*1</f>
        <v>0</v>
      </c>
      <c r="AG23" s="13">
        <f ca="1">('TUSD BE'!$AK$23+'TUSD BF'!$AK$23+'TUSD CVA'!$AK$23)*1</f>
        <v>0</v>
      </c>
      <c r="AI23" s="13">
        <v>0</v>
      </c>
      <c r="AJ23" s="13">
        <v>0.93320420305005902</v>
      </c>
      <c r="AK23" s="13">
        <v>0</v>
      </c>
      <c r="AL23" s="13">
        <v>0</v>
      </c>
      <c r="AM23" s="13">
        <v>0</v>
      </c>
      <c r="AN23" s="13">
        <v>58.371510023948801</v>
      </c>
      <c r="AO23" s="13">
        <v>9.0791293194196694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63.065902198954703</v>
      </c>
      <c r="AV23" s="13">
        <v>0</v>
      </c>
      <c r="AW23" s="13">
        <v>0</v>
      </c>
      <c r="AX23" s="13">
        <v>153.94913999561399</v>
      </c>
      <c r="AY23" s="13">
        <v>0</v>
      </c>
      <c r="AZ23" s="13">
        <v>0</v>
      </c>
      <c r="BA23" s="13">
        <v>27.247707505056098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8"/>
      <c r="B24" s="98"/>
      <c r="C24" s="98"/>
      <c r="D24" s="17" t="s">
        <v>29</v>
      </c>
      <c r="E24" s="17" t="s">
        <v>25</v>
      </c>
      <c r="F24" s="17" t="s">
        <v>25</v>
      </c>
      <c r="G24" s="18" t="s">
        <v>87</v>
      </c>
      <c r="H24" s="18" t="s">
        <v>82</v>
      </c>
      <c r="I24" s="18">
        <f>'MERCADO TUSD'!$U$21</f>
        <v>174.63</v>
      </c>
      <c r="J24" s="15"/>
      <c r="L24" s="13">
        <f>('TUSD BE'!$L$24+'TUSD BF'!$L$24+'TUSD CVA'!$L$24)*(1 - 0.65)</f>
        <v>0</v>
      </c>
      <c r="M24" s="13">
        <f>('TUSD BE'!$M$24+'TUSD BF'!$M$24+'TUSD CVA'!$M$24)*(1 - 0.65)</f>
        <v>0.40254208206117731</v>
      </c>
      <c r="N24" s="13">
        <f ca="1">('TUSD BE'!$N$24+'TUSD BF'!$N$24+'TUSD CVA'!$N$24)*(1 - 0.65)</f>
        <v>0</v>
      </c>
      <c r="O24" s="13">
        <f>('TUSD BE'!$O$24+'TUSD BF'!$O$24+'TUSD CVA'!$O$24)*(1 - 0.65)</f>
        <v>0</v>
      </c>
      <c r="P24" s="13">
        <v>0</v>
      </c>
      <c r="Q24" s="13">
        <f>('TUSD BE'!$Q$24+'TUSD BF'!$Q$24+'TUSD CVA'!$Q$24)*(1 - 0.65)</f>
        <v>0</v>
      </c>
      <c r="R24" s="13">
        <v>0</v>
      </c>
      <c r="S24" s="13">
        <f>('TUSD BE'!$S$24+'TUSD BF'!$S$24+'TUSD CVA'!$S$24)*(1 - 0.65)</f>
        <v>0</v>
      </c>
      <c r="T24" s="13">
        <f>('TUSD BE'!$U$24+'TUSD BF'!$U$24+'TUSD CVA'!$U$24)*(1 - 0.65)</f>
        <v>0</v>
      </c>
      <c r="U24" s="13">
        <f>('TUSD BE'!$V$24+'TUSD BF'!$V$24+'TUSD CVA'!$V$24)*(1 - 0.65)</f>
        <v>0</v>
      </c>
      <c r="V24" s="13">
        <f>('TUSD BE'!$W$24+'TUSD BF'!$W$24+'TUSD CVA'!$W$24)*(1 - 0.65)</f>
        <v>0</v>
      </c>
      <c r="W24" s="13">
        <f>('TUSD BE'!$X$24+'TUSD BF'!$X$24+'TUSD CVA'!$X$24)*(1 - 0.65)</f>
        <v>0</v>
      </c>
      <c r="X24" s="13">
        <f>('TUSD BE'!$Y$24+'TUSD BF'!$Y$24+'TUSD CVA'!$Y$24)*(1 - 0.65)</f>
        <v>25.387293159997263</v>
      </c>
      <c r="Y24" s="13">
        <f>('TUSD BE'!$Z$24+'TUSD BF'!$Z$24+'TUSD CVA'!$Z$24)*(1 - 0.65)</f>
        <v>0</v>
      </c>
      <c r="Z24" s="13">
        <f>('TUSD BE'!$AA$24+'TUSD BF'!$AA$24+'TUSD CVA'!$AA$24)*(1 - 0.65)</f>
        <v>0</v>
      </c>
      <c r="AA24" s="13">
        <f>('TUSD BE'!$AC$24+'TUSD BF'!$AC$24+'TUSD CVA'!$AC$24)*(1 - 0.65)</f>
        <v>64.052542221823643</v>
      </c>
      <c r="AB24" s="13">
        <f ca="1">('TUSD BE'!$AE$24+'TUSD BF'!$AE$24+'TUSD CVA'!$AE$24)*(1 - 0.65)</f>
        <v>0</v>
      </c>
      <c r="AC24" s="13">
        <f ca="1">('TUSD BE'!$AF$24+'TUSD BF'!$AF$24+'TUSD CVA'!$AF$24)*(1 - 0.65)</f>
        <v>0</v>
      </c>
      <c r="AD24" s="13">
        <f>('TUSD BE'!$AH$24+'TUSD BF'!$AH$24+'TUSD CVA'!$AH$24)*(1 - 0.65)</f>
        <v>7.8746887239358552</v>
      </c>
      <c r="AE24" s="13">
        <f>('TUSD BE'!$AI$24+'TUSD BF'!$AI$24+'TUSD CVA'!$AI$24)*(1 - 0.65)</f>
        <v>0.21613475293422074</v>
      </c>
      <c r="AF24" s="13">
        <f ca="1">('TUSD BE'!$AJ$24+'TUSD BF'!$AJ$24+'TUSD CVA'!$AJ$24)*(1 - 0.65)</f>
        <v>0</v>
      </c>
      <c r="AG24" s="13">
        <f ca="1">('TUSD BE'!$AK$24+'TUSD BF'!$AK$24+'TUSD CVA'!$AK$24)*(1 - 0.65)</f>
        <v>0</v>
      </c>
      <c r="AI24" s="13">
        <v>0</v>
      </c>
      <c r="AJ24" s="13">
        <v>0.32662147106752099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22.073065769634098</v>
      </c>
      <c r="AV24" s="13">
        <v>0</v>
      </c>
      <c r="AW24" s="13">
        <v>0</v>
      </c>
      <c r="AX24" s="13">
        <v>53.8821989984651</v>
      </c>
      <c r="AY24" s="13">
        <v>0</v>
      </c>
      <c r="AZ24" s="13">
        <v>0</v>
      </c>
      <c r="BA24" s="13">
        <v>9.5366976267696302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8"/>
      <c r="B25" s="98"/>
      <c r="C25" s="98"/>
      <c r="D25" s="17" t="s">
        <v>30</v>
      </c>
      <c r="E25" s="17" t="s">
        <v>25</v>
      </c>
      <c r="F25" s="17" t="s">
        <v>25</v>
      </c>
      <c r="G25" s="18" t="s">
        <v>87</v>
      </c>
      <c r="H25" s="18" t="s">
        <v>82</v>
      </c>
      <c r="I25" s="18">
        <f>'MERCADO TUSD'!$U$22</f>
        <v>381.96100000000001</v>
      </c>
      <c r="J25" s="15"/>
      <c r="L25" s="13">
        <f>('TUSD BE'!$L$25+'TUSD BF'!$L$25+'TUSD CVA'!$L$25)*(1 - 0.4)</f>
        <v>0</v>
      </c>
      <c r="M25" s="13">
        <f>('TUSD BE'!$M$25+'TUSD BF'!$M$25+'TUSD CVA'!$M$25)*(1 - 0.4)</f>
        <v>0.69007214067630396</v>
      </c>
      <c r="N25" s="13">
        <f ca="1">('TUSD BE'!$N$25+'TUSD BF'!$N$25+'TUSD CVA'!$N$25)*(1 - 0.4)</f>
        <v>0</v>
      </c>
      <c r="O25" s="13">
        <f>('TUSD BE'!$O$25+'TUSD BF'!$O$25+'TUSD CVA'!$O$25)*(1 - 0.4)</f>
        <v>0</v>
      </c>
      <c r="P25" s="13">
        <v>0</v>
      </c>
      <c r="Q25" s="13">
        <f>('TUSD BE'!$Q$25+'TUSD BF'!$Q$25+'TUSD CVA'!$Q$25)*(1 - 0.4)</f>
        <v>0</v>
      </c>
      <c r="R25" s="13">
        <v>0</v>
      </c>
      <c r="S25" s="13">
        <f>('TUSD BE'!$S$25+'TUSD BF'!$S$25+'TUSD CVA'!$S$25)*(1 - 0.4)</f>
        <v>0</v>
      </c>
      <c r="T25" s="13">
        <f>('TUSD BE'!$U$25+'TUSD BF'!$U$25+'TUSD CVA'!$U$25)*(1 - 0.4)</f>
        <v>0</v>
      </c>
      <c r="U25" s="13">
        <f>('TUSD BE'!$V$25+'TUSD BF'!$V$25+'TUSD CVA'!$V$25)*(1 - 0.4)</f>
        <v>0</v>
      </c>
      <c r="V25" s="13">
        <f>('TUSD BE'!$W$25+'TUSD BF'!$W$25+'TUSD CVA'!$W$25)*(1 - 0.4)</f>
        <v>0</v>
      </c>
      <c r="W25" s="13">
        <f>('TUSD BE'!$X$25+'TUSD BF'!$X$25+'TUSD CVA'!$X$25)*(1 - 0.4)</f>
        <v>0</v>
      </c>
      <c r="X25" s="13">
        <f>('TUSD BE'!$Y$25+'TUSD BF'!$Y$25+'TUSD CVA'!$Y$25)*(1 - 0.4)</f>
        <v>43.521073988566734</v>
      </c>
      <c r="Y25" s="13">
        <f>('TUSD BE'!$Z$25+'TUSD BF'!$Z$25+'TUSD CVA'!$Z$25)*(1 - 0.4)</f>
        <v>0</v>
      </c>
      <c r="Z25" s="13">
        <f>('TUSD BE'!$AA$25+'TUSD BF'!$AA$25+'TUSD CVA'!$AA$25)*(1 - 0.4)</f>
        <v>0</v>
      </c>
      <c r="AA25" s="13">
        <f>('TUSD BE'!$AC$25+'TUSD BF'!$AC$25+'TUSD CVA'!$AC$25)*(1 - 0.4)</f>
        <v>109.80435809455481</v>
      </c>
      <c r="AB25" s="13">
        <f ca="1">('TUSD BE'!$AE$25+'TUSD BF'!$AE$25+'TUSD CVA'!$AE$25)*(1 - 0.4)</f>
        <v>0</v>
      </c>
      <c r="AC25" s="13">
        <f ca="1">('TUSD BE'!$AF$25+'TUSD BF'!$AF$25+'TUSD CVA'!$AF$25)*(1 - 0.4)</f>
        <v>0</v>
      </c>
      <c r="AD25" s="13">
        <f>('TUSD BE'!$AH$25+'TUSD BF'!$AH$25+'TUSD CVA'!$AH$25)*(1 - 0.4)</f>
        <v>13.499466383890038</v>
      </c>
      <c r="AE25" s="13">
        <f>('TUSD BE'!$AI$25+'TUSD BF'!$AI$25+'TUSD CVA'!$AI$25)*(1 - 0.4)</f>
        <v>0.37051671931580699</v>
      </c>
      <c r="AF25" s="13">
        <f ca="1">('TUSD BE'!$AJ$25+'TUSD BF'!$AJ$25+'TUSD CVA'!$AJ$25)*(1 - 0.4)</f>
        <v>0</v>
      </c>
      <c r="AG25" s="13">
        <f ca="1">('TUSD BE'!$AK$25+'TUSD BF'!$AK$25+'TUSD CVA'!$AK$25)*(1 - 0.4)</f>
        <v>0</v>
      </c>
      <c r="AI25" s="13">
        <v>0</v>
      </c>
      <c r="AJ25" s="13">
        <v>0.55992252183003599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37.839541319372799</v>
      </c>
      <c r="AV25" s="13">
        <v>0</v>
      </c>
      <c r="AW25" s="13">
        <v>0</v>
      </c>
      <c r="AX25" s="13">
        <v>92.369483997368704</v>
      </c>
      <c r="AY25" s="13">
        <v>0</v>
      </c>
      <c r="AZ25" s="13">
        <v>0</v>
      </c>
      <c r="BA25" s="13">
        <v>16.348624503033701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8"/>
      <c r="B26" s="98"/>
      <c r="C26" s="98"/>
      <c r="D26" s="17" t="s">
        <v>31</v>
      </c>
      <c r="E26" s="17" t="s">
        <v>25</v>
      </c>
      <c r="F26" s="17" t="s">
        <v>25</v>
      </c>
      <c r="G26" s="18" t="s">
        <v>87</v>
      </c>
      <c r="H26" s="18" t="s">
        <v>82</v>
      </c>
      <c r="I26" s="18">
        <f>'MERCADO TUSD'!$U$23</f>
        <v>465.60300000000001</v>
      </c>
      <c r="J26" s="15"/>
      <c r="L26" s="13">
        <f>('TUSD BE'!$L$26+'TUSD BF'!$L$26+'TUSD CVA'!$L$26)*(1 - 0.1)</f>
        <v>0</v>
      </c>
      <c r="M26" s="13">
        <f>('TUSD BE'!$M$26+'TUSD BF'!$M$26+'TUSD CVA'!$M$26)*(1 - 0.1)</f>
        <v>1.035108211014456</v>
      </c>
      <c r="N26" s="13">
        <f ca="1">('TUSD BE'!$N$26+'TUSD BF'!$N$26+'TUSD CVA'!$N$26)*(1 - 0.1)</f>
        <v>0</v>
      </c>
      <c r="O26" s="13">
        <f>('TUSD BE'!$O$26+'TUSD BF'!$O$26+'TUSD CVA'!$O$26)*(1 - 0.1)</f>
        <v>0</v>
      </c>
      <c r="P26" s="13">
        <v>0</v>
      </c>
      <c r="Q26" s="13">
        <f>('TUSD BE'!$Q$26+'TUSD BF'!$Q$26+'TUSD CVA'!$Q$26)*(1 - 0.1)</f>
        <v>0</v>
      </c>
      <c r="R26" s="13">
        <v>0</v>
      </c>
      <c r="S26" s="13">
        <f>('TUSD BE'!$S$26+'TUSD BF'!$S$26+'TUSD CVA'!$S$26)*(1 - 0.1)</f>
        <v>0</v>
      </c>
      <c r="T26" s="13">
        <f>('TUSD BE'!$U$26+'TUSD BF'!$U$26+'TUSD CVA'!$U$26)*(1 - 0.1)</f>
        <v>0</v>
      </c>
      <c r="U26" s="13">
        <f>('TUSD BE'!$V$26+'TUSD BF'!$V$26+'TUSD CVA'!$V$26)*(1 - 0.1)</f>
        <v>0</v>
      </c>
      <c r="V26" s="13">
        <f>('TUSD BE'!$W$26+'TUSD BF'!$W$26+'TUSD CVA'!$W$26)*(1 - 0.1)</f>
        <v>0</v>
      </c>
      <c r="W26" s="13">
        <f>('TUSD BE'!$X$26+'TUSD BF'!$X$26+'TUSD CVA'!$X$26)*(1 - 0.1)</f>
        <v>0</v>
      </c>
      <c r="X26" s="13">
        <f>('TUSD BE'!$Y$26+'TUSD BF'!$Y$26+'TUSD CVA'!$Y$26)*(1 - 0.1)</f>
        <v>65.281610982850111</v>
      </c>
      <c r="Y26" s="13">
        <f>('TUSD BE'!$Z$26+'TUSD BF'!$Z$26+'TUSD CVA'!$Z$26)*(1 - 0.1)</f>
        <v>0</v>
      </c>
      <c r="Z26" s="13">
        <f>('TUSD BE'!$AA$26+'TUSD BF'!$AA$26+'TUSD CVA'!$AA$26)*(1 - 0.1)</f>
        <v>0</v>
      </c>
      <c r="AA26" s="13">
        <f>('TUSD BE'!$AC$26+'TUSD BF'!$AC$26+'TUSD CVA'!$AC$26)*(1 - 0.1)</f>
        <v>164.70653714183223</v>
      </c>
      <c r="AB26" s="13">
        <f ca="1">('TUSD BE'!$AE$26+'TUSD BF'!$AE$26+'TUSD CVA'!$AE$26)*(1 - 0.1)</f>
        <v>0</v>
      </c>
      <c r="AC26" s="13">
        <f ca="1">('TUSD BE'!$AF$26+'TUSD BF'!$AF$26+'TUSD CVA'!$AF$26)*(1 - 0.1)</f>
        <v>0</v>
      </c>
      <c r="AD26" s="13">
        <f>('TUSD BE'!$AH$26+'TUSD BF'!$AH$26+'TUSD CVA'!$AH$26)*(1 - 0.1)</f>
        <v>20.249199575835057</v>
      </c>
      <c r="AE26" s="13">
        <f>('TUSD BE'!$AI$26+'TUSD BF'!$AI$26+'TUSD CVA'!$AI$26)*(1 - 0.1)</f>
        <v>0.55577507897371048</v>
      </c>
      <c r="AF26" s="13">
        <f ca="1">('TUSD BE'!$AJ$26+'TUSD BF'!$AJ$26+'TUSD CVA'!$AJ$26)*(1 - 0.1)</f>
        <v>0</v>
      </c>
      <c r="AG26" s="13">
        <f ca="1">('TUSD BE'!$AK$26+'TUSD BF'!$AK$26+'TUSD CVA'!$AK$26)*(1 - 0.1)</f>
        <v>0</v>
      </c>
      <c r="AI26" s="13">
        <v>0</v>
      </c>
      <c r="AJ26" s="13">
        <v>0.83988378274505304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56.759311979059198</v>
      </c>
      <c r="AV26" s="13">
        <v>0</v>
      </c>
      <c r="AW26" s="13">
        <v>0</v>
      </c>
      <c r="AX26" s="13">
        <v>138.55422599605299</v>
      </c>
      <c r="AY26" s="13">
        <v>0</v>
      </c>
      <c r="AZ26" s="13">
        <v>0</v>
      </c>
      <c r="BA26" s="13">
        <v>24.5229367545505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8"/>
      <c r="B27" s="98"/>
      <c r="C27" s="98"/>
      <c r="D27" s="17" t="s">
        <v>32</v>
      </c>
      <c r="E27" s="17" t="s">
        <v>25</v>
      </c>
      <c r="F27" s="17" t="s">
        <v>25</v>
      </c>
      <c r="G27" s="18" t="s">
        <v>87</v>
      </c>
      <c r="H27" s="18" t="s">
        <v>82</v>
      </c>
      <c r="I27" s="18">
        <f>'MERCADO TUSD'!$U$24</f>
        <v>317.14700000000005</v>
      </c>
      <c r="J27" s="15"/>
      <c r="L27" s="13">
        <f>('TUSD BE'!$L$27+'TUSD BF'!$L$27+'TUSD CVA'!$L$27)*1</f>
        <v>0</v>
      </c>
      <c r="M27" s="13">
        <f>('TUSD BE'!$M$27+'TUSD BF'!$M$27+'TUSD CVA'!$M$27)*1</f>
        <v>1.1501202344605066</v>
      </c>
      <c r="N27" s="13">
        <f ca="1">('TUSD BE'!$N$27+'TUSD BF'!$N$27+'TUSD CVA'!$N$27)*1</f>
        <v>0</v>
      </c>
      <c r="O27" s="13">
        <f>('TUSD BE'!$O$27+'TUSD BF'!$O$27+'TUSD CVA'!$O$27)*1</f>
        <v>0</v>
      </c>
      <c r="P27" s="13">
        <v>0</v>
      </c>
      <c r="Q27" s="13">
        <f>('TUSD BE'!$Q$27+'TUSD BF'!$Q$27+'TUSD CVA'!$Q$27)*1</f>
        <v>0</v>
      </c>
      <c r="R27" s="13">
        <v>0</v>
      </c>
      <c r="S27" s="13">
        <f>('TUSD BE'!$S$27+'TUSD BF'!$S$27+'TUSD CVA'!$S$27)*1</f>
        <v>0</v>
      </c>
      <c r="T27" s="13">
        <f>('TUSD BE'!$U$27+'TUSD BF'!$U$27+'TUSD CVA'!$U$27)*1</f>
        <v>0</v>
      </c>
      <c r="U27" s="13">
        <f>('TUSD BE'!$V$27+'TUSD BF'!$V$27+'TUSD CVA'!$V$27)*1</f>
        <v>0</v>
      </c>
      <c r="V27" s="13">
        <f>('TUSD BE'!$W$27+'TUSD BF'!$W$27+'TUSD CVA'!$W$27)*1</f>
        <v>0</v>
      </c>
      <c r="W27" s="13">
        <f>('TUSD BE'!$X$27+'TUSD BF'!$X$27+'TUSD CVA'!$X$27)*1</f>
        <v>0</v>
      </c>
      <c r="X27" s="13">
        <f>('TUSD BE'!$Y$27+'TUSD BF'!$Y$27+'TUSD CVA'!$Y$27)*1</f>
        <v>72.535123314277897</v>
      </c>
      <c r="Y27" s="13">
        <f>('TUSD BE'!$Z$27+'TUSD BF'!$Z$27+'TUSD CVA'!$Z$27)*1</f>
        <v>0</v>
      </c>
      <c r="Z27" s="13">
        <f>('TUSD BE'!$AA$27+'TUSD BF'!$AA$27+'TUSD CVA'!$AA$27)*1</f>
        <v>0</v>
      </c>
      <c r="AA27" s="13">
        <f>('TUSD BE'!$AC$27+'TUSD BF'!$AC$27+'TUSD CVA'!$AC$27)*1</f>
        <v>183.00726349092469</v>
      </c>
      <c r="AB27" s="13">
        <f ca="1">('TUSD BE'!$AE$27+'TUSD BF'!$AE$27+'TUSD CVA'!$AE$27)*1</f>
        <v>0</v>
      </c>
      <c r="AC27" s="13">
        <f ca="1">('TUSD BE'!$AF$27+'TUSD BF'!$AF$27+'TUSD CVA'!$AF$27)*1</f>
        <v>0</v>
      </c>
      <c r="AD27" s="13">
        <f>('TUSD BE'!$AH$27+'TUSD BF'!$AH$27+'TUSD CVA'!$AH$27)*1</f>
        <v>22.499110639816731</v>
      </c>
      <c r="AE27" s="13">
        <f>('TUSD BE'!$AI$27+'TUSD BF'!$AI$27+'TUSD CVA'!$AI$27)*1</f>
        <v>0.61752786552634498</v>
      </c>
      <c r="AF27" s="13">
        <f ca="1">('TUSD BE'!$AJ$27+'TUSD BF'!$AJ$27+'TUSD CVA'!$AJ$27)*1</f>
        <v>0</v>
      </c>
      <c r="AG27" s="13">
        <f ca="1">('TUSD BE'!$AK$27+'TUSD BF'!$AK$27+'TUSD CVA'!$AK$27)*1</f>
        <v>0</v>
      </c>
      <c r="AI27" s="13">
        <v>0</v>
      </c>
      <c r="AJ27" s="13">
        <v>0.93320420305005902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63.065902198954703</v>
      </c>
      <c r="AV27" s="13">
        <v>0</v>
      </c>
      <c r="AW27" s="13">
        <v>0</v>
      </c>
      <c r="AX27" s="13">
        <v>153.94913999561399</v>
      </c>
      <c r="AY27" s="13">
        <v>0</v>
      </c>
      <c r="AZ27" s="13">
        <v>0</v>
      </c>
      <c r="BA27" s="13">
        <v>27.247707505056098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8"/>
      <c r="B28" s="98" t="s">
        <v>99</v>
      </c>
      <c r="C28" s="98" t="s">
        <v>24</v>
      </c>
      <c r="D28" s="17" t="s">
        <v>24</v>
      </c>
      <c r="E28" s="17" t="s">
        <v>25</v>
      </c>
      <c r="F28" s="17" t="s">
        <v>25</v>
      </c>
      <c r="G28" s="18" t="s">
        <v>87</v>
      </c>
      <c r="H28" s="18" t="s">
        <v>82</v>
      </c>
      <c r="I28" s="18">
        <f>'MERCADO TUSD'!$U$25</f>
        <v>0</v>
      </c>
      <c r="J28" s="15"/>
      <c r="L28" s="13">
        <f>('TUSD BE'!$L$28+'TUSD BF'!$L$28+'TUSD CVA'!$L$28)*1</f>
        <v>0</v>
      </c>
      <c r="M28" s="13">
        <f>('TUSD BE'!$M$28+'TUSD BF'!$M$28+'TUSD CVA'!$M$28)*1</f>
        <v>1.1501202344605066</v>
      </c>
      <c r="N28" s="13">
        <f ca="1">('TUSD BE'!$N$28+'TUSD BF'!$N$28+'TUSD CVA'!$N$28)*1</f>
        <v>0</v>
      </c>
      <c r="O28" s="13">
        <f>('TUSD BE'!$O$28+'TUSD BF'!$O$28+'TUSD CVA'!$O$28)*1</f>
        <v>0</v>
      </c>
      <c r="P28" s="13">
        <f>('TUSD BE'!$P$28+'TUSD BF'!$P$28+'TUSD CVA'!$P$28)*1</f>
        <v>0</v>
      </c>
      <c r="Q28" s="13">
        <f>('TUSD BE'!$Q$28+'TUSD BF'!$Q$28+'TUSD CVA'!$Q$28)*1</f>
        <v>93.218375307571478</v>
      </c>
      <c r="R28" s="13">
        <f>('TUSD BE'!$R$28+'TUSD BF'!$R$28+'TUSD CVA'!$R$28)*1</f>
        <v>14.709679818603398</v>
      </c>
      <c r="S28" s="13">
        <f>('TUSD BE'!$S$28+'TUSD BF'!$S$28+'TUSD CVA'!$S$28)*1</f>
        <v>0</v>
      </c>
      <c r="T28" s="13">
        <f>('TUSD BE'!$U$28+'TUSD BF'!$U$28+'TUSD CVA'!$U$28)*1</f>
        <v>0</v>
      </c>
      <c r="U28" s="13">
        <f>('TUSD BE'!$V$28+'TUSD BF'!$V$28+'TUSD CVA'!$V$28)*1</f>
        <v>0</v>
      </c>
      <c r="V28" s="13">
        <f>('TUSD BE'!$W$28+'TUSD BF'!$W$28+'TUSD CVA'!$W$28)*1</f>
        <v>0</v>
      </c>
      <c r="W28" s="13">
        <f>('TUSD BE'!$X$28+'TUSD BF'!$X$28+'TUSD CVA'!$X$28)*1</f>
        <v>0</v>
      </c>
      <c r="X28" s="13">
        <f>('TUSD BE'!$Y$28+'TUSD BF'!$Y$28+'TUSD CVA'!$Y$28)*1</f>
        <v>72.535123314277897</v>
      </c>
      <c r="Y28" s="13">
        <f>('TUSD BE'!$Z$28+'TUSD BF'!$Z$28+'TUSD CVA'!$Z$28)*1</f>
        <v>0</v>
      </c>
      <c r="Z28" s="13">
        <f>('TUSD BE'!$AA$28+'TUSD BF'!$AA$28+'TUSD CVA'!$AA$28)*1</f>
        <v>0</v>
      </c>
      <c r="AA28" s="13">
        <f>('TUSD BE'!$AC$28+'TUSD BF'!$AC$28+'TUSD CVA'!$AC$28)*1</f>
        <v>183.00726349092469</v>
      </c>
      <c r="AB28" s="13">
        <f ca="1">('TUSD BE'!$AE$28+'TUSD BF'!$AE$28+'TUSD CVA'!$AE$28)*1</f>
        <v>0</v>
      </c>
      <c r="AC28" s="13">
        <f ca="1">('TUSD BE'!$AF$28+'TUSD BF'!$AF$28+'TUSD CVA'!$AF$28)*1</f>
        <v>0</v>
      </c>
      <c r="AD28" s="13">
        <f>('TUSD BE'!$AH$28+'TUSD BF'!$AH$28+'TUSD CVA'!$AH$28)*1</f>
        <v>22.499110639816731</v>
      </c>
      <c r="AE28" s="13">
        <f>('TUSD BE'!$AI$28+'TUSD BF'!$AI$28+'TUSD CVA'!$AI$28)*1</f>
        <v>0.61752786552634498</v>
      </c>
      <c r="AF28" s="13">
        <f ca="1">('TUSD BE'!$AJ$28+'TUSD BF'!$AJ$28+'TUSD CVA'!$AJ$28)*1</f>
        <v>0</v>
      </c>
      <c r="AG28" s="13">
        <f ca="1">('TUSD BE'!$AK$28+'TUSD BF'!$AK$28+'TUSD CVA'!$AK$28)*1</f>
        <v>0</v>
      </c>
      <c r="AI28" s="13">
        <v>0</v>
      </c>
      <c r="AJ28" s="13">
        <v>0.93320420305005902</v>
      </c>
      <c r="AK28" s="13">
        <v>0</v>
      </c>
      <c r="AL28" s="13">
        <v>0</v>
      </c>
      <c r="AM28" s="13">
        <v>0</v>
      </c>
      <c r="AN28" s="13">
        <v>58.371510023948801</v>
      </c>
      <c r="AO28" s="13">
        <v>9.0791293194196694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63.065902198954703</v>
      </c>
      <c r="AV28" s="13">
        <v>0</v>
      </c>
      <c r="AW28" s="13">
        <v>0</v>
      </c>
      <c r="AX28" s="13">
        <v>153.94913999561399</v>
      </c>
      <c r="AY28" s="13">
        <v>0</v>
      </c>
      <c r="AZ28" s="13">
        <v>0</v>
      </c>
      <c r="BA28" s="13">
        <v>27.247707505056098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8"/>
      <c r="B29" s="98"/>
      <c r="C29" s="98"/>
      <c r="D29" s="17" t="s">
        <v>29</v>
      </c>
      <c r="E29" s="17" t="s">
        <v>25</v>
      </c>
      <c r="F29" s="17" t="s">
        <v>25</v>
      </c>
      <c r="G29" s="18" t="s">
        <v>87</v>
      </c>
      <c r="H29" s="18" t="s">
        <v>82</v>
      </c>
      <c r="I29" s="18">
        <f>'MERCADO TUSD'!$U$26</f>
        <v>0</v>
      </c>
      <c r="J29" s="15"/>
      <c r="L29" s="13">
        <f>('TUSD BE'!$L$29+'TUSD BF'!$L$29+'TUSD CVA'!$L$29)*(1 - 0.65)</f>
        <v>0</v>
      </c>
      <c r="M29" s="13">
        <f>('TUSD BE'!$M$29+'TUSD BF'!$M$29+'TUSD CVA'!$M$29)*(1 - 0.65)</f>
        <v>0.40254208206117731</v>
      </c>
      <c r="N29" s="13">
        <f ca="1">('TUSD BE'!$N$29+'TUSD BF'!$N$29+'TUSD CVA'!$N$29)*(1 - 0.65)</f>
        <v>0</v>
      </c>
      <c r="O29" s="13">
        <f>('TUSD BE'!$O$29+'TUSD BF'!$O$29+'TUSD CVA'!$O$29)*(1 - 0.65)</f>
        <v>0</v>
      </c>
      <c r="P29" s="13">
        <v>0</v>
      </c>
      <c r="Q29" s="13">
        <f>('TUSD BE'!$Q$29+'TUSD BF'!$Q$29+'TUSD CVA'!$Q$29)*(1 - 0.65)</f>
        <v>0</v>
      </c>
      <c r="R29" s="13">
        <v>0</v>
      </c>
      <c r="S29" s="13">
        <f>('TUSD BE'!$S$29+'TUSD BF'!$S$29+'TUSD CVA'!$S$29)*(1 - 0.65)</f>
        <v>0</v>
      </c>
      <c r="T29" s="13">
        <f>('TUSD BE'!$U$29+'TUSD BF'!$U$29+'TUSD CVA'!$U$29)*(1 - 0.65)</f>
        <v>0</v>
      </c>
      <c r="U29" s="13">
        <f>('TUSD BE'!$V$29+'TUSD BF'!$V$29+'TUSD CVA'!$V$29)*(1 - 0.65)</f>
        <v>0</v>
      </c>
      <c r="V29" s="13">
        <f>('TUSD BE'!$W$29+'TUSD BF'!$W$29+'TUSD CVA'!$W$29)*(1 - 0.65)</f>
        <v>0</v>
      </c>
      <c r="W29" s="13">
        <f>('TUSD BE'!$X$29+'TUSD BF'!$X$29+'TUSD CVA'!$X$29)*(1 - 0.65)</f>
        <v>0</v>
      </c>
      <c r="X29" s="13">
        <f>('TUSD BE'!$Y$29+'TUSD BF'!$Y$29+'TUSD CVA'!$Y$29)*(1 - 0.65)</f>
        <v>25.387293159997263</v>
      </c>
      <c r="Y29" s="13">
        <f>('TUSD BE'!$Z$29+'TUSD BF'!$Z$29+'TUSD CVA'!$Z$29)*(1 - 0.65)</f>
        <v>0</v>
      </c>
      <c r="Z29" s="13">
        <f>('TUSD BE'!$AA$29+'TUSD BF'!$AA$29+'TUSD CVA'!$AA$29)*(1 - 0.65)</f>
        <v>0</v>
      </c>
      <c r="AA29" s="13">
        <f>('TUSD BE'!$AC$29+'TUSD BF'!$AC$29+'TUSD CVA'!$AC$29)*(1 - 0.65)</f>
        <v>64.052542221823643</v>
      </c>
      <c r="AB29" s="13">
        <f ca="1">('TUSD BE'!$AE$29+'TUSD BF'!$AE$29+'TUSD CVA'!$AE$29)*(1 - 0.65)</f>
        <v>0</v>
      </c>
      <c r="AC29" s="13">
        <f ca="1">('TUSD BE'!$AF$29+'TUSD BF'!$AF$29+'TUSD CVA'!$AF$29)*(1 - 0.65)</f>
        <v>0</v>
      </c>
      <c r="AD29" s="13">
        <f>('TUSD BE'!$AH$29+'TUSD BF'!$AH$29+'TUSD CVA'!$AH$29)*(1 - 0.65)</f>
        <v>7.8746887239358552</v>
      </c>
      <c r="AE29" s="13">
        <f>('TUSD BE'!$AI$29+'TUSD BF'!$AI$29+'TUSD CVA'!$AI$29)*(1 - 0.65)</f>
        <v>0.21613475293422074</v>
      </c>
      <c r="AF29" s="13">
        <f ca="1">('TUSD BE'!$AJ$29+'TUSD BF'!$AJ$29+'TUSD CVA'!$AJ$29)*(1 - 0.65)</f>
        <v>0</v>
      </c>
      <c r="AG29" s="13">
        <f ca="1">('TUSD BE'!$AK$29+'TUSD BF'!$AK$29+'TUSD CVA'!$AK$29)*(1 - 0.65)</f>
        <v>0</v>
      </c>
      <c r="AI29" s="13">
        <v>0</v>
      </c>
      <c r="AJ29" s="13">
        <v>0.32662147106752099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22.073065769634098</v>
      </c>
      <c r="AV29" s="13">
        <v>0</v>
      </c>
      <c r="AW29" s="13">
        <v>0</v>
      </c>
      <c r="AX29" s="13">
        <v>53.8821989984651</v>
      </c>
      <c r="AY29" s="13">
        <v>0</v>
      </c>
      <c r="AZ29" s="13">
        <v>0</v>
      </c>
      <c r="BA29" s="13">
        <v>9.5366976267696302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8"/>
      <c r="B30" s="98"/>
      <c r="C30" s="98"/>
      <c r="D30" s="17" t="s">
        <v>30</v>
      </c>
      <c r="E30" s="17" t="s">
        <v>25</v>
      </c>
      <c r="F30" s="17" t="s">
        <v>25</v>
      </c>
      <c r="G30" s="18" t="s">
        <v>87</v>
      </c>
      <c r="H30" s="18" t="s">
        <v>82</v>
      </c>
      <c r="I30" s="18">
        <f>'MERCADO TUSD'!$U$27</f>
        <v>0</v>
      </c>
      <c r="J30" s="15"/>
      <c r="L30" s="13">
        <f>('TUSD BE'!$L$30+'TUSD BF'!$L$30+'TUSD CVA'!$L$30)*(1 - 0.4)</f>
        <v>0</v>
      </c>
      <c r="M30" s="13">
        <f>('TUSD BE'!$M$30+'TUSD BF'!$M$30+'TUSD CVA'!$M$30)*(1 - 0.4)</f>
        <v>0.69007214067630396</v>
      </c>
      <c r="N30" s="13">
        <f ca="1">('TUSD BE'!$N$30+'TUSD BF'!$N$30+'TUSD CVA'!$N$30)*(1 - 0.4)</f>
        <v>0</v>
      </c>
      <c r="O30" s="13">
        <f>('TUSD BE'!$O$30+'TUSD BF'!$O$30+'TUSD CVA'!$O$30)*(1 - 0.4)</f>
        <v>0</v>
      </c>
      <c r="P30" s="13">
        <v>0</v>
      </c>
      <c r="Q30" s="13">
        <f>('TUSD BE'!$Q$30+'TUSD BF'!$Q$30+'TUSD CVA'!$Q$30)*(1 - 0.4)</f>
        <v>0</v>
      </c>
      <c r="R30" s="13">
        <v>0</v>
      </c>
      <c r="S30" s="13">
        <f>('TUSD BE'!$S$30+'TUSD BF'!$S$30+'TUSD CVA'!$S$30)*(1 - 0.4)</f>
        <v>0</v>
      </c>
      <c r="T30" s="13">
        <f>('TUSD BE'!$U$30+'TUSD BF'!$U$30+'TUSD CVA'!$U$30)*(1 - 0.4)</f>
        <v>0</v>
      </c>
      <c r="U30" s="13">
        <f>('TUSD BE'!$V$30+'TUSD BF'!$V$30+'TUSD CVA'!$V$30)*(1 - 0.4)</f>
        <v>0</v>
      </c>
      <c r="V30" s="13">
        <f>('TUSD BE'!$W$30+'TUSD BF'!$W$30+'TUSD CVA'!$W$30)*(1 - 0.4)</f>
        <v>0</v>
      </c>
      <c r="W30" s="13">
        <f>('TUSD BE'!$X$30+'TUSD BF'!$X$30+'TUSD CVA'!$X$30)*(1 - 0.4)</f>
        <v>0</v>
      </c>
      <c r="X30" s="13">
        <f>('TUSD BE'!$Y$30+'TUSD BF'!$Y$30+'TUSD CVA'!$Y$30)*(1 - 0.4)</f>
        <v>43.521073988566734</v>
      </c>
      <c r="Y30" s="13">
        <f>('TUSD BE'!$Z$30+'TUSD BF'!$Z$30+'TUSD CVA'!$Z$30)*(1 - 0.4)</f>
        <v>0</v>
      </c>
      <c r="Z30" s="13">
        <f>('TUSD BE'!$AA$30+'TUSD BF'!$AA$30+'TUSD CVA'!$AA$30)*(1 - 0.4)</f>
        <v>0</v>
      </c>
      <c r="AA30" s="13">
        <f>('TUSD BE'!$AC$30+'TUSD BF'!$AC$30+'TUSD CVA'!$AC$30)*(1 - 0.4)</f>
        <v>109.80435809455481</v>
      </c>
      <c r="AB30" s="13">
        <f ca="1">('TUSD BE'!$AE$30+'TUSD BF'!$AE$30+'TUSD CVA'!$AE$30)*(1 - 0.4)</f>
        <v>0</v>
      </c>
      <c r="AC30" s="13">
        <f ca="1">('TUSD BE'!$AF$30+'TUSD BF'!$AF$30+'TUSD CVA'!$AF$30)*(1 - 0.4)</f>
        <v>0</v>
      </c>
      <c r="AD30" s="13">
        <f>('TUSD BE'!$AH$30+'TUSD BF'!$AH$30+'TUSD CVA'!$AH$30)*(1 - 0.4)</f>
        <v>13.499466383890038</v>
      </c>
      <c r="AE30" s="13">
        <f>('TUSD BE'!$AI$30+'TUSD BF'!$AI$30+'TUSD CVA'!$AI$30)*(1 - 0.4)</f>
        <v>0.37051671931580699</v>
      </c>
      <c r="AF30" s="13">
        <f ca="1">('TUSD BE'!$AJ$30+'TUSD BF'!$AJ$30+'TUSD CVA'!$AJ$30)*(1 - 0.4)</f>
        <v>0</v>
      </c>
      <c r="AG30" s="13">
        <f ca="1">('TUSD BE'!$AK$30+'TUSD BF'!$AK$30+'TUSD CVA'!$AK$30)*(1 - 0.4)</f>
        <v>0</v>
      </c>
      <c r="AI30" s="13">
        <v>0</v>
      </c>
      <c r="AJ30" s="13">
        <v>0.55992252183003599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37.839541319372799</v>
      </c>
      <c r="AV30" s="13">
        <v>0</v>
      </c>
      <c r="AW30" s="13">
        <v>0</v>
      </c>
      <c r="AX30" s="13">
        <v>92.369483997368704</v>
      </c>
      <c r="AY30" s="13">
        <v>0</v>
      </c>
      <c r="AZ30" s="13">
        <v>0</v>
      </c>
      <c r="BA30" s="13">
        <v>16.348624503033701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8"/>
      <c r="B31" s="98"/>
      <c r="C31" s="98"/>
      <c r="D31" s="17" t="s">
        <v>31</v>
      </c>
      <c r="E31" s="17" t="s">
        <v>25</v>
      </c>
      <c r="F31" s="17" t="s">
        <v>25</v>
      </c>
      <c r="G31" s="18" t="s">
        <v>87</v>
      </c>
      <c r="H31" s="18" t="s">
        <v>82</v>
      </c>
      <c r="I31" s="18">
        <f>'MERCADO TUSD'!$U$28</f>
        <v>0</v>
      </c>
      <c r="J31" s="15"/>
      <c r="L31" s="13">
        <f>('TUSD BE'!$L$31+'TUSD BF'!$L$31+'TUSD CVA'!$L$31)*(1 - 0.1)</f>
        <v>0</v>
      </c>
      <c r="M31" s="13">
        <f>('TUSD BE'!$M$31+'TUSD BF'!$M$31+'TUSD CVA'!$M$31)*(1 - 0.1)</f>
        <v>1.035108211014456</v>
      </c>
      <c r="N31" s="13">
        <f ca="1">('TUSD BE'!$N$31+'TUSD BF'!$N$31+'TUSD CVA'!$N$31)*(1 - 0.1)</f>
        <v>0</v>
      </c>
      <c r="O31" s="13">
        <f>('TUSD BE'!$O$31+'TUSD BF'!$O$31+'TUSD CVA'!$O$31)*(1 - 0.1)</f>
        <v>0</v>
      </c>
      <c r="P31" s="13">
        <v>0</v>
      </c>
      <c r="Q31" s="13">
        <f>('TUSD BE'!$Q$31+'TUSD BF'!$Q$31+'TUSD CVA'!$Q$31)*(1 - 0.1)</f>
        <v>0</v>
      </c>
      <c r="R31" s="13">
        <v>0</v>
      </c>
      <c r="S31" s="13">
        <f>('TUSD BE'!$S$31+'TUSD BF'!$S$31+'TUSD CVA'!$S$31)*(1 - 0.1)</f>
        <v>0</v>
      </c>
      <c r="T31" s="13">
        <f>('TUSD BE'!$U$31+'TUSD BF'!$U$31+'TUSD CVA'!$U$31)*(1 - 0.1)</f>
        <v>0</v>
      </c>
      <c r="U31" s="13">
        <f>('TUSD BE'!$V$31+'TUSD BF'!$V$31+'TUSD CVA'!$V$31)*(1 - 0.1)</f>
        <v>0</v>
      </c>
      <c r="V31" s="13">
        <f>('TUSD BE'!$W$31+'TUSD BF'!$W$31+'TUSD CVA'!$W$31)*(1 - 0.1)</f>
        <v>0</v>
      </c>
      <c r="W31" s="13">
        <f>('TUSD BE'!$X$31+'TUSD BF'!$X$31+'TUSD CVA'!$X$31)*(1 - 0.1)</f>
        <v>0</v>
      </c>
      <c r="X31" s="13">
        <f>('TUSD BE'!$Y$31+'TUSD BF'!$Y$31+'TUSD CVA'!$Y$31)*(1 - 0.1)</f>
        <v>65.281610982850111</v>
      </c>
      <c r="Y31" s="13">
        <f>('TUSD BE'!$Z$31+'TUSD BF'!$Z$31+'TUSD CVA'!$Z$31)*(1 - 0.1)</f>
        <v>0</v>
      </c>
      <c r="Z31" s="13">
        <f>('TUSD BE'!$AA$31+'TUSD BF'!$AA$31+'TUSD CVA'!$AA$31)*(1 - 0.1)</f>
        <v>0</v>
      </c>
      <c r="AA31" s="13">
        <f>('TUSD BE'!$AC$31+'TUSD BF'!$AC$31+'TUSD CVA'!$AC$31)*(1 - 0.1)</f>
        <v>164.70653714183223</v>
      </c>
      <c r="AB31" s="13">
        <f ca="1">('TUSD BE'!$AE$31+'TUSD BF'!$AE$31+'TUSD CVA'!$AE$31)*(1 - 0.1)</f>
        <v>0</v>
      </c>
      <c r="AC31" s="13">
        <f ca="1">('TUSD BE'!$AF$31+'TUSD BF'!$AF$31+'TUSD CVA'!$AF$31)*(1 - 0.1)</f>
        <v>0</v>
      </c>
      <c r="AD31" s="13">
        <f>('TUSD BE'!$AH$31+'TUSD BF'!$AH$31+'TUSD CVA'!$AH$31)*(1 - 0.1)</f>
        <v>20.249199575835057</v>
      </c>
      <c r="AE31" s="13">
        <f>('TUSD BE'!$AI$31+'TUSD BF'!$AI$31+'TUSD CVA'!$AI$31)*(1 - 0.1)</f>
        <v>0.55577507897371048</v>
      </c>
      <c r="AF31" s="13">
        <f ca="1">('TUSD BE'!$AJ$31+'TUSD BF'!$AJ$31+'TUSD CVA'!$AJ$31)*(1 - 0.1)</f>
        <v>0</v>
      </c>
      <c r="AG31" s="13">
        <f ca="1">('TUSD BE'!$AK$31+'TUSD BF'!$AK$31+'TUSD CVA'!$AK$31)*(1 - 0.1)</f>
        <v>0</v>
      </c>
      <c r="AI31" s="13">
        <v>0</v>
      </c>
      <c r="AJ31" s="13">
        <v>0.83988378274505304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56.759311979059198</v>
      </c>
      <c r="AV31" s="13">
        <v>0</v>
      </c>
      <c r="AW31" s="13">
        <v>0</v>
      </c>
      <c r="AX31" s="13">
        <v>138.55422599605299</v>
      </c>
      <c r="AY31" s="13">
        <v>0</v>
      </c>
      <c r="AZ31" s="13">
        <v>0</v>
      </c>
      <c r="BA31" s="13">
        <v>24.5229367545505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8"/>
      <c r="B32" s="98"/>
      <c r="C32" s="98"/>
      <c r="D32" s="17" t="s">
        <v>32</v>
      </c>
      <c r="E32" s="17" t="s">
        <v>25</v>
      </c>
      <c r="F32" s="17" t="s">
        <v>25</v>
      </c>
      <c r="G32" s="18" t="s">
        <v>87</v>
      </c>
      <c r="H32" s="18" t="s">
        <v>82</v>
      </c>
      <c r="I32" s="18">
        <f>'MERCADO TUSD'!$U$29</f>
        <v>0</v>
      </c>
      <c r="J32" s="15"/>
      <c r="L32" s="13">
        <f>('TUSD BE'!$L$32+'TUSD BF'!$L$32+'TUSD CVA'!$L$32)*1</f>
        <v>0</v>
      </c>
      <c r="M32" s="13">
        <f>('TUSD BE'!$M$32+'TUSD BF'!$M$32+'TUSD CVA'!$M$32)*1</f>
        <v>1.1501202344605066</v>
      </c>
      <c r="N32" s="13">
        <f ca="1">('TUSD BE'!$N$32+'TUSD BF'!$N$32+'TUSD CVA'!$N$32)*1</f>
        <v>0</v>
      </c>
      <c r="O32" s="13">
        <f>('TUSD BE'!$O$32+'TUSD BF'!$O$32+'TUSD CVA'!$O$32)*1</f>
        <v>0</v>
      </c>
      <c r="P32" s="13">
        <v>0</v>
      </c>
      <c r="Q32" s="13">
        <f>('TUSD BE'!$Q$32+'TUSD BF'!$Q$32+'TUSD CVA'!$Q$32)*1</f>
        <v>0</v>
      </c>
      <c r="R32" s="13">
        <v>0</v>
      </c>
      <c r="S32" s="13">
        <f>('TUSD BE'!$S$32+'TUSD BF'!$S$32+'TUSD CVA'!$S$32)*1</f>
        <v>0</v>
      </c>
      <c r="T32" s="13">
        <f>('TUSD BE'!$U$32+'TUSD BF'!$U$32+'TUSD CVA'!$U$32)*1</f>
        <v>0</v>
      </c>
      <c r="U32" s="13">
        <f>('TUSD BE'!$V$32+'TUSD BF'!$V$32+'TUSD CVA'!$V$32)*1</f>
        <v>0</v>
      </c>
      <c r="V32" s="13">
        <f>('TUSD BE'!$W$32+'TUSD BF'!$W$32+'TUSD CVA'!$W$32)*1</f>
        <v>0</v>
      </c>
      <c r="W32" s="13">
        <f>('TUSD BE'!$X$32+'TUSD BF'!$X$32+'TUSD CVA'!$X$32)*1</f>
        <v>0</v>
      </c>
      <c r="X32" s="13">
        <f>('TUSD BE'!$Y$32+'TUSD BF'!$Y$32+'TUSD CVA'!$Y$32)*1</f>
        <v>72.535123314277897</v>
      </c>
      <c r="Y32" s="13">
        <f>('TUSD BE'!$Z$32+'TUSD BF'!$Z$32+'TUSD CVA'!$Z$32)*1</f>
        <v>0</v>
      </c>
      <c r="Z32" s="13">
        <f>('TUSD BE'!$AA$32+'TUSD BF'!$AA$32+'TUSD CVA'!$AA$32)*1</f>
        <v>0</v>
      </c>
      <c r="AA32" s="13">
        <f>('TUSD BE'!$AC$32+'TUSD BF'!$AC$32+'TUSD CVA'!$AC$32)*1</f>
        <v>183.00726349092469</v>
      </c>
      <c r="AB32" s="13">
        <f ca="1">('TUSD BE'!$AE$32+'TUSD BF'!$AE$32+'TUSD CVA'!$AE$32)*1</f>
        <v>0</v>
      </c>
      <c r="AC32" s="13">
        <f ca="1">('TUSD BE'!$AF$32+'TUSD BF'!$AF$32+'TUSD CVA'!$AF$32)*1</f>
        <v>0</v>
      </c>
      <c r="AD32" s="13">
        <f>('TUSD BE'!$AH$32+'TUSD BF'!$AH$32+'TUSD CVA'!$AH$32)*1</f>
        <v>22.499110639816731</v>
      </c>
      <c r="AE32" s="13">
        <f>('TUSD BE'!$AI$32+'TUSD BF'!$AI$32+'TUSD CVA'!$AI$32)*1</f>
        <v>0.61752786552634498</v>
      </c>
      <c r="AF32" s="13">
        <f ca="1">('TUSD BE'!$AJ$32+'TUSD BF'!$AJ$32+'TUSD CVA'!$AJ$32)*1</f>
        <v>0</v>
      </c>
      <c r="AG32" s="13">
        <f ca="1">('TUSD BE'!$AK$32+'TUSD BF'!$AK$32+'TUSD CVA'!$AK$32)*1</f>
        <v>0</v>
      </c>
      <c r="AI32" s="13">
        <v>0</v>
      </c>
      <c r="AJ32" s="13">
        <v>0.93320420305005902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63.065902198954703</v>
      </c>
      <c r="AV32" s="13">
        <v>0</v>
      </c>
      <c r="AW32" s="13">
        <v>0</v>
      </c>
      <c r="AX32" s="13">
        <v>153.94913999561399</v>
      </c>
      <c r="AY32" s="13">
        <v>0</v>
      </c>
      <c r="AZ32" s="13">
        <v>0</v>
      </c>
      <c r="BA32" s="13">
        <v>27.247707505056098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8" t="s">
        <v>40</v>
      </c>
      <c r="B33" s="98" t="s">
        <v>97</v>
      </c>
      <c r="C33" s="98" t="s">
        <v>41</v>
      </c>
      <c r="D33" s="98" t="s">
        <v>25</v>
      </c>
      <c r="E33" s="98" t="s">
        <v>25</v>
      </c>
      <c r="F33" s="98" t="s">
        <v>25</v>
      </c>
      <c r="G33" s="18" t="s">
        <v>83</v>
      </c>
      <c r="H33" s="18" t="s">
        <v>82</v>
      </c>
      <c r="I33" s="18">
        <f>'MERCADO TUSD'!$U$30</f>
        <v>0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1.081113020392876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87.62527278911719</v>
      </c>
      <c r="R33" s="13">
        <f>('TUSD BE'!$R$33+'TUSD BF'!$R$33+'TUSD CVA'!$R$33)*(1 - CUSTOS!$M$38)</f>
        <v>13.827099029487194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235.29036575559741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507.47906197538515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21.149164001427724</v>
      </c>
      <c r="AE33" s="13">
        <f>('TUSD BE'!$AI$33+'TUSD BF'!$AI$33+'TUSD CVA'!$AI$33)*(1 - CUSTOS!$M$38)</f>
        <v>0.58047619359476421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0.82121969868405198</v>
      </c>
      <c r="AK33" s="13">
        <v>0</v>
      </c>
      <c r="AL33" s="13">
        <v>0</v>
      </c>
      <c r="AM33" s="13">
        <v>0</v>
      </c>
      <c r="AN33" s="13">
        <v>51.366928821075</v>
      </c>
      <c r="AO33" s="13">
        <v>7.98963380108931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191.51606623777701</v>
      </c>
      <c r="AV33" s="13">
        <v>0</v>
      </c>
      <c r="AW33" s="13">
        <v>0</v>
      </c>
      <c r="AX33" s="13">
        <v>399.651930737128</v>
      </c>
      <c r="AY33" s="13">
        <v>0</v>
      </c>
      <c r="AZ33" s="13">
        <v>0</v>
      </c>
      <c r="BA33" s="13">
        <v>23.977982604449402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8"/>
      <c r="B34" s="98"/>
      <c r="C34" s="98"/>
      <c r="D34" s="98"/>
      <c r="E34" s="98"/>
      <c r="F34" s="98"/>
      <c r="G34" s="18" t="s">
        <v>95</v>
      </c>
      <c r="H34" s="18" t="s">
        <v>82</v>
      </c>
      <c r="I34" s="18">
        <f>'MERCADO TUSD'!$U$31</f>
        <v>0</v>
      </c>
      <c r="J34" s="15"/>
      <c r="L34" s="13">
        <f>('TUSD BE'!$L$34+'TUSD BF'!$L$34+'TUSD CVA'!$L$34)*(1 - CUSTOS!$M$38)</f>
        <v>0</v>
      </c>
      <c r="M34" s="13">
        <f>('TUSD BE'!$M$34+'TUSD BF'!$M$34+'TUSD CVA'!$M$34)*(1 - CUSTOS!$M$38)</f>
        <v>1.081113020392876</v>
      </c>
      <c r="N34" s="13">
        <f ca="1">('TUSD BE'!$N$34+'TUSD BF'!$N$34+'TUSD CVA'!$N$34)*(1 - CUSTOS!$M$38)</f>
        <v>0</v>
      </c>
      <c r="O34" s="13">
        <f>('TUSD BE'!$O$34+'TUSD BF'!$O$34+'TUSD CVA'!$O$34)*(1 - CUSTOS!$M$38)</f>
        <v>0</v>
      </c>
      <c r="P34" s="13">
        <f>('TUSD BE'!$P$34+'TUSD BF'!$P$34+'TUSD CVA'!$P$34)*(1 - CUSTOS!$M$38)</f>
        <v>0</v>
      </c>
      <c r="Q34" s="13">
        <f>('TUSD BE'!$Q$34+'TUSD BF'!$Q$34+'TUSD CVA'!$Q$34)*(1 - CUSTOS!$M$38)</f>
        <v>87.62527278911719</v>
      </c>
      <c r="R34" s="13">
        <f>('TUSD BE'!$R$34+'TUSD BF'!$R$34+'TUSD CVA'!$R$34)*(1 - CUSTOS!$M$38)</f>
        <v>13.827099029487194</v>
      </c>
      <c r="S34" s="13">
        <f>('TUSD BE'!$S$34+'TUSD BF'!$S$34+'TUSD CVA'!$S$34)*(1 - CUSTOS!$M$38)</f>
        <v>0</v>
      </c>
      <c r="T34" s="13">
        <f>('TUSD BE'!$U$34+'TUSD BF'!$U$34+'TUSD CVA'!$U$34)*(1 - CUSTOS!$M$38)</f>
        <v>0</v>
      </c>
      <c r="U34" s="13">
        <f>('TUSD BE'!$V$34+'TUSD BF'!$V$34+'TUSD CVA'!$V$34)*(1 - CUSTOS!$M$38)</f>
        <v>0</v>
      </c>
      <c r="V34" s="13">
        <f>('TUSD BE'!$W$34+'TUSD BF'!$W$34+'TUSD CVA'!$W$34)*(1 - CUSTOS!$M$38)</f>
        <v>0</v>
      </c>
      <c r="W34" s="13">
        <f>('TUSD BE'!$X$34+'TUSD BF'!$X$34+'TUSD CVA'!$X$34)*(1 - CUSTOS!$M$38)</f>
        <v>0</v>
      </c>
      <c r="X34" s="13">
        <f>('TUSD BE'!$Y$34+'TUSD BF'!$Y$34+'TUSD CVA'!$Y$34)*(1 - CUSTOS!$M$38)</f>
        <v>141.1472205468076</v>
      </c>
      <c r="Y34" s="13">
        <f>('TUSD BE'!$Z$34+'TUSD BF'!$Z$34+'TUSD CVA'!$Z$34)*(1 - CUSTOS!$M$38)</f>
        <v>0</v>
      </c>
      <c r="Z34" s="13">
        <f>('TUSD BE'!$AA$34+'TUSD BF'!$AA$34+'TUSD CVA'!$AA$34)*(1 - CUSTOS!$M$38)</f>
        <v>0</v>
      </c>
      <c r="AA34" s="13">
        <f>('TUSD BE'!$AC$34+'TUSD BF'!$AC$34+'TUSD CVA'!$AC$34)*(1 - CUSTOS!$M$38)</f>
        <v>304.4873461167179</v>
      </c>
      <c r="AB34" s="13">
        <f ca="1">('TUSD BE'!$AE$34+'TUSD BF'!$AE$34+'TUSD CVA'!$AE$34)*(1 - CUSTOS!$M$38)</f>
        <v>0</v>
      </c>
      <c r="AC34" s="13">
        <f ca="1">('TUSD BE'!$AF$34+'TUSD BF'!$AF$34+'TUSD CVA'!$AF$34)*(1 - CUSTOS!$M$38)</f>
        <v>0</v>
      </c>
      <c r="AD34" s="13">
        <f>('TUSD BE'!$AH$34+'TUSD BF'!$AH$34+'TUSD CVA'!$AH$34)*(1 - CUSTOS!$M$38)</f>
        <v>21.149164001427724</v>
      </c>
      <c r="AE34" s="13">
        <f>('TUSD BE'!$AI$34+'TUSD BF'!$AI$34+'TUSD CVA'!$AI$34)*(1 - CUSTOS!$M$38)</f>
        <v>0.58047619359476421</v>
      </c>
      <c r="AF34" s="13">
        <f ca="1">('TUSD BE'!$AJ$34+'TUSD BF'!$AJ$34+'TUSD CVA'!$AJ$34)*(1 - CUSTOS!$M$38)</f>
        <v>0</v>
      </c>
      <c r="AG34" s="13">
        <f ca="1">('TUSD BE'!$AK$34+'TUSD BF'!$AK$34+'TUSD CVA'!$AK$34)*(1 - CUSTOS!$M$38)</f>
        <v>0</v>
      </c>
      <c r="AI34" s="13">
        <v>0</v>
      </c>
      <c r="AJ34" s="13">
        <v>0.82121969868405198</v>
      </c>
      <c r="AK34" s="13">
        <v>0</v>
      </c>
      <c r="AL34" s="13">
        <v>0</v>
      </c>
      <c r="AM34" s="13">
        <v>0</v>
      </c>
      <c r="AN34" s="13">
        <v>51.366928821075</v>
      </c>
      <c r="AO34" s="13">
        <v>7.98963380108931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114.88766738646</v>
      </c>
      <c r="AV34" s="13">
        <v>0</v>
      </c>
      <c r="AW34" s="13">
        <v>0</v>
      </c>
      <c r="AX34" s="13">
        <v>239.79109728979901</v>
      </c>
      <c r="AY34" s="13">
        <v>0</v>
      </c>
      <c r="AZ34" s="13">
        <v>0</v>
      </c>
      <c r="BA34" s="13">
        <v>23.977982604449402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8"/>
      <c r="B35" s="98"/>
      <c r="C35" s="98"/>
      <c r="D35" s="98"/>
      <c r="E35" s="98"/>
      <c r="F35" s="98"/>
      <c r="G35" s="18" t="s">
        <v>84</v>
      </c>
      <c r="H35" s="18" t="s">
        <v>82</v>
      </c>
      <c r="I35" s="18">
        <f>'MERCADO TUSD'!$U$32</f>
        <v>0</v>
      </c>
      <c r="J35" s="15"/>
      <c r="L35" s="13">
        <f>('TUSD BE'!$L$35+'TUSD BF'!$L$35+'TUSD CVA'!$L$35)*(1 - CUSTOS!$M$38)</f>
        <v>0</v>
      </c>
      <c r="M35" s="13">
        <f>('TUSD BE'!$M$35+'TUSD BF'!$M$35+'TUSD CVA'!$M$35)*(1 - CUSTOS!$M$38)</f>
        <v>1.081113020392876</v>
      </c>
      <c r="N35" s="13">
        <f ca="1">('TUSD BE'!$N$35+'TUSD BF'!$N$35+'TUSD CVA'!$N$35)*(1 - CUSTOS!$M$38)</f>
        <v>0</v>
      </c>
      <c r="O35" s="13">
        <f>('TUSD BE'!$O$35+'TUSD BF'!$O$35+'TUSD CVA'!$O$35)*(1 - CUSTOS!$M$38)</f>
        <v>0</v>
      </c>
      <c r="P35" s="13">
        <f>('TUSD BE'!$P$35+'TUSD BF'!$P$35+'TUSD CVA'!$P$35)*(1 - CUSTOS!$M$38)</f>
        <v>0</v>
      </c>
      <c r="Q35" s="13">
        <f>('TUSD BE'!$Q$35+'TUSD BF'!$Q$35+'TUSD CVA'!$Q$35)*(1 - CUSTOS!$M$38)</f>
        <v>87.62527278911719</v>
      </c>
      <c r="R35" s="13">
        <f>('TUSD BE'!$R$35+'TUSD BF'!$R$35+'TUSD CVA'!$R$35)*(1 - CUSTOS!$M$38)</f>
        <v>13.827099029487194</v>
      </c>
      <c r="S35" s="13">
        <f>('TUSD BE'!$S$35+'TUSD BF'!$S$35+'TUSD CVA'!$S$35)*(1 - CUSTOS!$M$38)</f>
        <v>0</v>
      </c>
      <c r="T35" s="13">
        <f>('TUSD BE'!$U$35+'TUSD BF'!$U$35+'TUSD CVA'!$U$35)*(1 - CUSTOS!$M$38)</f>
        <v>0</v>
      </c>
      <c r="U35" s="13">
        <f>('TUSD BE'!$V$35+'TUSD BF'!$V$35+'TUSD CVA'!$V$35)*(1 - CUSTOS!$M$38)</f>
        <v>0</v>
      </c>
      <c r="V35" s="13">
        <f>('TUSD BE'!$W$35+'TUSD BF'!$W$35+'TUSD CVA'!$W$35)*(1 - CUSTOS!$M$38)</f>
        <v>0</v>
      </c>
      <c r="W35" s="13">
        <f>('TUSD BE'!$X$35+'TUSD BF'!$X$35+'TUSD CVA'!$X$35)*(1 - CUSTOS!$M$38)</f>
        <v>0</v>
      </c>
      <c r="X35" s="13">
        <f>('TUSD BE'!$Y$35+'TUSD BF'!$Y$35+'TUSD CVA'!$Y$35)*(1 - CUSTOS!$M$38)</f>
        <v>47.037880691598247</v>
      </c>
      <c r="Y35" s="13">
        <f>('TUSD BE'!$Z$35+'TUSD BF'!$Z$35+'TUSD CVA'!$Z$35)*(1 - CUSTOS!$M$38)</f>
        <v>0</v>
      </c>
      <c r="Z35" s="13">
        <f>('TUSD BE'!$AA$35+'TUSD BF'!$AA$35+'TUSD CVA'!$AA$35)*(1 - CUSTOS!$M$38)</f>
        <v>0</v>
      </c>
      <c r="AA35" s="13">
        <f>('TUSD BE'!$AC$35+'TUSD BF'!$AC$35+'TUSD CVA'!$AC$35)*(1 - CUSTOS!$M$38)</f>
        <v>101.49578203890599</v>
      </c>
      <c r="AB35" s="13">
        <f ca="1">('TUSD BE'!$AE$35+'TUSD BF'!$AE$35+'TUSD CVA'!$AE$35)*(1 - CUSTOS!$M$38)</f>
        <v>0</v>
      </c>
      <c r="AC35" s="13">
        <f ca="1">('TUSD BE'!$AF$35+'TUSD BF'!$AF$35+'TUSD CVA'!$AF$35)*(1 - CUSTOS!$M$38)</f>
        <v>0</v>
      </c>
      <c r="AD35" s="13">
        <f>('TUSD BE'!$AH$35+'TUSD BF'!$AH$35+'TUSD CVA'!$AH$35)*(1 - CUSTOS!$M$38)</f>
        <v>21.149164001427724</v>
      </c>
      <c r="AE35" s="13">
        <f>('TUSD BE'!$AI$35+'TUSD BF'!$AI$35+'TUSD CVA'!$AI$35)*(1 - CUSTOS!$M$38)</f>
        <v>0.58047619359476421</v>
      </c>
      <c r="AF35" s="13">
        <f ca="1">('TUSD BE'!$AJ$35+'TUSD BF'!$AJ$35+'TUSD CVA'!$AJ$35)*(1 - CUSTOS!$M$38)</f>
        <v>0</v>
      </c>
      <c r="AG35" s="13">
        <f ca="1">('TUSD BE'!$AK$35+'TUSD BF'!$AK$35+'TUSD CVA'!$AK$35)*(1 - CUSTOS!$M$38)</f>
        <v>0</v>
      </c>
      <c r="AI35" s="13">
        <v>0</v>
      </c>
      <c r="AJ35" s="13">
        <v>0.82121969868405198</v>
      </c>
      <c r="AK35" s="13">
        <v>0</v>
      </c>
      <c r="AL35" s="13">
        <v>0</v>
      </c>
      <c r="AM35" s="13">
        <v>0</v>
      </c>
      <c r="AN35" s="13">
        <v>51.366928821075</v>
      </c>
      <c r="AO35" s="13">
        <v>7.98963380108931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38.286733980400498</v>
      </c>
      <c r="AV35" s="13">
        <v>0</v>
      </c>
      <c r="AW35" s="13">
        <v>0</v>
      </c>
      <c r="AX35" s="13">
        <v>79.930386147425693</v>
      </c>
      <c r="AY35" s="13">
        <v>0</v>
      </c>
      <c r="AZ35" s="13">
        <v>0</v>
      </c>
      <c r="BA35" s="13">
        <v>23.977982604449402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8"/>
      <c r="B36" s="17" t="s">
        <v>23</v>
      </c>
      <c r="C36" s="17" t="s">
        <v>41</v>
      </c>
      <c r="D36" s="17" t="s">
        <v>25</v>
      </c>
      <c r="E36" s="17" t="s">
        <v>25</v>
      </c>
      <c r="F36" s="17" t="s">
        <v>25</v>
      </c>
      <c r="G36" s="18" t="s">
        <v>87</v>
      </c>
      <c r="H36" s="18" t="s">
        <v>82</v>
      </c>
      <c r="I36" s="18">
        <f>'MERCADO TUSD'!$U$33</f>
        <v>28155.339999999997</v>
      </c>
      <c r="J36" s="15"/>
      <c r="L36" s="13">
        <f>('TUSD BE'!$L$36+'TUSD BF'!$L$36+'TUSD CVA'!$L$36)*(1 - CUSTOS!$M$38)</f>
        <v>0</v>
      </c>
      <c r="M36" s="13">
        <f>('TUSD BE'!$M$36+'TUSD BF'!$M$36+'TUSD CVA'!$M$36)*(1 - CUSTOS!$M$38)</f>
        <v>1.081113020392876</v>
      </c>
      <c r="N36" s="13">
        <f ca="1">('TUSD BE'!$N$36+'TUSD BF'!$N$36+'TUSD CVA'!$N$36)*(1 - CUSTOS!$M$38)</f>
        <v>0</v>
      </c>
      <c r="O36" s="13">
        <f>('TUSD BE'!$O$36+'TUSD BF'!$O$36+'TUSD CVA'!$O$36)*(1 - CUSTOS!$M$38)</f>
        <v>0</v>
      </c>
      <c r="P36" s="13">
        <f>('TUSD BE'!$P$36+'TUSD BF'!$P$36+'TUSD CVA'!$P$36)*(1 - CUSTOS!$M$38)</f>
        <v>0</v>
      </c>
      <c r="Q36" s="13">
        <f>('TUSD BE'!$Q$36+'TUSD BF'!$Q$36+'TUSD CVA'!$Q$36)*(1 - CUSTOS!$M$38)</f>
        <v>87.62527278911719</v>
      </c>
      <c r="R36" s="13">
        <f>('TUSD BE'!$R$36+'TUSD BF'!$R$36+'TUSD CVA'!$R$36)*(1 - CUSTOS!$M$38)</f>
        <v>13.827099029487194</v>
      </c>
      <c r="S36" s="13">
        <f>('TUSD BE'!$S$36+'TUSD BF'!$S$36+'TUSD CVA'!$S$36)*(1 - CUSTOS!$M$38)</f>
        <v>0</v>
      </c>
      <c r="T36" s="13">
        <f>('TUSD BE'!$U$36+'TUSD BF'!$U$36+'TUSD CVA'!$U$36)*(1 - CUSTOS!$M$38)</f>
        <v>0</v>
      </c>
      <c r="U36" s="13">
        <f>('TUSD BE'!$V$36+'TUSD BF'!$V$36+'TUSD CVA'!$V$36)*(1 - CUSTOS!$M$38)</f>
        <v>0</v>
      </c>
      <c r="V36" s="13">
        <f>('TUSD BE'!$W$36+'TUSD BF'!$W$36+'TUSD CVA'!$W$36)*(1 - CUSTOS!$M$38)</f>
        <v>0</v>
      </c>
      <c r="W36" s="13">
        <f>('TUSD BE'!$X$36+'TUSD BF'!$X$36+'TUSD CVA'!$X$36)*(1 - CUSTOS!$M$38)</f>
        <v>0</v>
      </c>
      <c r="X36" s="13">
        <f>('TUSD BE'!$Y$36+'TUSD BF'!$Y$36+'TUSD CVA'!$Y$36)*(1 - CUSTOS!$M$38)</f>
        <v>68.183015915421223</v>
      </c>
      <c r="Y36" s="13">
        <f>('TUSD BE'!$Z$36+'TUSD BF'!$Z$36+'TUSD CVA'!$Z$36)*(1 - CUSTOS!$M$38)</f>
        <v>0</v>
      </c>
      <c r="Z36" s="13">
        <f>('TUSD BE'!$AA$36+'TUSD BF'!$AA$36+'TUSD CVA'!$AA$36)*(1 - CUSTOS!$M$38)</f>
        <v>0</v>
      </c>
      <c r="AA36" s="13">
        <f>('TUSD BE'!$AC$36+'TUSD BF'!$AC$36+'TUSD CVA'!$AC$36)*(1 - CUSTOS!$M$38)</f>
        <v>172.0268276814692</v>
      </c>
      <c r="AB36" s="13">
        <f ca="1">('TUSD BE'!$AE$36+'TUSD BF'!$AE$36+'TUSD CVA'!$AE$36)*(1 - CUSTOS!$M$38)</f>
        <v>0</v>
      </c>
      <c r="AC36" s="13">
        <f ca="1">('TUSD BE'!$AF$36+'TUSD BF'!$AF$36+'TUSD CVA'!$AF$36)*(1 - CUSTOS!$M$38)</f>
        <v>0</v>
      </c>
      <c r="AD36" s="13">
        <f>('TUSD BE'!$AH$36+'TUSD BF'!$AH$36+'TUSD CVA'!$AH$36)*(1 - CUSTOS!$M$38)</f>
        <v>21.149164001427724</v>
      </c>
      <c r="AE36" s="13">
        <f>('TUSD BE'!$AI$36+'TUSD BF'!$AI$36+'TUSD CVA'!$AI$36)*(1 - CUSTOS!$M$38)</f>
        <v>0.58047619359476421</v>
      </c>
      <c r="AF36" s="13">
        <f ca="1">('TUSD BE'!$AJ$36+'TUSD BF'!$AJ$36+'TUSD CVA'!$AJ$36)*(1 - CUSTOS!$M$38)</f>
        <v>0</v>
      </c>
      <c r="AG36" s="13">
        <f ca="1">('TUSD BE'!$AK$36+'TUSD BF'!$AK$36+'TUSD CVA'!$AK$36)*(1 - CUSTOS!$M$38)</f>
        <v>0</v>
      </c>
      <c r="AI36" s="13">
        <v>0</v>
      </c>
      <c r="AJ36" s="13">
        <v>0.82121969868405198</v>
      </c>
      <c r="AK36" s="13">
        <v>0</v>
      </c>
      <c r="AL36" s="13">
        <v>0</v>
      </c>
      <c r="AM36" s="13">
        <v>0</v>
      </c>
      <c r="AN36" s="13">
        <v>51.366928821075</v>
      </c>
      <c r="AO36" s="13">
        <v>7.98963380108931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55.497993935080103</v>
      </c>
      <c r="AV36" s="13">
        <v>0</v>
      </c>
      <c r="AW36" s="13">
        <v>0</v>
      </c>
      <c r="AX36" s="13">
        <v>135.47524319614101</v>
      </c>
      <c r="AY36" s="13">
        <v>0</v>
      </c>
      <c r="AZ36" s="13">
        <v>0</v>
      </c>
      <c r="BA36" s="13">
        <v>23.977982604449402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8"/>
      <c r="B37" s="98" t="s">
        <v>97</v>
      </c>
      <c r="C37" s="98" t="s">
        <v>41</v>
      </c>
      <c r="D37" s="98" t="s">
        <v>100</v>
      </c>
      <c r="E37" s="98" t="s">
        <v>25</v>
      </c>
      <c r="F37" s="98" t="s">
        <v>25</v>
      </c>
      <c r="G37" s="18" t="s">
        <v>83</v>
      </c>
      <c r="H37" s="18" t="s">
        <v>82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1.081113020392876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87.62527278911719</v>
      </c>
      <c r="R37" s="13">
        <f>('TUSD BE'!$R$37+'TUSD BF'!$R$37+'TUSD CVA'!$R$37)*(1 - CUSTOS!$M$39)</f>
        <v>13.827099029487194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235.29036575559741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507.47906197538515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21.149164001427724</v>
      </c>
      <c r="AE37" s="13">
        <f>('TUSD BE'!$AI$37+'TUSD BF'!$AI$37+'TUSD CVA'!$AI$37)*(1 - CUSTOS!$M$39)</f>
        <v>0.58047619359476421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0.82121969868405198</v>
      </c>
      <c r="AK37" s="13">
        <v>0</v>
      </c>
      <c r="AL37" s="13">
        <v>0</v>
      </c>
      <c r="AM37" s="13">
        <v>0</v>
      </c>
      <c r="AN37" s="13">
        <v>51.366928821075</v>
      </c>
      <c r="AO37" s="13">
        <v>7.98963380108931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191.51606623777701</v>
      </c>
      <c r="AV37" s="13">
        <v>0</v>
      </c>
      <c r="AW37" s="13">
        <v>0</v>
      </c>
      <c r="AX37" s="13">
        <v>399.651930737128</v>
      </c>
      <c r="AY37" s="13">
        <v>0</v>
      </c>
      <c r="AZ37" s="13">
        <v>0</v>
      </c>
      <c r="BA37" s="13">
        <v>23.977982604449402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8"/>
      <c r="B38" s="98"/>
      <c r="C38" s="98"/>
      <c r="D38" s="98"/>
      <c r="E38" s="98"/>
      <c r="F38" s="98"/>
      <c r="G38" s="18" t="s">
        <v>95</v>
      </c>
      <c r="H38" s="18" t="s">
        <v>82</v>
      </c>
      <c r="I38" s="18">
        <f>'MERCADO TUSD'!$U$35</f>
        <v>0</v>
      </c>
      <c r="J38" s="15"/>
      <c r="L38" s="13">
        <f>('TUSD BE'!$L$38+'TUSD BF'!$L$38+'TUSD CVA'!$L$38)*(1 - CUSTOS!$M$39)</f>
        <v>0</v>
      </c>
      <c r="M38" s="13">
        <f>('TUSD BE'!$M$38+'TUSD BF'!$M$38+'TUSD CVA'!$M$38)*(1 - CUSTOS!$M$39)</f>
        <v>1.081113020392876</v>
      </c>
      <c r="N38" s="13">
        <f ca="1">('TUSD BE'!$N$38+'TUSD BF'!$N$38+'TUSD CVA'!$N$38)*(1 - CUSTOS!$M$39)</f>
        <v>0</v>
      </c>
      <c r="O38" s="13">
        <f>('TUSD BE'!$O$38+'TUSD BF'!$O$38+'TUSD CVA'!$O$38)*(1 - CUSTOS!$M$39)</f>
        <v>0</v>
      </c>
      <c r="P38" s="13">
        <f>('TUSD BE'!$P$38+'TUSD BF'!$P$38+'TUSD CVA'!$P$38)*(1 - CUSTOS!$M$39)</f>
        <v>0</v>
      </c>
      <c r="Q38" s="13">
        <f>('TUSD BE'!$Q$38+'TUSD BF'!$Q$38+'TUSD CVA'!$Q$38)*(1 - CUSTOS!$M$39)</f>
        <v>87.62527278911719</v>
      </c>
      <c r="R38" s="13">
        <f>('TUSD BE'!$R$38+'TUSD BF'!$R$38+'TUSD CVA'!$R$38)*(1 - CUSTOS!$M$39)</f>
        <v>13.827099029487194</v>
      </c>
      <c r="S38" s="13">
        <f>('TUSD BE'!$S$38+'TUSD BF'!$S$38+'TUSD CVA'!$S$38)*(1 - CUSTOS!$M$39)</f>
        <v>0</v>
      </c>
      <c r="T38" s="13">
        <f>('TUSD BE'!$U$38+'TUSD BF'!$U$38+'TUSD CVA'!$U$38)*(1 - CUSTOS!$M$39)</f>
        <v>0</v>
      </c>
      <c r="U38" s="13">
        <f>('TUSD BE'!$V$38+'TUSD BF'!$V$38+'TUSD CVA'!$V$38)*(1 - CUSTOS!$M$39)</f>
        <v>0</v>
      </c>
      <c r="V38" s="13">
        <f>('TUSD BE'!$W$38+'TUSD BF'!$W$38+'TUSD CVA'!$W$38)*(1 - CUSTOS!$M$39)</f>
        <v>0</v>
      </c>
      <c r="W38" s="13">
        <f>('TUSD BE'!$X$38+'TUSD BF'!$X$38+'TUSD CVA'!$X$38)*(1 - CUSTOS!$M$39)</f>
        <v>0</v>
      </c>
      <c r="X38" s="13">
        <f>('TUSD BE'!$Y$38+'TUSD BF'!$Y$38+'TUSD CVA'!$Y$38)*(1 - CUSTOS!$M$39)</f>
        <v>141.1472205468076</v>
      </c>
      <c r="Y38" s="13">
        <f>('TUSD BE'!$Z$38+'TUSD BF'!$Z$38+'TUSD CVA'!$Z$38)*(1 - CUSTOS!$M$39)</f>
        <v>0</v>
      </c>
      <c r="Z38" s="13">
        <f>('TUSD BE'!$AA$38+'TUSD BF'!$AA$38+'TUSD CVA'!$AA$38)*(1 - CUSTOS!$M$39)</f>
        <v>0</v>
      </c>
      <c r="AA38" s="13">
        <f>('TUSD BE'!$AC$38+'TUSD BF'!$AC$38+'TUSD CVA'!$AC$38)*(1 - CUSTOS!$M$39)</f>
        <v>304.4873461167179</v>
      </c>
      <c r="AB38" s="13">
        <f ca="1">('TUSD BE'!$AE$38+'TUSD BF'!$AE$38+'TUSD CVA'!$AE$38)*(1 - CUSTOS!$M$39)</f>
        <v>0</v>
      </c>
      <c r="AC38" s="13">
        <f ca="1">('TUSD BE'!$AF$38+'TUSD BF'!$AF$38+'TUSD CVA'!$AF$38)*(1 - CUSTOS!$M$39)</f>
        <v>0</v>
      </c>
      <c r="AD38" s="13">
        <f>('TUSD BE'!$AH$38+'TUSD BF'!$AH$38+'TUSD CVA'!$AH$38)*(1 - CUSTOS!$M$39)</f>
        <v>21.149164001427724</v>
      </c>
      <c r="AE38" s="13">
        <f>('TUSD BE'!$AI$38+'TUSD BF'!$AI$38+'TUSD CVA'!$AI$38)*(1 - CUSTOS!$M$39)</f>
        <v>0.58047619359476421</v>
      </c>
      <c r="AF38" s="13">
        <f ca="1">('TUSD BE'!$AJ$38+'TUSD BF'!$AJ$38+'TUSD CVA'!$AJ$38)*(1 - CUSTOS!$M$39)</f>
        <v>0</v>
      </c>
      <c r="AG38" s="13">
        <f ca="1">('TUSD BE'!$AK$38+'TUSD BF'!$AK$38+'TUSD CVA'!$AK$38)*(1 - CUSTOS!$M$39)</f>
        <v>0</v>
      </c>
      <c r="AI38" s="13">
        <v>0</v>
      </c>
      <c r="AJ38" s="13">
        <v>0.82121969868405198</v>
      </c>
      <c r="AK38" s="13">
        <v>0</v>
      </c>
      <c r="AL38" s="13">
        <v>0</v>
      </c>
      <c r="AM38" s="13">
        <v>0</v>
      </c>
      <c r="AN38" s="13">
        <v>51.366928821075</v>
      </c>
      <c r="AO38" s="13">
        <v>7.98963380108931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114.88766738646</v>
      </c>
      <c r="AV38" s="13">
        <v>0</v>
      </c>
      <c r="AW38" s="13">
        <v>0</v>
      </c>
      <c r="AX38" s="13">
        <v>239.79109728979901</v>
      </c>
      <c r="AY38" s="13">
        <v>0</v>
      </c>
      <c r="AZ38" s="13">
        <v>0</v>
      </c>
      <c r="BA38" s="13">
        <v>23.977982604449402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8"/>
      <c r="B39" s="98"/>
      <c r="C39" s="98"/>
      <c r="D39" s="98"/>
      <c r="E39" s="98"/>
      <c r="F39" s="98"/>
      <c r="G39" s="18" t="s">
        <v>84</v>
      </c>
      <c r="H39" s="18" t="s">
        <v>82</v>
      </c>
      <c r="I39" s="18">
        <f>'MERCADO TUSD'!$U$36</f>
        <v>0</v>
      </c>
      <c r="J39" s="15"/>
      <c r="L39" s="13">
        <f>('TUSD BE'!$L$39+'TUSD BF'!$L$39+'TUSD CVA'!$L$39)*(1 - CUSTOS!$M$39)</f>
        <v>0</v>
      </c>
      <c r="M39" s="13">
        <f>('TUSD BE'!$M$39+'TUSD BF'!$M$39+'TUSD CVA'!$M$39)*(1 - CUSTOS!$M$39)</f>
        <v>1.081113020392876</v>
      </c>
      <c r="N39" s="13">
        <f ca="1">('TUSD BE'!$N$39+'TUSD BF'!$N$39+'TUSD CVA'!$N$39)*(1 - CUSTOS!$M$39)</f>
        <v>0</v>
      </c>
      <c r="O39" s="13">
        <f>('TUSD BE'!$O$39+'TUSD BF'!$O$39+'TUSD CVA'!$O$39)*(1 - CUSTOS!$M$39)</f>
        <v>0</v>
      </c>
      <c r="P39" s="13">
        <f>('TUSD BE'!$P$39+'TUSD BF'!$P$39+'TUSD CVA'!$P$39)*(1 - CUSTOS!$M$39)</f>
        <v>0</v>
      </c>
      <c r="Q39" s="13">
        <f>('TUSD BE'!$Q$39+'TUSD BF'!$Q$39+'TUSD CVA'!$Q$39)*(1 - CUSTOS!$M$39)</f>
        <v>87.62527278911719</v>
      </c>
      <c r="R39" s="13">
        <f>('TUSD BE'!$R$39+'TUSD BF'!$R$39+'TUSD CVA'!$R$39)*(1 - CUSTOS!$M$39)</f>
        <v>13.827099029487194</v>
      </c>
      <c r="S39" s="13">
        <f>('TUSD BE'!$S$39+'TUSD BF'!$S$39+'TUSD CVA'!$S$39)*(1 - CUSTOS!$M$39)</f>
        <v>0</v>
      </c>
      <c r="T39" s="13">
        <f>('TUSD BE'!$U$39+'TUSD BF'!$U$39+'TUSD CVA'!$U$39)*(1 - CUSTOS!$M$39)</f>
        <v>0</v>
      </c>
      <c r="U39" s="13">
        <f>('TUSD BE'!$V$39+'TUSD BF'!$V$39+'TUSD CVA'!$V$39)*(1 - CUSTOS!$M$39)</f>
        <v>0</v>
      </c>
      <c r="V39" s="13">
        <f>('TUSD BE'!$W$39+'TUSD BF'!$W$39+'TUSD CVA'!$W$39)*(1 - CUSTOS!$M$39)</f>
        <v>0</v>
      </c>
      <c r="W39" s="13">
        <f>('TUSD BE'!$X$39+'TUSD BF'!$X$39+'TUSD CVA'!$X$39)*(1 - CUSTOS!$M$39)</f>
        <v>0</v>
      </c>
      <c r="X39" s="13">
        <f>('TUSD BE'!$Y$39+'TUSD BF'!$Y$39+'TUSD CVA'!$Y$39)*(1 - CUSTOS!$M$39)</f>
        <v>47.037880691598247</v>
      </c>
      <c r="Y39" s="13">
        <f>('TUSD BE'!$Z$39+'TUSD BF'!$Z$39+'TUSD CVA'!$Z$39)*(1 - CUSTOS!$M$39)</f>
        <v>0</v>
      </c>
      <c r="Z39" s="13">
        <f>('TUSD BE'!$AA$39+'TUSD BF'!$AA$39+'TUSD CVA'!$AA$39)*(1 - CUSTOS!$M$39)</f>
        <v>0</v>
      </c>
      <c r="AA39" s="13">
        <f>('TUSD BE'!$AC$39+'TUSD BF'!$AC$39+'TUSD CVA'!$AC$39)*(1 - CUSTOS!$M$39)</f>
        <v>101.49578203890599</v>
      </c>
      <c r="AB39" s="13">
        <f ca="1">('TUSD BE'!$AE$39+'TUSD BF'!$AE$39+'TUSD CVA'!$AE$39)*(1 - CUSTOS!$M$39)</f>
        <v>0</v>
      </c>
      <c r="AC39" s="13">
        <f ca="1">('TUSD BE'!$AF$39+'TUSD BF'!$AF$39+'TUSD CVA'!$AF$39)*(1 - CUSTOS!$M$39)</f>
        <v>0</v>
      </c>
      <c r="AD39" s="13">
        <f>('TUSD BE'!$AH$39+'TUSD BF'!$AH$39+'TUSD CVA'!$AH$39)*(1 - CUSTOS!$M$39)</f>
        <v>21.149164001427724</v>
      </c>
      <c r="AE39" s="13">
        <f>('TUSD BE'!$AI$39+'TUSD BF'!$AI$39+'TUSD CVA'!$AI$39)*(1 - CUSTOS!$M$39)</f>
        <v>0.58047619359476421</v>
      </c>
      <c r="AF39" s="13">
        <f ca="1">('TUSD BE'!$AJ$39+'TUSD BF'!$AJ$39+'TUSD CVA'!$AJ$39)*(1 - CUSTOS!$M$39)</f>
        <v>0</v>
      </c>
      <c r="AG39" s="13">
        <f ca="1">('TUSD BE'!$AK$39+'TUSD BF'!$AK$39+'TUSD CVA'!$AK$39)*(1 - CUSTOS!$M$39)</f>
        <v>0</v>
      </c>
      <c r="AI39" s="13">
        <v>0</v>
      </c>
      <c r="AJ39" s="13">
        <v>0.82121969868405198</v>
      </c>
      <c r="AK39" s="13">
        <v>0</v>
      </c>
      <c r="AL39" s="13">
        <v>0</v>
      </c>
      <c r="AM39" s="13">
        <v>0</v>
      </c>
      <c r="AN39" s="13">
        <v>51.366928821075</v>
      </c>
      <c r="AO39" s="13">
        <v>7.98963380108931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38.286733980400498</v>
      </c>
      <c r="AV39" s="13">
        <v>0</v>
      </c>
      <c r="AW39" s="13">
        <v>0</v>
      </c>
      <c r="AX39" s="13">
        <v>79.930386147425693</v>
      </c>
      <c r="AY39" s="13">
        <v>0</v>
      </c>
      <c r="AZ39" s="13">
        <v>0</v>
      </c>
      <c r="BA39" s="13">
        <v>23.977982604449402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8"/>
      <c r="B40" s="17" t="s">
        <v>23</v>
      </c>
      <c r="C40" s="17" t="s">
        <v>41</v>
      </c>
      <c r="D40" s="17" t="s">
        <v>100</v>
      </c>
      <c r="E40" s="17" t="s">
        <v>25</v>
      </c>
      <c r="F40" s="17" t="s">
        <v>25</v>
      </c>
      <c r="G40" s="18" t="s">
        <v>87</v>
      </c>
      <c r="H40" s="18" t="s">
        <v>82</v>
      </c>
      <c r="I40" s="18">
        <f>'MERCADO TUSD'!$U$37</f>
        <v>0</v>
      </c>
      <c r="J40" s="15"/>
      <c r="L40" s="13">
        <f>('TUSD BE'!$L$40+'TUSD BF'!$L$40+'TUSD CVA'!$L$40)*(1 - CUSTOS!$M$39)</f>
        <v>0</v>
      </c>
      <c r="M40" s="13">
        <f>('TUSD BE'!$M$40+'TUSD BF'!$M$40+'TUSD CVA'!$M$40)*(1 - CUSTOS!$M$39)</f>
        <v>1.081113020392876</v>
      </c>
      <c r="N40" s="13">
        <f ca="1">('TUSD BE'!$N$40+'TUSD BF'!$N$40+'TUSD CVA'!$N$40)*(1 - CUSTOS!$M$39)</f>
        <v>0</v>
      </c>
      <c r="O40" s="13">
        <f>('TUSD BE'!$O$40+'TUSD BF'!$O$40+'TUSD CVA'!$O$40)*(1 - CUSTOS!$M$39)</f>
        <v>0</v>
      </c>
      <c r="P40" s="13">
        <f>('TUSD BE'!$P$40+'TUSD BF'!$P$40+'TUSD CVA'!$P$40)*(1 - CUSTOS!$M$39)</f>
        <v>0</v>
      </c>
      <c r="Q40" s="13">
        <f>('TUSD BE'!$Q$40+'TUSD BF'!$Q$40+'TUSD CVA'!$Q$40)*(1 - CUSTOS!$M$39)</f>
        <v>87.62527278911719</v>
      </c>
      <c r="R40" s="13">
        <f>('TUSD BE'!$R$40+'TUSD BF'!$R$40+'TUSD CVA'!$R$40)*(1 - CUSTOS!$M$39)</f>
        <v>13.827099029487194</v>
      </c>
      <c r="S40" s="13">
        <f>('TUSD BE'!$S$40+'TUSD BF'!$S$40+'TUSD CVA'!$S$40)*(1 - CUSTOS!$M$39)</f>
        <v>0</v>
      </c>
      <c r="T40" s="13">
        <f>('TUSD BE'!$U$40+'TUSD BF'!$U$40+'TUSD CVA'!$U$40)*(1 - CUSTOS!$M$39)</f>
        <v>0</v>
      </c>
      <c r="U40" s="13">
        <f>('TUSD BE'!$V$40+'TUSD BF'!$V$40+'TUSD CVA'!$V$40)*(1 - CUSTOS!$M$39)</f>
        <v>0</v>
      </c>
      <c r="V40" s="13">
        <f>('TUSD BE'!$W$40+'TUSD BF'!$W$40+'TUSD CVA'!$W$40)*(1 - CUSTOS!$M$39)</f>
        <v>0</v>
      </c>
      <c r="W40" s="13">
        <f>('TUSD BE'!$X$40+'TUSD BF'!$X$40+'TUSD CVA'!$X$40)*(1 - CUSTOS!$M$39)</f>
        <v>0</v>
      </c>
      <c r="X40" s="13">
        <f>('TUSD BE'!$Y$40+'TUSD BF'!$Y$40+'TUSD CVA'!$Y$40)*(1 - CUSTOS!$M$39)</f>
        <v>68.183015915421223</v>
      </c>
      <c r="Y40" s="13">
        <f>('TUSD BE'!$Z$40+'TUSD BF'!$Z$40+'TUSD CVA'!$Z$40)*(1 - CUSTOS!$M$39)</f>
        <v>0</v>
      </c>
      <c r="Z40" s="13">
        <f>('TUSD BE'!$AA$40+'TUSD BF'!$AA$40+'TUSD CVA'!$AA$40)*(1 - CUSTOS!$M$39)</f>
        <v>0</v>
      </c>
      <c r="AA40" s="13">
        <f>('TUSD BE'!$AC$40+'TUSD BF'!$AC$40+'TUSD CVA'!$AC$40)*(1 - CUSTOS!$M$39)</f>
        <v>172.0268276814692</v>
      </c>
      <c r="AB40" s="13">
        <f ca="1">('TUSD BE'!$AE$40+'TUSD BF'!$AE$40+'TUSD CVA'!$AE$40)*(1 - CUSTOS!$M$39)</f>
        <v>0</v>
      </c>
      <c r="AC40" s="13">
        <f ca="1">('TUSD BE'!$AF$40+'TUSD BF'!$AF$40+'TUSD CVA'!$AF$40)*(1 - CUSTOS!$M$39)</f>
        <v>0</v>
      </c>
      <c r="AD40" s="13">
        <f>('TUSD BE'!$AH$40+'TUSD BF'!$AH$40+'TUSD CVA'!$AH$40)*(1 - CUSTOS!$M$39)</f>
        <v>21.149164001427724</v>
      </c>
      <c r="AE40" s="13">
        <f>('TUSD BE'!$AI$40+'TUSD BF'!$AI$40+'TUSD CVA'!$AI$40)*(1 - CUSTOS!$M$39)</f>
        <v>0.58047619359476421</v>
      </c>
      <c r="AF40" s="13">
        <f ca="1">('TUSD BE'!$AJ$40+'TUSD BF'!$AJ$40+'TUSD CVA'!$AJ$40)*(1 - CUSTOS!$M$39)</f>
        <v>0</v>
      </c>
      <c r="AG40" s="13">
        <f ca="1">('TUSD BE'!$AK$40+'TUSD BF'!$AK$40+'TUSD CVA'!$AK$40)*(1 - CUSTOS!$M$39)</f>
        <v>0</v>
      </c>
      <c r="AI40" s="13">
        <v>0</v>
      </c>
      <c r="AJ40" s="13">
        <v>0.82121969868405198</v>
      </c>
      <c r="AK40" s="13">
        <v>0</v>
      </c>
      <c r="AL40" s="13">
        <v>0</v>
      </c>
      <c r="AM40" s="13">
        <v>0</v>
      </c>
      <c r="AN40" s="13">
        <v>51.366928821075</v>
      </c>
      <c r="AO40" s="13">
        <v>7.98963380108931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55.497993935080103</v>
      </c>
      <c r="AV40" s="13">
        <v>0</v>
      </c>
      <c r="AW40" s="13">
        <v>0</v>
      </c>
      <c r="AX40" s="13">
        <v>135.47524319614101</v>
      </c>
      <c r="AY40" s="13">
        <v>0</v>
      </c>
      <c r="AZ40" s="13">
        <v>0</v>
      </c>
      <c r="BA40" s="13">
        <v>23.977982604449402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8"/>
      <c r="B41" s="98" t="s">
        <v>97</v>
      </c>
      <c r="C41" s="98" t="s">
        <v>41</v>
      </c>
      <c r="D41" s="98" t="s">
        <v>101</v>
      </c>
      <c r="E41" s="98" t="s">
        <v>25</v>
      </c>
      <c r="F41" s="98" t="s">
        <v>25</v>
      </c>
      <c r="G41" s="18" t="s">
        <v>83</v>
      </c>
      <c r="H41" s="18" t="s">
        <v>82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1.0581106157036662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85.760905282965766</v>
      </c>
      <c r="R41" s="13">
        <f>('TUSD BE'!$R$41+'TUSD BF'!$R$41+'TUSD CVA'!$R$41)*(1 - CUSTOS!$M$40)</f>
        <v>13.532905433115127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230.28418776079749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496.68163512484506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20.699181788631392</v>
      </c>
      <c r="AE41" s="13">
        <f>('TUSD BE'!$AI$41+'TUSD BF'!$AI$41+'TUSD CVA'!$AI$41)*(1 - CUSTOS!$M$40)</f>
        <v>0.5681256362842374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0.78389153056204997</v>
      </c>
      <c r="AK41" s="13">
        <v>0</v>
      </c>
      <c r="AL41" s="13">
        <v>0</v>
      </c>
      <c r="AM41" s="13">
        <v>0</v>
      </c>
      <c r="AN41" s="13">
        <v>49.032068420117</v>
      </c>
      <c r="AO41" s="13">
        <v>7.6264686283125203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182.810790499696</v>
      </c>
      <c r="AV41" s="13">
        <v>0</v>
      </c>
      <c r="AW41" s="13">
        <v>0</v>
      </c>
      <c r="AX41" s="13">
        <v>381.485933885441</v>
      </c>
      <c r="AY41" s="13">
        <v>0</v>
      </c>
      <c r="AZ41" s="13">
        <v>0</v>
      </c>
      <c r="BA41" s="13">
        <v>22.888074304247102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8"/>
      <c r="B42" s="98"/>
      <c r="C42" s="98"/>
      <c r="D42" s="98"/>
      <c r="E42" s="98"/>
      <c r="F42" s="98"/>
      <c r="G42" s="18" t="s">
        <v>95</v>
      </c>
      <c r="H42" s="18" t="s">
        <v>82</v>
      </c>
      <c r="I42" s="18">
        <f>'MERCADO TUSD'!$U$39</f>
        <v>0</v>
      </c>
      <c r="J42" s="15"/>
      <c r="L42" s="13">
        <f>('TUSD BE'!$L$42+'TUSD BF'!$L$42+'TUSD CVA'!$L$42)*(1 - CUSTOS!$M$40)</f>
        <v>0</v>
      </c>
      <c r="M42" s="13">
        <f>('TUSD BE'!$M$42+'TUSD BF'!$M$42+'TUSD CVA'!$M$42)*(1 - CUSTOS!$M$40)</f>
        <v>1.0581106157036662</v>
      </c>
      <c r="N42" s="13">
        <f ca="1">('TUSD BE'!$N$42+'TUSD BF'!$N$42+'TUSD CVA'!$N$42)*(1 - CUSTOS!$M$40)</f>
        <v>0</v>
      </c>
      <c r="O42" s="13">
        <f>('TUSD BE'!$O$42+'TUSD BF'!$O$42+'TUSD CVA'!$O$42)*(1 - CUSTOS!$M$40)</f>
        <v>0</v>
      </c>
      <c r="P42" s="13">
        <f>('TUSD BE'!$P$42+'TUSD BF'!$P$42+'TUSD CVA'!$P$42)*(1 - CUSTOS!$M$40)</f>
        <v>0</v>
      </c>
      <c r="Q42" s="13">
        <f>('TUSD BE'!$Q$42+'TUSD BF'!$Q$42+'TUSD CVA'!$Q$42)*(1 - CUSTOS!$M$40)</f>
        <v>85.760905282965766</v>
      </c>
      <c r="R42" s="13">
        <f>('TUSD BE'!$R$42+'TUSD BF'!$R$42+'TUSD CVA'!$R$42)*(1 - CUSTOS!$M$40)</f>
        <v>13.532905433115127</v>
      </c>
      <c r="S42" s="13">
        <f>('TUSD BE'!$S$42+'TUSD BF'!$S$42+'TUSD CVA'!$S$42)*(1 - CUSTOS!$M$40)</f>
        <v>0</v>
      </c>
      <c r="T42" s="13">
        <f>('TUSD BE'!$U$42+'TUSD BF'!$U$42+'TUSD CVA'!$U$42)*(1 - CUSTOS!$M$40)</f>
        <v>0</v>
      </c>
      <c r="U42" s="13">
        <f>('TUSD BE'!$V$42+'TUSD BF'!$V$42+'TUSD CVA'!$V$42)*(1 - CUSTOS!$M$40)</f>
        <v>0</v>
      </c>
      <c r="V42" s="13">
        <f>('TUSD BE'!$W$42+'TUSD BF'!$W$42+'TUSD CVA'!$W$42)*(1 - CUSTOS!$M$40)</f>
        <v>0</v>
      </c>
      <c r="W42" s="13">
        <f>('TUSD BE'!$X$42+'TUSD BF'!$X$42+'TUSD CVA'!$X$42)*(1 - CUSTOS!$M$40)</f>
        <v>0</v>
      </c>
      <c r="X42" s="13">
        <f>('TUSD BE'!$Y$42+'TUSD BF'!$Y$42+'TUSD CVA'!$Y$42)*(1 - CUSTOS!$M$40)</f>
        <v>138.14408819474787</v>
      </c>
      <c r="Y42" s="13">
        <f>('TUSD BE'!$Z$42+'TUSD BF'!$Z$42+'TUSD CVA'!$Z$42)*(1 - CUSTOS!$M$40)</f>
        <v>0</v>
      </c>
      <c r="Z42" s="13">
        <f>('TUSD BE'!$AA$42+'TUSD BF'!$AA$42+'TUSD CVA'!$AA$42)*(1 - CUSTOS!$M$40)</f>
        <v>0</v>
      </c>
      <c r="AA42" s="13">
        <f>('TUSD BE'!$AC$42+'TUSD BF'!$AC$42+'TUSD CVA'!$AC$42)*(1 - CUSTOS!$M$40)</f>
        <v>298.00889194402185</v>
      </c>
      <c r="AB42" s="13">
        <f ca="1">('TUSD BE'!$AE$42+'TUSD BF'!$AE$42+'TUSD CVA'!$AE$42)*(1 - CUSTOS!$M$40)</f>
        <v>0</v>
      </c>
      <c r="AC42" s="13">
        <f ca="1">('TUSD BE'!$AF$42+'TUSD BF'!$AF$42+'TUSD CVA'!$AF$42)*(1 - CUSTOS!$M$40)</f>
        <v>0</v>
      </c>
      <c r="AD42" s="13">
        <f>('TUSD BE'!$AH$42+'TUSD BF'!$AH$42+'TUSD CVA'!$AH$42)*(1 - CUSTOS!$M$40)</f>
        <v>20.699181788631392</v>
      </c>
      <c r="AE42" s="13">
        <f>('TUSD BE'!$AI$42+'TUSD BF'!$AI$42+'TUSD CVA'!$AI$42)*(1 - CUSTOS!$M$40)</f>
        <v>0.5681256362842374</v>
      </c>
      <c r="AF42" s="13">
        <f ca="1">('TUSD BE'!$AJ$42+'TUSD BF'!$AJ$42+'TUSD CVA'!$AJ$42)*(1 - CUSTOS!$M$40)</f>
        <v>0</v>
      </c>
      <c r="AG42" s="13">
        <f ca="1">('TUSD BE'!$AK$42+'TUSD BF'!$AK$42+'TUSD CVA'!$AK$42)*(1 - CUSTOS!$M$40)</f>
        <v>0</v>
      </c>
      <c r="AI42" s="13">
        <v>0</v>
      </c>
      <c r="AJ42" s="13">
        <v>0.78389153056204997</v>
      </c>
      <c r="AK42" s="13">
        <v>0</v>
      </c>
      <c r="AL42" s="13">
        <v>0</v>
      </c>
      <c r="AM42" s="13">
        <v>0</v>
      </c>
      <c r="AN42" s="13">
        <v>49.032068420117</v>
      </c>
      <c r="AO42" s="13">
        <v>7.6264686283125203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109.665500687075</v>
      </c>
      <c r="AV42" s="13">
        <v>0</v>
      </c>
      <c r="AW42" s="13">
        <v>0</v>
      </c>
      <c r="AX42" s="13">
        <v>228.891501958444</v>
      </c>
      <c r="AY42" s="13">
        <v>0</v>
      </c>
      <c r="AZ42" s="13">
        <v>0</v>
      </c>
      <c r="BA42" s="13">
        <v>22.888074304247102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8"/>
      <c r="B43" s="98"/>
      <c r="C43" s="98"/>
      <c r="D43" s="98"/>
      <c r="E43" s="98"/>
      <c r="F43" s="98"/>
      <c r="G43" s="18" t="s">
        <v>84</v>
      </c>
      <c r="H43" s="18" t="s">
        <v>82</v>
      </c>
      <c r="I43" s="18">
        <f>'MERCADO TUSD'!$U$40</f>
        <v>0</v>
      </c>
      <c r="J43" s="15"/>
      <c r="L43" s="13">
        <f>('TUSD BE'!$L$43+'TUSD BF'!$L$43+'TUSD CVA'!$L$43)*(1 - CUSTOS!$M$40)</f>
        <v>0</v>
      </c>
      <c r="M43" s="13">
        <f>('TUSD BE'!$M$43+'TUSD BF'!$M$43+'TUSD CVA'!$M$43)*(1 - CUSTOS!$M$40)</f>
        <v>1.0581106157036662</v>
      </c>
      <c r="N43" s="13">
        <f ca="1">('TUSD BE'!$N$43+'TUSD BF'!$N$43+'TUSD CVA'!$N$43)*(1 - CUSTOS!$M$40)</f>
        <v>0</v>
      </c>
      <c r="O43" s="13">
        <f>('TUSD BE'!$O$43+'TUSD BF'!$O$43+'TUSD CVA'!$O$43)*(1 - CUSTOS!$M$40)</f>
        <v>0</v>
      </c>
      <c r="P43" s="13">
        <f>('TUSD BE'!$P$43+'TUSD BF'!$P$43+'TUSD CVA'!$P$43)*(1 - CUSTOS!$M$40)</f>
        <v>0</v>
      </c>
      <c r="Q43" s="13">
        <f>('TUSD BE'!$Q$43+'TUSD BF'!$Q$43+'TUSD CVA'!$Q$43)*(1 - CUSTOS!$M$40)</f>
        <v>85.760905282965766</v>
      </c>
      <c r="R43" s="13">
        <f>('TUSD BE'!$R$43+'TUSD BF'!$R$43+'TUSD CVA'!$R$43)*(1 - CUSTOS!$M$40)</f>
        <v>13.532905433115127</v>
      </c>
      <c r="S43" s="13">
        <f>('TUSD BE'!$S$43+'TUSD BF'!$S$43+'TUSD CVA'!$S$43)*(1 - CUSTOS!$M$40)</f>
        <v>0</v>
      </c>
      <c r="T43" s="13">
        <f>('TUSD BE'!$U$43+'TUSD BF'!$U$43+'TUSD CVA'!$U$43)*(1 - CUSTOS!$M$40)</f>
        <v>0</v>
      </c>
      <c r="U43" s="13">
        <f>('TUSD BE'!$V$43+'TUSD BF'!$V$43+'TUSD CVA'!$V$43)*(1 - CUSTOS!$M$40)</f>
        <v>0</v>
      </c>
      <c r="V43" s="13">
        <f>('TUSD BE'!$W$43+'TUSD BF'!$W$43+'TUSD CVA'!$W$43)*(1 - CUSTOS!$M$40)</f>
        <v>0</v>
      </c>
      <c r="W43" s="13">
        <f>('TUSD BE'!$X$43+'TUSD BF'!$X$43+'TUSD CVA'!$X$43)*(1 - CUSTOS!$M$40)</f>
        <v>0</v>
      </c>
      <c r="X43" s="13">
        <f>('TUSD BE'!$Y$43+'TUSD BF'!$Y$43+'TUSD CVA'!$Y$43)*(1 - CUSTOS!$M$40)</f>
        <v>46.037074719436582</v>
      </c>
      <c r="Y43" s="13">
        <f>('TUSD BE'!$Z$43+'TUSD BF'!$Z$43+'TUSD CVA'!$Z$43)*(1 - CUSTOS!$M$40)</f>
        <v>0</v>
      </c>
      <c r="Z43" s="13">
        <f>('TUSD BE'!$AA$43+'TUSD BF'!$AA$43+'TUSD CVA'!$AA$43)*(1 - CUSTOS!$M$40)</f>
        <v>0</v>
      </c>
      <c r="AA43" s="13">
        <f>('TUSD BE'!$AC$43+'TUSD BF'!$AC$43+'TUSD CVA'!$AC$43)*(1 - CUSTOS!$M$40)</f>
        <v>99.336297314673956</v>
      </c>
      <c r="AB43" s="13">
        <f ca="1">('TUSD BE'!$AE$43+'TUSD BF'!$AE$43+'TUSD CVA'!$AE$43)*(1 - CUSTOS!$M$40)</f>
        <v>0</v>
      </c>
      <c r="AC43" s="13">
        <f ca="1">('TUSD BE'!$AF$43+'TUSD BF'!$AF$43+'TUSD CVA'!$AF$43)*(1 - CUSTOS!$M$40)</f>
        <v>0</v>
      </c>
      <c r="AD43" s="13">
        <f>('TUSD BE'!$AH$43+'TUSD BF'!$AH$43+'TUSD CVA'!$AH$43)*(1 - CUSTOS!$M$40)</f>
        <v>20.699181788631392</v>
      </c>
      <c r="AE43" s="13">
        <f>('TUSD BE'!$AI$43+'TUSD BF'!$AI$43+'TUSD CVA'!$AI$43)*(1 - CUSTOS!$M$40)</f>
        <v>0.5681256362842374</v>
      </c>
      <c r="AF43" s="13">
        <f ca="1">('TUSD BE'!$AJ$43+'TUSD BF'!$AJ$43+'TUSD CVA'!$AJ$43)*(1 - CUSTOS!$M$40)</f>
        <v>0</v>
      </c>
      <c r="AG43" s="13">
        <f ca="1">('TUSD BE'!$AK$43+'TUSD BF'!$AK$43+'TUSD CVA'!$AK$43)*(1 - CUSTOS!$M$40)</f>
        <v>0</v>
      </c>
      <c r="AI43" s="13">
        <v>0</v>
      </c>
      <c r="AJ43" s="13">
        <v>0.78389153056204997</v>
      </c>
      <c r="AK43" s="13">
        <v>0</v>
      </c>
      <c r="AL43" s="13">
        <v>0</v>
      </c>
      <c r="AM43" s="13">
        <v>0</v>
      </c>
      <c r="AN43" s="13">
        <v>49.032068420117</v>
      </c>
      <c r="AO43" s="13">
        <v>7.6264686283125203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36.546427890382297</v>
      </c>
      <c r="AV43" s="13">
        <v>0</v>
      </c>
      <c r="AW43" s="13">
        <v>0</v>
      </c>
      <c r="AX43" s="13">
        <v>76.2971867770881</v>
      </c>
      <c r="AY43" s="13">
        <v>0</v>
      </c>
      <c r="AZ43" s="13">
        <v>0</v>
      </c>
      <c r="BA43" s="13">
        <v>22.888074304247102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8"/>
      <c r="B44" s="17" t="s">
        <v>23</v>
      </c>
      <c r="C44" s="17" t="s">
        <v>41</v>
      </c>
      <c r="D44" s="17" t="s">
        <v>101</v>
      </c>
      <c r="E44" s="17" t="s">
        <v>25</v>
      </c>
      <c r="F44" s="17" t="s">
        <v>25</v>
      </c>
      <c r="G44" s="18" t="s">
        <v>87</v>
      </c>
      <c r="H44" s="18" t="s">
        <v>82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1.0581106157036662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85.760905282965766</v>
      </c>
      <c r="R44" s="13">
        <f>('TUSD BE'!$R$44+'TUSD BF'!$R$44+'TUSD CVA'!$R$44)*(1 - CUSTOS!$M$40)</f>
        <v>13.532905433115127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66.732313449135674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168.36668241165071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20.699181788631392</v>
      </c>
      <c r="AE44" s="13">
        <f>('TUSD BE'!$AI$44+'TUSD BF'!$AI$44+'TUSD CVA'!$AI$44)*(1 - CUSTOS!$M$40)</f>
        <v>0.5681256362842374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0.78389153056204997</v>
      </c>
      <c r="AK44" s="13">
        <v>0</v>
      </c>
      <c r="AL44" s="13">
        <v>0</v>
      </c>
      <c r="AM44" s="13">
        <v>0</v>
      </c>
      <c r="AN44" s="13">
        <v>49.032068420117</v>
      </c>
      <c r="AO44" s="13">
        <v>7.6264686283125203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52.975357847121998</v>
      </c>
      <c r="AV44" s="13">
        <v>0</v>
      </c>
      <c r="AW44" s="13">
        <v>0</v>
      </c>
      <c r="AX44" s="13">
        <v>129.31727759631599</v>
      </c>
      <c r="AY44" s="13">
        <v>0</v>
      </c>
      <c r="AZ44" s="13">
        <v>0</v>
      </c>
      <c r="BA44" s="13">
        <v>22.888074304247102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8"/>
      <c r="B45" s="98" t="s">
        <v>99</v>
      </c>
      <c r="C45" s="98" t="s">
        <v>41</v>
      </c>
      <c r="D45" s="17" t="s">
        <v>25</v>
      </c>
      <c r="E45" s="17" t="s">
        <v>25</v>
      </c>
      <c r="F45" s="17" t="s">
        <v>25</v>
      </c>
      <c r="G45" s="18" t="s">
        <v>87</v>
      </c>
      <c r="H45" s="18" t="s">
        <v>82</v>
      </c>
      <c r="I45" s="18">
        <f>'MERCADO TUSD'!$U$42</f>
        <v>0</v>
      </c>
      <c r="J45" s="15"/>
      <c r="L45" s="13">
        <f>('TUSD BE'!$L$45+'TUSD BF'!$L$45+'TUSD CVA'!$L$45)*(1 - CUSTOS!$M$38)</f>
        <v>0</v>
      </c>
      <c r="M45" s="13">
        <f>('TUSD BE'!$M$45+'TUSD BF'!$M$45+'TUSD CVA'!$M$45)*(1 - CUSTOS!$M$38)</f>
        <v>1.081113020392876</v>
      </c>
      <c r="N45" s="13">
        <f ca="1">('TUSD BE'!$N$45+'TUSD BF'!$N$45+'TUSD CVA'!$N$45)*(1 - CUSTOS!$M$38)</f>
        <v>0</v>
      </c>
      <c r="O45" s="13">
        <f>('TUSD BE'!$O$45+'TUSD BF'!$O$45+'TUSD CVA'!$O$45)*(1 - CUSTOS!$M$38)</f>
        <v>0</v>
      </c>
      <c r="P45" s="13">
        <f>('TUSD BE'!$P$45+'TUSD BF'!$P$45+'TUSD CVA'!$P$45)*(1 - CUSTOS!$M$38)</f>
        <v>0</v>
      </c>
      <c r="Q45" s="13">
        <f>('TUSD BE'!$Q$45+'TUSD BF'!$Q$45+'TUSD CVA'!$Q$45)*(1 - CUSTOS!$M$38)</f>
        <v>87.62527278911719</v>
      </c>
      <c r="R45" s="13">
        <f>('TUSD BE'!$R$45+'TUSD BF'!$R$45+'TUSD CVA'!$R$45)*(1 - CUSTOS!$M$38)</f>
        <v>13.827099029487194</v>
      </c>
      <c r="S45" s="13">
        <f>('TUSD BE'!$S$45+'TUSD BF'!$S$45+'TUSD CVA'!$S$45)*(1 - CUSTOS!$M$38)</f>
        <v>0</v>
      </c>
      <c r="T45" s="13">
        <f>('TUSD BE'!$U$45+'TUSD BF'!$U$45+'TUSD CVA'!$U$45)*(1 - CUSTOS!$M$38)</f>
        <v>0</v>
      </c>
      <c r="U45" s="13">
        <f>('TUSD BE'!$V$45+'TUSD BF'!$V$45+'TUSD CVA'!$V$45)*(1 - CUSTOS!$M$38)</f>
        <v>0</v>
      </c>
      <c r="V45" s="13">
        <f>('TUSD BE'!$W$45+'TUSD BF'!$W$45+'TUSD CVA'!$W$45)*(1 - CUSTOS!$M$38)</f>
        <v>0</v>
      </c>
      <c r="W45" s="13">
        <f>('TUSD BE'!$X$45+'TUSD BF'!$X$45+'TUSD CVA'!$X$45)*(1 - CUSTOS!$M$38)</f>
        <v>0</v>
      </c>
      <c r="X45" s="13">
        <f>('TUSD BE'!$Y$45+'TUSD BF'!$Y$45+'TUSD CVA'!$Y$45)*(1 - CUSTOS!$M$38)</f>
        <v>68.183015915421223</v>
      </c>
      <c r="Y45" s="13">
        <f>('TUSD BE'!$Z$45+'TUSD BF'!$Z$45+'TUSD CVA'!$Z$45)*(1 - CUSTOS!$M$38)</f>
        <v>0</v>
      </c>
      <c r="Z45" s="13">
        <f>('TUSD BE'!$AA$45+'TUSD BF'!$AA$45+'TUSD CVA'!$AA$45)*(1 - CUSTOS!$M$38)</f>
        <v>0</v>
      </c>
      <c r="AA45" s="13">
        <f>('TUSD BE'!$AC$45+'TUSD BF'!$AC$45+'TUSD CVA'!$AC$45)*(1 - CUSTOS!$M$38)</f>
        <v>172.0268276814692</v>
      </c>
      <c r="AB45" s="13">
        <f ca="1">('TUSD BE'!$AE$45+'TUSD BF'!$AE$45+'TUSD CVA'!$AE$45)*(1 - CUSTOS!$M$38)</f>
        <v>0</v>
      </c>
      <c r="AC45" s="13">
        <f ca="1">('TUSD BE'!$AF$45+'TUSD BF'!$AF$45+'TUSD CVA'!$AF$45)*(1 - CUSTOS!$M$38)</f>
        <v>0</v>
      </c>
      <c r="AD45" s="13">
        <f>('TUSD BE'!$AH$45+'TUSD BF'!$AH$45+'TUSD CVA'!$AH$45)*(1 - CUSTOS!$M$38)</f>
        <v>21.149164001427724</v>
      </c>
      <c r="AE45" s="13">
        <f>('TUSD BE'!$AI$45+'TUSD BF'!$AI$45+'TUSD CVA'!$AI$45)*(1 - CUSTOS!$M$38)</f>
        <v>0.58047619359476421</v>
      </c>
      <c r="AF45" s="13">
        <f ca="1">('TUSD BE'!$AJ$45+'TUSD BF'!$AJ$45+'TUSD CVA'!$AJ$45)*(1 - CUSTOS!$M$38)</f>
        <v>0</v>
      </c>
      <c r="AG45" s="13">
        <f ca="1">('TUSD BE'!$AK$45+'TUSD BF'!$AK$45+'TUSD CVA'!$AK$45)*(1 - CUSTOS!$M$38)</f>
        <v>0</v>
      </c>
      <c r="AI45" s="13">
        <v>0</v>
      </c>
      <c r="AJ45" s="13">
        <v>0.82121969868405198</v>
      </c>
      <c r="AK45" s="13">
        <v>0</v>
      </c>
      <c r="AL45" s="13">
        <v>0</v>
      </c>
      <c r="AM45" s="13">
        <v>0</v>
      </c>
      <c r="AN45" s="13">
        <v>51.366928821075</v>
      </c>
      <c r="AO45" s="13">
        <v>7.98963380108931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55.497993935080103</v>
      </c>
      <c r="AV45" s="13">
        <v>0</v>
      </c>
      <c r="AW45" s="13">
        <v>0</v>
      </c>
      <c r="AX45" s="13">
        <v>135.47524319614101</v>
      </c>
      <c r="AY45" s="13">
        <v>0</v>
      </c>
      <c r="AZ45" s="13">
        <v>0</v>
      </c>
      <c r="BA45" s="13">
        <v>23.977982604449402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8"/>
      <c r="B46" s="98"/>
      <c r="C46" s="98"/>
      <c r="D46" s="17" t="s">
        <v>100</v>
      </c>
      <c r="E46" s="17" t="s">
        <v>25</v>
      </c>
      <c r="F46" s="17" t="s">
        <v>25</v>
      </c>
      <c r="G46" s="18" t="s">
        <v>87</v>
      </c>
      <c r="H46" s="18" t="s">
        <v>82</v>
      </c>
      <c r="I46" s="18">
        <f>'MERCADO TUSD'!$U$43</f>
        <v>0</v>
      </c>
      <c r="J46" s="15"/>
      <c r="L46" s="13">
        <f>('TUSD BE'!$L$46+'TUSD BF'!$L$46+'TUSD CVA'!$L$46)*(1 - CUSTOS!$M$39)</f>
        <v>0</v>
      </c>
      <c r="M46" s="13">
        <f>('TUSD BE'!$M$46+'TUSD BF'!$M$46+'TUSD CVA'!$M$46)*(1 - CUSTOS!$M$39)</f>
        <v>1.081113020392876</v>
      </c>
      <c r="N46" s="13">
        <f ca="1">('TUSD BE'!$N$46+'TUSD BF'!$N$46+'TUSD CVA'!$N$46)*(1 - CUSTOS!$M$39)</f>
        <v>0</v>
      </c>
      <c r="O46" s="13">
        <f>('TUSD BE'!$O$46+'TUSD BF'!$O$46+'TUSD CVA'!$O$46)*(1 - CUSTOS!$M$39)</f>
        <v>0</v>
      </c>
      <c r="P46" s="13">
        <f>('TUSD BE'!$P$46+'TUSD BF'!$P$46+'TUSD CVA'!$P$46)*(1 - CUSTOS!$M$39)</f>
        <v>0</v>
      </c>
      <c r="Q46" s="13">
        <f>('TUSD BE'!$Q$46+'TUSD BF'!$Q$46+'TUSD CVA'!$Q$46)*(1 - CUSTOS!$M$39)</f>
        <v>87.62527278911719</v>
      </c>
      <c r="R46" s="13">
        <f>('TUSD BE'!$R$46+'TUSD BF'!$R$46+'TUSD CVA'!$R$46)*(1 - CUSTOS!$M$39)</f>
        <v>13.827099029487194</v>
      </c>
      <c r="S46" s="13">
        <f>('TUSD BE'!$S$46+'TUSD BF'!$S$46+'TUSD CVA'!$S$46)*(1 - CUSTOS!$M$39)</f>
        <v>0</v>
      </c>
      <c r="T46" s="13">
        <f>('TUSD BE'!$U$46+'TUSD BF'!$U$46+'TUSD CVA'!$U$46)*(1 - CUSTOS!$M$39)</f>
        <v>0</v>
      </c>
      <c r="U46" s="13">
        <f>('TUSD BE'!$V$46+'TUSD BF'!$V$46+'TUSD CVA'!$V$46)*(1 - CUSTOS!$M$39)</f>
        <v>0</v>
      </c>
      <c r="V46" s="13">
        <f>('TUSD BE'!$W$46+'TUSD BF'!$W$46+'TUSD CVA'!$W$46)*(1 - CUSTOS!$M$39)</f>
        <v>0</v>
      </c>
      <c r="W46" s="13">
        <f>('TUSD BE'!$X$46+'TUSD BF'!$X$46+'TUSD CVA'!$X$46)*(1 - CUSTOS!$M$39)</f>
        <v>0</v>
      </c>
      <c r="X46" s="13">
        <f>('TUSD BE'!$Y$46+'TUSD BF'!$Y$46+'TUSD CVA'!$Y$46)*(1 - CUSTOS!$M$39)</f>
        <v>68.183015915421223</v>
      </c>
      <c r="Y46" s="13">
        <f>('TUSD BE'!$Z$46+'TUSD BF'!$Z$46+'TUSD CVA'!$Z$46)*(1 - CUSTOS!$M$39)</f>
        <v>0</v>
      </c>
      <c r="Z46" s="13">
        <f>('TUSD BE'!$AA$46+'TUSD BF'!$AA$46+'TUSD CVA'!$AA$46)*(1 - CUSTOS!$M$39)</f>
        <v>0</v>
      </c>
      <c r="AA46" s="13">
        <f>('TUSD BE'!$AC$46+'TUSD BF'!$AC$46+'TUSD CVA'!$AC$46)*(1 - CUSTOS!$M$39)</f>
        <v>172.0268276814692</v>
      </c>
      <c r="AB46" s="13">
        <f ca="1">('TUSD BE'!$AE$46+'TUSD BF'!$AE$46+'TUSD CVA'!$AE$46)*(1 - CUSTOS!$M$39)</f>
        <v>0</v>
      </c>
      <c r="AC46" s="13">
        <f ca="1">('TUSD BE'!$AF$46+'TUSD BF'!$AF$46+'TUSD CVA'!$AF$46)*(1 - CUSTOS!$M$39)</f>
        <v>0</v>
      </c>
      <c r="AD46" s="13">
        <f>('TUSD BE'!$AH$46+'TUSD BF'!$AH$46+'TUSD CVA'!$AH$46)*(1 - CUSTOS!$M$39)</f>
        <v>21.149164001427724</v>
      </c>
      <c r="AE46" s="13">
        <f>('TUSD BE'!$AI$46+'TUSD BF'!$AI$46+'TUSD CVA'!$AI$46)*(1 - CUSTOS!$M$39)</f>
        <v>0.58047619359476421</v>
      </c>
      <c r="AF46" s="13">
        <f ca="1">('TUSD BE'!$AJ$46+'TUSD BF'!$AJ$46+'TUSD CVA'!$AJ$46)*(1 - CUSTOS!$M$39)</f>
        <v>0</v>
      </c>
      <c r="AG46" s="13">
        <f ca="1">('TUSD BE'!$AK$46+'TUSD BF'!$AK$46+'TUSD CVA'!$AK$46)*(1 - CUSTOS!$M$39)</f>
        <v>0</v>
      </c>
      <c r="AI46" s="13">
        <v>0</v>
      </c>
      <c r="AJ46" s="13">
        <v>0.82121969868405198</v>
      </c>
      <c r="AK46" s="13">
        <v>0</v>
      </c>
      <c r="AL46" s="13">
        <v>0</v>
      </c>
      <c r="AM46" s="13">
        <v>0</v>
      </c>
      <c r="AN46" s="13">
        <v>51.366928821075</v>
      </c>
      <c r="AO46" s="13">
        <v>7.98963380108931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55.497993935080103</v>
      </c>
      <c r="AV46" s="13">
        <v>0</v>
      </c>
      <c r="AW46" s="13">
        <v>0</v>
      </c>
      <c r="AX46" s="13">
        <v>135.47524319614101</v>
      </c>
      <c r="AY46" s="13">
        <v>0</v>
      </c>
      <c r="AZ46" s="13">
        <v>0</v>
      </c>
      <c r="BA46" s="13">
        <v>23.977982604449402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8"/>
      <c r="B47" s="98"/>
      <c r="C47" s="98"/>
      <c r="D47" s="17" t="s">
        <v>101</v>
      </c>
      <c r="E47" s="17" t="s">
        <v>25</v>
      </c>
      <c r="F47" s="17" t="s">
        <v>25</v>
      </c>
      <c r="G47" s="18" t="s">
        <v>87</v>
      </c>
      <c r="H47" s="18" t="s">
        <v>82</v>
      </c>
      <c r="I47" s="18">
        <f>'MERCADO TUSD'!$U$44</f>
        <v>0</v>
      </c>
      <c r="J47" s="15"/>
      <c r="L47" s="13">
        <f>('TUSD BE'!$L$47+'TUSD BF'!$L$47+'TUSD CVA'!$L$47)*(1 - CUSTOS!$M$40)</f>
        <v>0</v>
      </c>
      <c r="M47" s="13">
        <f>('TUSD BE'!$M$47+'TUSD BF'!$M$47+'TUSD CVA'!$M$47)*(1 - CUSTOS!$M$40)</f>
        <v>1.0581106157036662</v>
      </c>
      <c r="N47" s="13">
        <f ca="1">('TUSD BE'!$N$47+'TUSD BF'!$N$47+'TUSD CVA'!$N$47)*(1 - CUSTOS!$M$40)</f>
        <v>0</v>
      </c>
      <c r="O47" s="13">
        <f>('TUSD BE'!$O$47+'TUSD BF'!$O$47+'TUSD CVA'!$O$47)*(1 - CUSTOS!$M$40)</f>
        <v>0</v>
      </c>
      <c r="P47" s="13">
        <f>('TUSD BE'!$P$47+'TUSD BF'!$P$47+'TUSD CVA'!$P$47)*(1 - CUSTOS!$M$40)</f>
        <v>0</v>
      </c>
      <c r="Q47" s="13">
        <f>('TUSD BE'!$Q$47+'TUSD BF'!$Q$47+'TUSD CVA'!$Q$47)*(1 - CUSTOS!$M$40)</f>
        <v>85.760905282965766</v>
      </c>
      <c r="R47" s="13">
        <f>('TUSD BE'!$R$47+'TUSD BF'!$R$47+'TUSD CVA'!$R$47)*(1 - CUSTOS!$M$40)</f>
        <v>13.532905433115127</v>
      </c>
      <c r="S47" s="13">
        <f>('TUSD BE'!$S$47+'TUSD BF'!$S$47+'TUSD CVA'!$S$47)*(1 - CUSTOS!$M$40)</f>
        <v>0</v>
      </c>
      <c r="T47" s="13">
        <f>('TUSD BE'!$U$47+'TUSD BF'!$U$47+'TUSD CVA'!$U$47)*(1 - CUSTOS!$M$40)</f>
        <v>0</v>
      </c>
      <c r="U47" s="13">
        <f>('TUSD BE'!$V$47+'TUSD BF'!$V$47+'TUSD CVA'!$V$47)*(1 - CUSTOS!$M$40)</f>
        <v>0</v>
      </c>
      <c r="V47" s="13">
        <f>('TUSD BE'!$W$47+'TUSD BF'!$W$47+'TUSD CVA'!$W$47)*(1 - CUSTOS!$M$40)</f>
        <v>0</v>
      </c>
      <c r="W47" s="13">
        <f>('TUSD BE'!$X$47+'TUSD BF'!$X$47+'TUSD CVA'!$X$47)*(1 - CUSTOS!$M$40)</f>
        <v>0</v>
      </c>
      <c r="X47" s="13">
        <f>('TUSD BE'!$Y$47+'TUSD BF'!$Y$47+'TUSD CVA'!$Y$47)*(1 - CUSTOS!$M$40)</f>
        <v>66.732313449135674</v>
      </c>
      <c r="Y47" s="13">
        <f>('TUSD BE'!$Z$47+'TUSD BF'!$Z$47+'TUSD CVA'!$Z$47)*(1 - CUSTOS!$M$40)</f>
        <v>0</v>
      </c>
      <c r="Z47" s="13">
        <f>('TUSD BE'!$AA$47+'TUSD BF'!$AA$47+'TUSD CVA'!$AA$47)*(1 - CUSTOS!$M$40)</f>
        <v>0</v>
      </c>
      <c r="AA47" s="13">
        <f>('TUSD BE'!$AC$47+'TUSD BF'!$AC$47+'TUSD CVA'!$AC$47)*(1 - CUSTOS!$M$40)</f>
        <v>168.36668241165071</v>
      </c>
      <c r="AB47" s="13">
        <f ca="1">('TUSD BE'!$AE$47+'TUSD BF'!$AE$47+'TUSD CVA'!$AE$47)*(1 - CUSTOS!$M$40)</f>
        <v>0</v>
      </c>
      <c r="AC47" s="13">
        <f ca="1">('TUSD BE'!$AF$47+'TUSD BF'!$AF$47+'TUSD CVA'!$AF$47)*(1 - CUSTOS!$M$40)</f>
        <v>0</v>
      </c>
      <c r="AD47" s="13">
        <f>('TUSD BE'!$AH$47+'TUSD BF'!$AH$47+'TUSD CVA'!$AH$47)*(1 - CUSTOS!$M$40)</f>
        <v>20.699181788631392</v>
      </c>
      <c r="AE47" s="13">
        <f>('TUSD BE'!$AI$47+'TUSD BF'!$AI$47+'TUSD CVA'!$AI$47)*(1 - CUSTOS!$M$40)</f>
        <v>0.5681256362842374</v>
      </c>
      <c r="AF47" s="13">
        <f ca="1">('TUSD BE'!$AJ$47+'TUSD BF'!$AJ$47+'TUSD CVA'!$AJ$47)*(1 - CUSTOS!$M$40)</f>
        <v>0</v>
      </c>
      <c r="AG47" s="13">
        <f ca="1">('TUSD BE'!$AK$47+'TUSD BF'!$AK$47+'TUSD CVA'!$AK$47)*(1 - CUSTOS!$M$40)</f>
        <v>0</v>
      </c>
      <c r="AI47" s="13">
        <v>0</v>
      </c>
      <c r="AJ47" s="13">
        <v>0.78389153056204997</v>
      </c>
      <c r="AK47" s="13">
        <v>0</v>
      </c>
      <c r="AL47" s="13">
        <v>0</v>
      </c>
      <c r="AM47" s="13">
        <v>0</v>
      </c>
      <c r="AN47" s="13">
        <v>49.032068420117</v>
      </c>
      <c r="AO47" s="13">
        <v>7.6264686283125203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52.975357847121998</v>
      </c>
      <c r="AV47" s="13">
        <v>0</v>
      </c>
      <c r="AW47" s="13">
        <v>0</v>
      </c>
      <c r="AX47" s="13">
        <v>129.31727759631599</v>
      </c>
      <c r="AY47" s="13">
        <v>0</v>
      </c>
      <c r="AZ47" s="13">
        <v>0</v>
      </c>
      <c r="BA47" s="13">
        <v>22.888074304247102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8" t="s">
        <v>33</v>
      </c>
      <c r="B48" s="98" t="s">
        <v>97</v>
      </c>
      <c r="C48" s="98" t="s">
        <v>25</v>
      </c>
      <c r="D48" s="98" t="s">
        <v>25</v>
      </c>
      <c r="E48" s="98" t="s">
        <v>25</v>
      </c>
      <c r="F48" s="98" t="s">
        <v>25</v>
      </c>
      <c r="G48" s="18" t="s">
        <v>83</v>
      </c>
      <c r="H48" s="18" t="s">
        <v>82</v>
      </c>
      <c r="I48" s="18">
        <f>'MERCADO TUSD'!$U$45</f>
        <v>0</v>
      </c>
      <c r="J48" s="15"/>
      <c r="L48" s="13">
        <f>('TUSD BE'!$L$48+'TUSD BF'!$L$48+'TUSD CVA'!$L$48)*1</f>
        <v>0</v>
      </c>
      <c r="M48" s="13">
        <f>('TUSD BE'!$M$48+'TUSD BF'!$M$48+'TUSD CVA'!$M$48)*1</f>
        <v>1.1501202344605066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93.218375307571478</v>
      </c>
      <c r="R48" s="13">
        <f>('TUSD BE'!$R$48+'TUSD BF'!$R$48+'TUSD CVA'!$R$48)*1</f>
        <v>14.709679818603398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250.30889973999726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631.37485317072162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22.499110639816731</v>
      </c>
      <c r="AE48" s="13">
        <f>('TUSD BE'!$AI$48+'TUSD BF'!$AI$48+'TUSD CVA'!$AI$48)*1</f>
        <v>0.61752786552634498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0.93320420305005902</v>
      </c>
      <c r="AK48" s="13">
        <v>0</v>
      </c>
      <c r="AL48" s="13">
        <v>0</v>
      </c>
      <c r="AM48" s="13">
        <v>0</v>
      </c>
      <c r="AN48" s="13">
        <v>58.371510023948801</v>
      </c>
      <c r="AO48" s="13">
        <v>9.0791293194196694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217.631893452019</v>
      </c>
      <c r="AV48" s="13">
        <v>0</v>
      </c>
      <c r="AW48" s="13">
        <v>0</v>
      </c>
      <c r="AX48" s="13">
        <v>531.124352307094</v>
      </c>
      <c r="AY48" s="13">
        <v>0</v>
      </c>
      <c r="AZ48" s="13">
        <v>0</v>
      </c>
      <c r="BA48" s="13">
        <v>27.247707505056098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8"/>
      <c r="B49" s="98"/>
      <c r="C49" s="98"/>
      <c r="D49" s="98"/>
      <c r="E49" s="98"/>
      <c r="F49" s="98"/>
      <c r="G49" s="18" t="s">
        <v>95</v>
      </c>
      <c r="H49" s="18" t="s">
        <v>82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1.1501202344605066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93.218375307571478</v>
      </c>
      <c r="R49" s="13">
        <f>('TUSD BE'!$R$49+'TUSD BF'!$R$49+'TUSD CVA'!$R$49)*1</f>
        <v>14.709679818603398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150.15661760298681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378.82491190243297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22.499110639816731</v>
      </c>
      <c r="AE49" s="13">
        <f>('TUSD BE'!$AI$49+'TUSD BF'!$AI$49+'TUSD CVA'!$AI$49)*1</f>
        <v>0.61752786552634498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0.93320420305005902</v>
      </c>
      <c r="AK49" s="13">
        <v>0</v>
      </c>
      <c r="AL49" s="13">
        <v>0</v>
      </c>
      <c r="AM49" s="13">
        <v>0</v>
      </c>
      <c r="AN49" s="13">
        <v>58.371510023948801</v>
      </c>
      <c r="AO49" s="13">
        <v>9.0791293194196694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130.554167484613</v>
      </c>
      <c r="AV49" s="13">
        <v>0</v>
      </c>
      <c r="AW49" s="13">
        <v>0</v>
      </c>
      <c r="AX49" s="13">
        <v>318.67459748596599</v>
      </c>
      <c r="AY49" s="13">
        <v>0</v>
      </c>
      <c r="AZ49" s="13">
        <v>0</v>
      </c>
      <c r="BA49" s="13">
        <v>27.247707505056098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8"/>
      <c r="B50" s="98"/>
      <c r="C50" s="98"/>
      <c r="D50" s="98"/>
      <c r="E50" s="98"/>
      <c r="F50" s="98"/>
      <c r="G50" s="18" t="s">
        <v>84</v>
      </c>
      <c r="H50" s="18" t="s">
        <v>82</v>
      </c>
      <c r="I50" s="18">
        <f>'MERCADO TUSD'!$U$47</f>
        <v>0</v>
      </c>
      <c r="J50" s="15"/>
      <c r="L50" s="13">
        <f>('TUSD BE'!$L$50+'TUSD BF'!$L$50+'TUSD CVA'!$L$50)*1</f>
        <v>0</v>
      </c>
      <c r="M50" s="13">
        <f>('TUSD BE'!$M$50+'TUSD BF'!$M$50+'TUSD CVA'!$M$50)*1</f>
        <v>1.1501202344605066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93.218375307571478</v>
      </c>
      <c r="R50" s="13">
        <f>('TUSD BE'!$R$50+'TUSD BF'!$R$50+'TUSD CVA'!$R$50)*1</f>
        <v>14.709679818603398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50.040298608083241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126.27513210313931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22.499110639816731</v>
      </c>
      <c r="AE50" s="13">
        <f>('TUSD BE'!$AI$50+'TUSD BF'!$AI$50+'TUSD CVA'!$AI$50)*1</f>
        <v>0.61752786552634498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0.93320420305005902</v>
      </c>
      <c r="AK50" s="13">
        <v>0</v>
      </c>
      <c r="AL50" s="13">
        <v>0</v>
      </c>
      <c r="AM50" s="13">
        <v>0</v>
      </c>
      <c r="AN50" s="13">
        <v>58.371510023948801</v>
      </c>
      <c r="AO50" s="13">
        <v>9.0791293194196694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43.507652250455102</v>
      </c>
      <c r="AV50" s="13">
        <v>0</v>
      </c>
      <c r="AW50" s="13">
        <v>0</v>
      </c>
      <c r="AX50" s="13">
        <v>106.22498164774299</v>
      </c>
      <c r="AY50" s="13">
        <v>0</v>
      </c>
      <c r="AZ50" s="13">
        <v>0</v>
      </c>
      <c r="BA50" s="13">
        <v>27.247707505056098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8"/>
      <c r="B51" s="17" t="s">
        <v>23</v>
      </c>
      <c r="C51" s="17" t="s">
        <v>25</v>
      </c>
      <c r="D51" s="17" t="s">
        <v>25</v>
      </c>
      <c r="E51" s="17" t="s">
        <v>25</v>
      </c>
      <c r="F51" s="17" t="s">
        <v>25</v>
      </c>
      <c r="G51" s="18" t="s">
        <v>87</v>
      </c>
      <c r="H51" s="18" t="s">
        <v>82</v>
      </c>
      <c r="I51" s="18">
        <f>'MERCADO TUSD'!$U$48</f>
        <v>19569.288999999997</v>
      </c>
      <c r="J51" s="15"/>
      <c r="L51" s="13">
        <f>('TUSD BE'!$L$51+'TUSD BF'!$L$51+'TUSD CVA'!$L$51)*1</f>
        <v>0</v>
      </c>
      <c r="M51" s="13">
        <f>('TUSD BE'!$M$51+'TUSD BF'!$M$51+'TUSD CVA'!$M$51)*1</f>
        <v>1.1501202344605066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93.218375307571478</v>
      </c>
      <c r="R51" s="13">
        <f>('TUSD BE'!$R$51+'TUSD BF'!$R$51+'TUSD CVA'!$R$51)*1</f>
        <v>14.709679818603398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72.535123314277897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183.00726349092469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22.499110639816731</v>
      </c>
      <c r="AE51" s="13">
        <f>('TUSD BE'!$AI$51+'TUSD BF'!$AI$51+'TUSD CVA'!$AI$51)*1</f>
        <v>0.61752786552634498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0.93320420305005902</v>
      </c>
      <c r="AK51" s="13">
        <v>0</v>
      </c>
      <c r="AL51" s="13">
        <v>0</v>
      </c>
      <c r="AM51" s="13">
        <v>0</v>
      </c>
      <c r="AN51" s="13">
        <v>58.371510023948801</v>
      </c>
      <c r="AO51" s="13">
        <v>9.0791293194196694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63.065902198954703</v>
      </c>
      <c r="AV51" s="13">
        <v>0</v>
      </c>
      <c r="AW51" s="13">
        <v>0</v>
      </c>
      <c r="AX51" s="13">
        <v>153.94913999561399</v>
      </c>
      <c r="AY51" s="13">
        <v>0</v>
      </c>
      <c r="AZ51" s="13">
        <v>0</v>
      </c>
      <c r="BA51" s="13">
        <v>27.247707505056098</v>
      </c>
      <c r="BB51" s="13">
        <v>0</v>
      </c>
      <c r="BC51" s="13">
        <v>0</v>
      </c>
      <c r="BD51" s="13">
        <v>0</v>
      </c>
    </row>
    <row r="52" spans="1:56" ht="11.25" customHeight="1" x14ac:dyDescent="0.25">
      <c r="A52" s="98"/>
      <c r="B52" s="17" t="s">
        <v>99</v>
      </c>
      <c r="C52" s="17" t="s">
        <v>25</v>
      </c>
      <c r="D52" s="17" t="s">
        <v>25</v>
      </c>
      <c r="E52" s="17" t="s">
        <v>25</v>
      </c>
      <c r="F52" s="17" t="s">
        <v>25</v>
      </c>
      <c r="G52" s="18" t="s">
        <v>87</v>
      </c>
      <c r="H52" s="18" t="s">
        <v>82</v>
      </c>
      <c r="I52" s="18">
        <f>'MERCADO TUSD'!$U$49</f>
        <v>0</v>
      </c>
      <c r="J52" s="15"/>
      <c r="L52" s="13">
        <f>('TUSD BE'!$L$52+'TUSD BF'!$L$52+'TUSD CVA'!$L$52)*1</f>
        <v>0</v>
      </c>
      <c r="M52" s="13">
        <f>('TUSD BE'!$M$52+'TUSD BF'!$M$52+'TUSD CVA'!$M$52)*1</f>
        <v>1.1501202344605066</v>
      </c>
      <c r="N52" s="13">
        <f ca="1">('TUSD BE'!$N$52+'TUSD BF'!$N$52+'TUSD CVA'!$N$52)*1</f>
        <v>0</v>
      </c>
      <c r="O52" s="13">
        <f>('TUSD BE'!$O$52+'TUSD BF'!$O$52+'TUSD CVA'!$O$52)*1</f>
        <v>0</v>
      </c>
      <c r="P52" s="13">
        <f>('TUSD BE'!$P$52+'TUSD BF'!$P$52+'TUSD CVA'!$P$52)*1</f>
        <v>0</v>
      </c>
      <c r="Q52" s="13">
        <f>('TUSD BE'!$Q$52+'TUSD BF'!$Q$52+'TUSD CVA'!$Q$52)*1</f>
        <v>93.218375307571478</v>
      </c>
      <c r="R52" s="13">
        <f>('TUSD BE'!$R$52+'TUSD BF'!$R$52+'TUSD CVA'!$R$52)*1</f>
        <v>14.709679818603398</v>
      </c>
      <c r="S52" s="13">
        <f>('TUSD BE'!$S$52+'TUSD BF'!$S$52+'TUSD CVA'!$S$52)*1</f>
        <v>0</v>
      </c>
      <c r="T52" s="13">
        <f>('TUSD BE'!$U$52+'TUSD BF'!$U$52+'TUSD CVA'!$U$52)*1</f>
        <v>0</v>
      </c>
      <c r="U52" s="13">
        <f>('TUSD BE'!$V$52+'TUSD BF'!$V$52+'TUSD CVA'!$V$52)*1</f>
        <v>0</v>
      </c>
      <c r="V52" s="13">
        <f>('TUSD BE'!$W$52+'TUSD BF'!$W$52+'TUSD CVA'!$W$52)*1</f>
        <v>0</v>
      </c>
      <c r="W52" s="13">
        <f>('TUSD BE'!$X$52+'TUSD BF'!$X$52+'TUSD CVA'!$X$52)*1</f>
        <v>0</v>
      </c>
      <c r="X52" s="13">
        <f>('TUSD BE'!$Y$52+'TUSD BF'!$Y$52+'TUSD CVA'!$Y$52)*1</f>
        <v>72.535123314277897</v>
      </c>
      <c r="Y52" s="13">
        <f>('TUSD BE'!$Z$52+'TUSD BF'!$Z$52+'TUSD CVA'!$Z$52)*1</f>
        <v>0</v>
      </c>
      <c r="Z52" s="13">
        <f>('TUSD BE'!$AA$52+'TUSD BF'!$AA$52+'TUSD CVA'!$AA$52)*1</f>
        <v>0</v>
      </c>
      <c r="AA52" s="13">
        <f>('TUSD BE'!$AC$52+'TUSD BF'!$AC$52+'TUSD CVA'!$AC$52)*1</f>
        <v>183.00726349092469</v>
      </c>
      <c r="AB52" s="13">
        <f ca="1">('TUSD BE'!$AE$52+'TUSD BF'!$AE$52+'TUSD CVA'!$AE$52)*1</f>
        <v>0</v>
      </c>
      <c r="AC52" s="13">
        <f ca="1">('TUSD BE'!$AF$52+'TUSD BF'!$AF$52+'TUSD CVA'!$AF$52)*1</f>
        <v>0</v>
      </c>
      <c r="AD52" s="13">
        <f>('TUSD BE'!$AH$52+'TUSD BF'!$AH$52+'TUSD CVA'!$AH$52)*1</f>
        <v>22.499110639816731</v>
      </c>
      <c r="AE52" s="13">
        <f>('TUSD BE'!$AI$52+'TUSD BF'!$AI$52+'TUSD CVA'!$AI$52)*1</f>
        <v>0.61752786552634498</v>
      </c>
      <c r="AF52" s="13">
        <f ca="1">('TUSD BE'!$AJ$52+'TUSD BF'!$AJ$52+'TUSD CVA'!$AJ$52)*1</f>
        <v>0</v>
      </c>
      <c r="AG52" s="13">
        <f ca="1">('TUSD BE'!$AK$52+'TUSD BF'!$AK$52+'TUSD CVA'!$AK$52)*1</f>
        <v>0</v>
      </c>
      <c r="AI52" s="13">
        <v>0</v>
      </c>
      <c r="AJ52" s="13">
        <v>0.93320420305005902</v>
      </c>
      <c r="AK52" s="13">
        <v>0</v>
      </c>
      <c r="AL52" s="13">
        <v>0</v>
      </c>
      <c r="AM52" s="13">
        <v>0</v>
      </c>
      <c r="AN52" s="13">
        <v>58.371510023948801</v>
      </c>
      <c r="AO52" s="13">
        <v>9.0791293194196694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63.065902198954703</v>
      </c>
      <c r="AV52" s="13">
        <v>0</v>
      </c>
      <c r="AW52" s="13">
        <v>0</v>
      </c>
      <c r="AX52" s="13">
        <v>153.94913999561399</v>
      </c>
      <c r="AY52" s="13">
        <v>0</v>
      </c>
      <c r="AZ52" s="13">
        <v>0</v>
      </c>
      <c r="BA52" s="13">
        <v>27.247707505056098</v>
      </c>
      <c r="BB52" s="13">
        <v>0</v>
      </c>
      <c r="BC52" s="13">
        <v>0</v>
      </c>
      <c r="BD52" s="13">
        <v>0</v>
      </c>
    </row>
    <row r="53" spans="1:56" ht="11.25" customHeight="1" x14ac:dyDescent="0.25">
      <c r="A53" s="98" t="s">
        <v>43</v>
      </c>
      <c r="B53" s="98" t="s">
        <v>23</v>
      </c>
      <c r="C53" s="98" t="s">
        <v>44</v>
      </c>
      <c r="D53" s="17" t="s">
        <v>45</v>
      </c>
      <c r="E53" s="17" t="s">
        <v>25</v>
      </c>
      <c r="F53" s="17" t="s">
        <v>25</v>
      </c>
      <c r="G53" s="18" t="s">
        <v>87</v>
      </c>
      <c r="H53" s="18" t="s">
        <v>82</v>
      </c>
      <c r="I53" s="18">
        <f>'MERCADO TUSD'!$U$50</f>
        <v>4547.4760000000006</v>
      </c>
      <c r="J53" s="15"/>
      <c r="L53" s="13">
        <f>('TUSD BE'!$L$53+'TUSD BF'!$L$53+'TUSD CVA'!$L$53)*1</f>
        <v>0</v>
      </c>
      <c r="M53" s="13">
        <f>('TUSD BE'!$M$53+'TUSD BF'!$M$53+'TUSD CVA'!$M$53)*1</f>
        <v>0.63256612895327868</v>
      </c>
      <c r="N53" s="13">
        <f ca="1">('TUSD BE'!$N$53+'TUSD BF'!$N$53+'TUSD CVA'!$N$53)*1</f>
        <v>0</v>
      </c>
      <c r="O53" s="13">
        <f>('TUSD BE'!$O$53+'TUSD BF'!$O$53+'TUSD CVA'!$O$53)*1</f>
        <v>0</v>
      </c>
      <c r="P53" s="13">
        <f>('TUSD BE'!$P$53+'TUSD BF'!$P$53+'TUSD CVA'!$P$53)*1</f>
        <v>0</v>
      </c>
      <c r="Q53" s="13">
        <f>('TUSD BE'!$Q$53+'TUSD BF'!$Q$53+'TUSD CVA'!$Q$53)*1</f>
        <v>51.270106419164321</v>
      </c>
      <c r="R53" s="13">
        <f>('TUSD BE'!$R$53+'TUSD BF'!$R$53+'TUSD CVA'!$R$53)*1</f>
        <v>8.0903239002318692</v>
      </c>
      <c r="S53" s="13">
        <f>('TUSD BE'!$S$53+'TUSD BF'!$S$53+'TUSD CVA'!$S$53)*1</f>
        <v>0</v>
      </c>
      <c r="T53" s="13">
        <f>('TUSD BE'!$U$53+'TUSD BF'!$U$53+'TUSD CVA'!$U$53)*1</f>
        <v>0</v>
      </c>
      <c r="U53" s="13">
        <f>('TUSD BE'!$V$53+'TUSD BF'!$V$53+'TUSD CVA'!$V$53)*1</f>
        <v>0</v>
      </c>
      <c r="V53" s="13">
        <f>('TUSD BE'!$W$53+'TUSD BF'!$W$53+'TUSD CVA'!$W$53)*1</f>
        <v>0</v>
      </c>
      <c r="W53" s="13">
        <f>('TUSD BE'!$X$53+'TUSD BF'!$X$53+'TUSD CVA'!$X$53)*1</f>
        <v>0</v>
      </c>
      <c r="X53" s="13">
        <f>('TUSD BE'!$Y$53+'TUSD BF'!$Y$53+'TUSD CVA'!$Y$53)*1</f>
        <v>39.894317822852848</v>
      </c>
      <c r="Y53" s="13">
        <f>('TUSD BE'!$Z$53+'TUSD BF'!$Z$53+'TUSD CVA'!$Z$53)*1</f>
        <v>0</v>
      </c>
      <c r="Z53" s="13">
        <f>('TUSD BE'!$AA$53+'TUSD BF'!$AA$53+'TUSD CVA'!$AA$53)*1</f>
        <v>0</v>
      </c>
      <c r="AA53" s="13">
        <f>('TUSD BE'!$AC$53+'TUSD BF'!$AC$53+'TUSD CVA'!$AC$53)*1</f>
        <v>100.6539949200086</v>
      </c>
      <c r="AB53" s="13">
        <f ca="1">('TUSD BE'!$AE$53+'TUSD BF'!$AE$53+'TUSD CVA'!$AE$53)*1</f>
        <v>0</v>
      </c>
      <c r="AC53" s="13">
        <f ca="1">('TUSD BE'!$AF$53+'TUSD BF'!$AF$53+'TUSD CVA'!$AF$53)*1</f>
        <v>0</v>
      </c>
      <c r="AD53" s="13">
        <f>('TUSD BE'!$AH$53+'TUSD BF'!$AH$53+'TUSD CVA'!$AH$53)*1</f>
        <v>12.374510851899203</v>
      </c>
      <c r="AE53" s="13">
        <f>('TUSD BE'!$AI$53+'TUSD BF'!$AI$53+'TUSD CVA'!$AI$53)*1</f>
        <v>0.33964032603948979</v>
      </c>
      <c r="AF53" s="13">
        <f ca="1">('TUSD BE'!$AJ$53+'TUSD BF'!$AJ$53+'TUSD CVA'!$AJ$53)*1</f>
        <v>0</v>
      </c>
      <c r="AG53" s="13">
        <f ca="1">('TUSD BE'!$AK$53+'TUSD BF'!$AK$53+'TUSD CVA'!$AK$53)*1</f>
        <v>0</v>
      </c>
      <c r="AI53" s="13">
        <v>0</v>
      </c>
      <c r="AJ53" s="13">
        <v>0.513262311677533</v>
      </c>
      <c r="AK53" s="13">
        <v>0</v>
      </c>
      <c r="AL53" s="13">
        <v>0</v>
      </c>
      <c r="AM53" s="13">
        <v>0</v>
      </c>
      <c r="AN53" s="13">
        <v>32.104330513171902</v>
      </c>
      <c r="AO53" s="13">
        <v>4.9935211256808198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34.6862462094251</v>
      </c>
      <c r="AV53" s="13">
        <v>0</v>
      </c>
      <c r="AW53" s="13">
        <v>0</v>
      </c>
      <c r="AX53" s="13">
        <v>84.672026997587906</v>
      </c>
      <c r="AY53" s="13">
        <v>0</v>
      </c>
      <c r="AZ53" s="13">
        <v>0</v>
      </c>
      <c r="BA53" s="13">
        <v>14.9862391277808</v>
      </c>
      <c r="BB53" s="13">
        <v>0</v>
      </c>
      <c r="BC53" s="13">
        <v>0</v>
      </c>
      <c r="BD53" s="13">
        <v>0</v>
      </c>
    </row>
    <row r="54" spans="1:56" ht="11.25" customHeight="1" x14ac:dyDescent="0.25">
      <c r="A54" s="98"/>
      <c r="B54" s="98"/>
      <c r="C54" s="98"/>
      <c r="D54" s="18" t="s">
        <v>102</v>
      </c>
      <c r="E54" s="18" t="s">
        <v>25</v>
      </c>
      <c r="F54" s="18" t="s">
        <v>25</v>
      </c>
      <c r="G54" s="18" t="s">
        <v>87</v>
      </c>
      <c r="H54" s="18" t="s">
        <v>82</v>
      </c>
      <c r="I54" s="18">
        <f>'MERCADO TUSD'!$U$51</f>
        <v>0</v>
      </c>
      <c r="J54" s="15"/>
      <c r="L54" s="13">
        <f>('TUSD BE'!$L$54+'TUSD BF'!$L$54+'TUSD CVA'!$L$54)*1</f>
        <v>0</v>
      </c>
      <c r="M54" s="13">
        <f>('TUSD BE'!$M$54+'TUSD BF'!$M$54+'TUSD CVA'!$M$54)*1</f>
        <v>0.69007214067630396</v>
      </c>
      <c r="N54" s="13">
        <f ca="1">('TUSD BE'!$N$54+'TUSD BF'!$N$54+'TUSD CVA'!$N$54)*1</f>
        <v>0</v>
      </c>
      <c r="O54" s="13">
        <f>('TUSD BE'!$O$54+'TUSD BF'!$O$54+'TUSD CVA'!$O$54)*1</f>
        <v>0</v>
      </c>
      <c r="P54" s="13">
        <f>('TUSD BE'!$P$54+'TUSD BF'!$P$54+'TUSD CVA'!$P$54)*1</f>
        <v>0</v>
      </c>
      <c r="Q54" s="13">
        <f>('TUSD BE'!$Q$54+'TUSD BF'!$Q$54+'TUSD CVA'!$Q$54)*1</f>
        <v>55.931025184542889</v>
      </c>
      <c r="R54" s="13">
        <f>('TUSD BE'!$R$54+'TUSD BF'!$R$54+'TUSD CVA'!$R$54)*1</f>
        <v>8.8258078911620395</v>
      </c>
      <c r="S54" s="13">
        <f>('TUSD BE'!$S$54+'TUSD BF'!$S$54+'TUSD CVA'!$S$54)*1</f>
        <v>0</v>
      </c>
      <c r="T54" s="13">
        <f>('TUSD BE'!$U$54+'TUSD BF'!$U$54+'TUSD CVA'!$U$54)*1</f>
        <v>0</v>
      </c>
      <c r="U54" s="13">
        <f>('TUSD BE'!$V$54+'TUSD BF'!$V$54+'TUSD CVA'!$V$54)*1</f>
        <v>0</v>
      </c>
      <c r="V54" s="13">
        <f>('TUSD BE'!$W$54+'TUSD BF'!$W$54+'TUSD CVA'!$W$54)*1</f>
        <v>0</v>
      </c>
      <c r="W54" s="13">
        <f>('TUSD BE'!$X$54+'TUSD BF'!$X$54+'TUSD CVA'!$X$54)*1</f>
        <v>0</v>
      </c>
      <c r="X54" s="13">
        <f>('TUSD BE'!$Y$54+'TUSD BF'!$Y$54+'TUSD CVA'!$Y$54)*1</f>
        <v>43.521073988566741</v>
      </c>
      <c r="Y54" s="13">
        <f>('TUSD BE'!$Z$54+'TUSD BF'!$Z$54+'TUSD CVA'!$Z$54)*1</f>
        <v>0</v>
      </c>
      <c r="Z54" s="13">
        <f>('TUSD BE'!$AA$54+'TUSD BF'!$AA$54+'TUSD CVA'!$AA$54)*1</f>
        <v>0</v>
      </c>
      <c r="AA54" s="13">
        <f>('TUSD BE'!$AC$54+'TUSD BF'!$AC$54+'TUSD CVA'!$AC$54)*1</f>
        <v>109.8043580945548</v>
      </c>
      <c r="AB54" s="13">
        <f ca="1">('TUSD BE'!$AE$54+'TUSD BF'!$AE$54+'TUSD CVA'!$AE$54)*1</f>
        <v>0</v>
      </c>
      <c r="AC54" s="13">
        <f ca="1">('TUSD BE'!$AF$54+'TUSD BF'!$AF$54+'TUSD CVA'!$AF$54)*1</f>
        <v>0</v>
      </c>
      <c r="AD54" s="13">
        <f>('TUSD BE'!$AH$54+'TUSD BF'!$AH$54+'TUSD CVA'!$AH$54)*1</f>
        <v>13.499466383890036</v>
      </c>
      <c r="AE54" s="13">
        <f>('TUSD BE'!$AI$54+'TUSD BF'!$AI$54+'TUSD CVA'!$AI$54)*1</f>
        <v>0.37051671931580699</v>
      </c>
      <c r="AF54" s="13">
        <f ca="1">('TUSD BE'!$AJ$54+'TUSD BF'!$AJ$54+'TUSD CVA'!$AJ$54)*1</f>
        <v>0</v>
      </c>
      <c r="AG54" s="13">
        <f ca="1">('TUSD BE'!$AK$54+'TUSD BF'!$AK$54+'TUSD CVA'!$AK$54)*1</f>
        <v>0</v>
      </c>
      <c r="AI54" s="13">
        <v>0</v>
      </c>
      <c r="AJ54" s="13">
        <v>0.55992252183003599</v>
      </c>
      <c r="AK54" s="13">
        <v>0</v>
      </c>
      <c r="AL54" s="13">
        <v>0</v>
      </c>
      <c r="AM54" s="13">
        <v>0</v>
      </c>
      <c r="AN54" s="13">
        <v>35.022906014369298</v>
      </c>
      <c r="AO54" s="13">
        <v>5.4474775916517997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37.839541319372799</v>
      </c>
      <c r="AV54" s="13">
        <v>0</v>
      </c>
      <c r="AW54" s="13">
        <v>0</v>
      </c>
      <c r="AX54" s="13">
        <v>92.369483997368704</v>
      </c>
      <c r="AY54" s="13">
        <v>0</v>
      </c>
      <c r="AZ54" s="13">
        <v>0</v>
      </c>
      <c r="BA54" s="13">
        <v>16.348624503033601</v>
      </c>
      <c r="BB54" s="13">
        <v>0</v>
      </c>
      <c r="BC54" s="13">
        <v>0</v>
      </c>
      <c r="BD54" s="13">
        <v>0</v>
      </c>
    </row>
    <row r="56" spans="1:56" ht="11.25" customHeight="1" x14ac:dyDescent="0.25">
      <c r="L56" s="99" t="s">
        <v>767</v>
      </c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I56" s="99" t="s">
        <v>768</v>
      </c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</row>
    <row r="57" spans="1:56" ht="11.25" customHeight="1" x14ac:dyDescent="0.25">
      <c r="L57" s="99" t="s">
        <v>464</v>
      </c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I57" s="99" t="s">
        <v>464</v>
      </c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</row>
    <row r="58" spans="1:56" ht="11.25" customHeight="1" x14ac:dyDescent="0.25">
      <c r="L58" s="99" t="s">
        <v>465</v>
      </c>
      <c r="M58" s="99"/>
      <c r="N58" s="99"/>
      <c r="O58" s="99"/>
      <c r="P58" s="99"/>
      <c r="Q58" s="99"/>
      <c r="R58" s="99"/>
      <c r="S58" s="99"/>
      <c r="T58" s="99" t="s">
        <v>474</v>
      </c>
      <c r="U58" s="99"/>
      <c r="V58" s="99"/>
      <c r="W58" s="99"/>
      <c r="X58" s="99"/>
      <c r="Y58" s="99"/>
      <c r="Z58" s="99"/>
      <c r="AA58" s="10" t="s">
        <v>482</v>
      </c>
      <c r="AB58" s="99" t="s">
        <v>484</v>
      </c>
      <c r="AC58" s="99"/>
      <c r="AD58" s="99" t="s">
        <v>487</v>
      </c>
      <c r="AE58" s="99"/>
      <c r="AF58" s="99"/>
      <c r="AG58" s="99"/>
      <c r="AI58" s="99" t="s">
        <v>465</v>
      </c>
      <c r="AJ58" s="99"/>
      <c r="AK58" s="99"/>
      <c r="AL58" s="99"/>
      <c r="AM58" s="99"/>
      <c r="AN58" s="99"/>
      <c r="AO58" s="99"/>
      <c r="AP58" s="99"/>
      <c r="AQ58" s="99" t="s">
        <v>474</v>
      </c>
      <c r="AR58" s="99"/>
      <c r="AS58" s="99"/>
      <c r="AT58" s="99"/>
      <c r="AU58" s="99"/>
      <c r="AV58" s="99"/>
      <c r="AW58" s="99"/>
      <c r="AX58" s="10" t="s">
        <v>482</v>
      </c>
      <c r="AY58" s="99" t="s">
        <v>484</v>
      </c>
      <c r="AZ58" s="99"/>
      <c r="BA58" s="99" t="s">
        <v>487</v>
      </c>
      <c r="BB58" s="99"/>
      <c r="BC58" s="99"/>
      <c r="BD58" s="99"/>
    </row>
    <row r="59" spans="1:56" ht="11.25" customHeight="1" x14ac:dyDescent="0.25">
      <c r="L59" s="10" t="s">
        <v>550</v>
      </c>
      <c r="M59" s="10" t="s">
        <v>466</v>
      </c>
      <c r="N59" s="10" t="s">
        <v>467</v>
      </c>
      <c r="O59" s="10" t="s">
        <v>468</v>
      </c>
      <c r="P59" s="10" t="s">
        <v>469</v>
      </c>
      <c r="Q59" s="10" t="s">
        <v>470</v>
      </c>
      <c r="R59" s="10" t="s">
        <v>471</v>
      </c>
      <c r="S59" s="10" t="s">
        <v>472</v>
      </c>
      <c r="T59" s="10" t="s">
        <v>475</v>
      </c>
      <c r="U59" s="10" t="s">
        <v>476</v>
      </c>
      <c r="V59" s="10" t="s">
        <v>477</v>
      </c>
      <c r="W59" s="10" t="s">
        <v>478</v>
      </c>
      <c r="X59" s="10" t="s">
        <v>479</v>
      </c>
      <c r="Y59" s="10" t="s">
        <v>480</v>
      </c>
      <c r="Z59" s="10" t="s">
        <v>481</v>
      </c>
      <c r="AA59" s="10" t="s">
        <v>483</v>
      </c>
      <c r="AB59" s="10" t="s">
        <v>485</v>
      </c>
      <c r="AC59" s="10" t="s">
        <v>486</v>
      </c>
      <c r="AD59" s="10" t="s">
        <v>488</v>
      </c>
      <c r="AE59" s="10" t="s">
        <v>489</v>
      </c>
      <c r="AF59" s="10" t="s">
        <v>490</v>
      </c>
      <c r="AG59" s="10" t="s">
        <v>491</v>
      </c>
      <c r="AI59" s="10" t="s">
        <v>550</v>
      </c>
      <c r="AJ59" s="10" t="s">
        <v>466</v>
      </c>
      <c r="AK59" s="10" t="s">
        <v>467</v>
      </c>
      <c r="AL59" s="10" t="s">
        <v>468</v>
      </c>
      <c r="AM59" s="10" t="s">
        <v>469</v>
      </c>
      <c r="AN59" s="10" t="s">
        <v>470</v>
      </c>
      <c r="AO59" s="10" t="s">
        <v>471</v>
      </c>
      <c r="AP59" s="10" t="s">
        <v>472</v>
      </c>
      <c r="AQ59" s="10" t="s">
        <v>475</v>
      </c>
      <c r="AR59" s="10" t="s">
        <v>476</v>
      </c>
      <c r="AS59" s="10" t="s">
        <v>477</v>
      </c>
      <c r="AT59" s="10" t="s">
        <v>478</v>
      </c>
      <c r="AU59" s="10" t="s">
        <v>479</v>
      </c>
      <c r="AV59" s="10" t="s">
        <v>480</v>
      </c>
      <c r="AW59" s="10" t="s">
        <v>481</v>
      </c>
      <c r="AX59" s="10" t="s">
        <v>483</v>
      </c>
      <c r="AY59" s="10" t="s">
        <v>485</v>
      </c>
      <c r="AZ59" s="10" t="s">
        <v>486</v>
      </c>
      <c r="BA59" s="10" t="s">
        <v>488</v>
      </c>
      <c r="BB59" s="10" t="s">
        <v>489</v>
      </c>
      <c r="BC59" s="10" t="s">
        <v>490</v>
      </c>
      <c r="BD59" s="10" t="s">
        <v>491</v>
      </c>
    </row>
    <row r="60" spans="1:56" ht="11.25" customHeight="1" x14ac:dyDescent="0.25">
      <c r="A60" s="9" t="s">
        <v>35</v>
      </c>
      <c r="B60" s="9" t="s">
        <v>769</v>
      </c>
      <c r="C60" s="9" t="s">
        <v>770</v>
      </c>
      <c r="D60" s="9" t="s">
        <v>771</v>
      </c>
      <c r="E60" s="9" t="s">
        <v>772</v>
      </c>
      <c r="F60" s="9" t="s">
        <v>773</v>
      </c>
      <c r="G60" s="9" t="s">
        <v>774</v>
      </c>
      <c r="L60" s="13">
        <f>$I$5*$L$5</f>
        <v>0</v>
      </c>
      <c r="M60" s="13">
        <f>$I$5*$M$5</f>
        <v>0</v>
      </c>
      <c r="N60" s="13">
        <f ca="1">$I$5*$N$5</f>
        <v>0</v>
      </c>
      <c r="O60" s="13">
        <f>$I$5*$O$5</f>
        <v>0</v>
      </c>
      <c r="P60" s="13">
        <f>$I$5*$P$5</f>
        <v>0</v>
      </c>
      <c r="Q60" s="13">
        <f>$I$5*$Q$5</f>
        <v>0</v>
      </c>
      <c r="R60" s="13">
        <f>$I$5*$R$5</f>
        <v>0</v>
      </c>
      <c r="S60" s="13">
        <f>$I$5*$S$5</f>
        <v>0</v>
      </c>
      <c r="T60" s="13">
        <f>$I$5*$T$5</f>
        <v>0</v>
      </c>
      <c r="U60" s="13">
        <f>$I$5*$U$5</f>
        <v>0</v>
      </c>
      <c r="V60" s="13">
        <f>$I$5*$V$5</f>
        <v>0</v>
      </c>
      <c r="W60" s="13">
        <f>$I$5*$W$5</f>
        <v>0</v>
      </c>
      <c r="X60" s="13">
        <f>$I$5*$X$5</f>
        <v>32365.265671818295</v>
      </c>
      <c r="Y60" s="13">
        <f>$I$5*$Y$5</f>
        <v>0</v>
      </c>
      <c r="Z60" s="13">
        <f>$I$5*$Z$5</f>
        <v>0</v>
      </c>
      <c r="AA60" s="13">
        <f>$I$5*$AA$5</f>
        <v>63980.733730374173</v>
      </c>
      <c r="AB60" s="13">
        <f ca="1">$I$5*$AB$5</f>
        <v>0</v>
      </c>
      <c r="AC60" s="13">
        <f ca="1">$I$5*$AC$5</f>
        <v>0</v>
      </c>
      <c r="AD60" s="13">
        <f>$I$5*$AD$5</f>
        <v>0</v>
      </c>
      <c r="AE60" s="13">
        <f>$I$5*$AE$5</f>
        <v>0</v>
      </c>
      <c r="AF60" s="13">
        <f ca="1">$I$5*$AF$5</f>
        <v>0</v>
      </c>
      <c r="AG60" s="13">
        <f ca="1">$I$5*$AG$5</f>
        <v>0</v>
      </c>
      <c r="AI60" s="13">
        <f>$I$5*$AI$5</f>
        <v>0</v>
      </c>
      <c r="AJ60" s="13">
        <f>$I$5*$AJ$5</f>
        <v>0</v>
      </c>
      <c r="AK60" s="13">
        <f>$I$5*$AK$5</f>
        <v>0</v>
      </c>
      <c r="AL60" s="13">
        <f>$I$5*$AL$5</f>
        <v>0</v>
      </c>
      <c r="AM60" s="13">
        <f>$I$5*$AM$5</f>
        <v>0</v>
      </c>
      <c r="AN60" s="13">
        <f>$I$5*$AN$5</f>
        <v>0</v>
      </c>
      <c r="AO60" s="13">
        <f>$I$5*$AO$5</f>
        <v>0</v>
      </c>
      <c r="AP60" s="13">
        <f>$I$5*$AP$5</f>
        <v>0</v>
      </c>
      <c r="AQ60" s="13">
        <f>$I$5*$AQ$5</f>
        <v>0</v>
      </c>
      <c r="AR60" s="13">
        <f>$I$5*$AR$5</f>
        <v>0</v>
      </c>
      <c r="AS60" s="13">
        <f>$I$5*$AS$5</f>
        <v>0</v>
      </c>
      <c r="AT60" s="13">
        <f>$I$5*$AT$5</f>
        <v>0</v>
      </c>
      <c r="AU60" s="13">
        <f>$I$5*$AU$5</f>
        <v>28140.011957176019</v>
      </c>
      <c r="AV60" s="13">
        <f>$I$5*$AV$5</f>
        <v>0</v>
      </c>
      <c r="AW60" s="13">
        <f>$I$5*$AW$5</f>
        <v>0</v>
      </c>
      <c r="AX60" s="13">
        <f>$I$5*$AX$5</f>
        <v>53821.796680552157</v>
      </c>
      <c r="AY60" s="13">
        <f>$I$5*$AY$5</f>
        <v>0</v>
      </c>
      <c r="AZ60" s="13">
        <f>$I$5*$AZ$5</f>
        <v>0</v>
      </c>
      <c r="BA60" s="13">
        <f>$I$5*$BA$5</f>
        <v>0</v>
      </c>
      <c r="BB60" s="13">
        <f>$I$5*$BB$5</f>
        <v>0</v>
      </c>
      <c r="BC60" s="13">
        <f>$I$5*$BC$5</f>
        <v>0</v>
      </c>
      <c r="BD60" s="13">
        <f>$I$5*$BD$5</f>
        <v>0</v>
      </c>
    </row>
    <row r="61" spans="1:56" ht="11.25" customHeight="1" x14ac:dyDescent="0.25">
      <c r="A61" s="9" t="s">
        <v>35</v>
      </c>
      <c r="B61" s="9" t="s">
        <v>769</v>
      </c>
      <c r="C61" s="9" t="s">
        <v>770</v>
      </c>
      <c r="D61" s="9" t="s">
        <v>771</v>
      </c>
      <c r="E61" s="9" t="s">
        <v>772</v>
      </c>
      <c r="F61" s="9" t="s">
        <v>773</v>
      </c>
      <c r="G61" s="9" t="s">
        <v>775</v>
      </c>
      <c r="L61" s="13">
        <f>$I$6*$L$6</f>
        <v>0</v>
      </c>
      <c r="M61" s="13">
        <f>$I$6*$M$6</f>
        <v>0</v>
      </c>
      <c r="N61" s="13">
        <f ca="1">$I$6*$N$6</f>
        <v>0</v>
      </c>
      <c r="O61" s="13">
        <f>$I$6*$O$6</f>
        <v>0</v>
      </c>
      <c r="P61" s="13">
        <f>$I$6*$P$6</f>
        <v>0</v>
      </c>
      <c r="Q61" s="13">
        <f>$I$6*$Q$6</f>
        <v>0</v>
      </c>
      <c r="R61" s="13">
        <f>$I$6*$R$6</f>
        <v>0</v>
      </c>
      <c r="S61" s="13">
        <f>$I$6*$S$6</f>
        <v>0</v>
      </c>
      <c r="T61" s="13">
        <f>$I$6*$T$6</f>
        <v>0</v>
      </c>
      <c r="U61" s="13">
        <f>$I$6*$U$6</f>
        <v>0</v>
      </c>
      <c r="V61" s="13">
        <f>$I$6*$V$6</f>
        <v>0</v>
      </c>
      <c r="W61" s="13">
        <f>$I$6*$W$6</f>
        <v>0</v>
      </c>
      <c r="X61" s="13">
        <f>$I$6*$X$6</f>
        <v>13135.537654553191</v>
      </c>
      <c r="Y61" s="13">
        <f>$I$6*$Y$6</f>
        <v>0</v>
      </c>
      <c r="Z61" s="13">
        <f>$I$6*$Z$6</f>
        <v>0</v>
      </c>
      <c r="AA61" s="13">
        <f>$I$6*$AA$6</f>
        <v>17952.108087957757</v>
      </c>
      <c r="AB61" s="13">
        <f ca="1">$I$6*$AB$6</f>
        <v>0</v>
      </c>
      <c r="AC61" s="13">
        <f ca="1">$I$6*$AC$6</f>
        <v>0</v>
      </c>
      <c r="AD61" s="13">
        <f>$I$6*$AD$6</f>
        <v>0</v>
      </c>
      <c r="AE61" s="13">
        <f>$I$6*$AE$6</f>
        <v>0</v>
      </c>
      <c r="AF61" s="13">
        <f ca="1">$I$6*$AF$6</f>
        <v>0</v>
      </c>
      <c r="AG61" s="13">
        <f ca="1">$I$6*$AG$6</f>
        <v>0</v>
      </c>
      <c r="AI61" s="13">
        <f>$I$6*$AI$6</f>
        <v>0</v>
      </c>
      <c r="AJ61" s="13">
        <f>$I$6*$AJ$6</f>
        <v>0</v>
      </c>
      <c r="AK61" s="13">
        <f>$I$6*$AK$6</f>
        <v>0</v>
      </c>
      <c r="AL61" s="13">
        <f>$I$6*$AL$6</f>
        <v>0</v>
      </c>
      <c r="AM61" s="13">
        <f>$I$6*$AM$6</f>
        <v>0</v>
      </c>
      <c r="AN61" s="13">
        <f>$I$6*$AN$6</f>
        <v>0</v>
      </c>
      <c r="AO61" s="13">
        <f>$I$6*$AO$6</f>
        <v>0</v>
      </c>
      <c r="AP61" s="13">
        <f>$I$6*$AP$6</f>
        <v>0</v>
      </c>
      <c r="AQ61" s="13">
        <f>$I$6*$AQ$6</f>
        <v>0</v>
      </c>
      <c r="AR61" s="13">
        <f>$I$6*$AR$6</f>
        <v>0</v>
      </c>
      <c r="AS61" s="13">
        <f>$I$6*$AS$6</f>
        <v>0</v>
      </c>
      <c r="AT61" s="13">
        <f>$I$6*$AT$6</f>
        <v>0</v>
      </c>
      <c r="AU61" s="13">
        <f>$I$6*$AU$6</f>
        <v>11420.75360553638</v>
      </c>
      <c r="AV61" s="13">
        <f>$I$6*$AV$6</f>
        <v>0</v>
      </c>
      <c r="AW61" s="13">
        <f>$I$6*$AW$6</f>
        <v>0</v>
      </c>
      <c r="AX61" s="13">
        <f>$I$6*$AX$6</f>
        <v>15101.635400824733</v>
      </c>
      <c r="AY61" s="13">
        <f>$I$6*$AY$6</f>
        <v>0</v>
      </c>
      <c r="AZ61" s="13">
        <f>$I$6*$AZ$6</f>
        <v>0</v>
      </c>
      <c r="BA61" s="13">
        <f>$I$6*$BA$6</f>
        <v>0</v>
      </c>
      <c r="BB61" s="13">
        <f>$I$6*$BB$6</f>
        <v>0</v>
      </c>
      <c r="BC61" s="13">
        <f>$I$6*$BC$6</f>
        <v>0</v>
      </c>
      <c r="BD61" s="13">
        <f>$I$6*$BD$6</f>
        <v>0</v>
      </c>
    </row>
    <row r="62" spans="1:56" ht="11.25" customHeight="1" x14ac:dyDescent="0.25">
      <c r="A62" s="9" t="s">
        <v>35</v>
      </c>
      <c r="B62" s="9" t="s">
        <v>769</v>
      </c>
      <c r="C62" s="9" t="s">
        <v>770</v>
      </c>
      <c r="D62" s="9" t="s">
        <v>771</v>
      </c>
      <c r="E62" s="9" t="s">
        <v>772</v>
      </c>
      <c r="F62" s="9" t="s">
        <v>773</v>
      </c>
      <c r="G62" s="9" t="s">
        <v>776</v>
      </c>
      <c r="L62" s="13">
        <f>$I$7*$L$7</f>
        <v>0</v>
      </c>
      <c r="M62" s="13">
        <f>$I$7*$M$7</f>
        <v>847.29561923448921</v>
      </c>
      <c r="N62" s="13">
        <f ca="1">$I$7*$N$7</f>
        <v>0</v>
      </c>
      <c r="O62" s="13">
        <f>$I$7*$O$7</f>
        <v>0</v>
      </c>
      <c r="P62" s="13">
        <f>$I$7*$P$7</f>
        <v>0</v>
      </c>
      <c r="Q62" s="13">
        <f>$I$7*$Q$7</f>
        <v>69982.990531241972</v>
      </c>
      <c r="R62" s="13">
        <f>$I$7*$R$7</f>
        <v>13146.64395075842</v>
      </c>
      <c r="S62" s="13">
        <f>$I$7*$S$7</f>
        <v>0</v>
      </c>
      <c r="T62" s="13">
        <f>$I$7*$T$7</f>
        <v>0</v>
      </c>
      <c r="U62" s="13">
        <f>$I$7*$U$7</f>
        <v>0</v>
      </c>
      <c r="V62" s="13">
        <f>$I$7*$V$7</f>
        <v>0</v>
      </c>
      <c r="W62" s="13">
        <f>$I$7*$W$7</f>
        <v>0</v>
      </c>
      <c r="X62" s="13">
        <f>$I$7*$X$7</f>
        <v>0</v>
      </c>
      <c r="Y62" s="13">
        <f>$I$7*$Y$7</f>
        <v>0</v>
      </c>
      <c r="Z62" s="13">
        <f>$I$7*$Z$7</f>
        <v>0</v>
      </c>
      <c r="AA62" s="13">
        <f>$I$7*$AA$7</f>
        <v>0</v>
      </c>
      <c r="AB62" s="13">
        <f ca="1">$I$7*$AB$7</f>
        <v>0</v>
      </c>
      <c r="AC62" s="13">
        <f ca="1">$I$7*$AC$7</f>
        <v>0</v>
      </c>
      <c r="AD62" s="13">
        <f>$I$7*$AD$7</f>
        <v>7763.7209914239538</v>
      </c>
      <c r="AE62" s="13">
        <f>$I$7*$AE$7</f>
        <v>213.08904734623619</v>
      </c>
      <c r="AF62" s="13">
        <f ca="1">$I$7*$AF$7</f>
        <v>0</v>
      </c>
      <c r="AG62" s="13">
        <f ca="1">$I$7*$AG$7</f>
        <v>0</v>
      </c>
      <c r="AI62" s="13">
        <f>$I$7*$AI$7</f>
        <v>0</v>
      </c>
      <c r="AJ62" s="13">
        <f>$I$7*$AJ$7</f>
        <v>679.64427243974126</v>
      </c>
      <c r="AK62" s="13">
        <f>$I$7*$AK$7</f>
        <v>0</v>
      </c>
      <c r="AL62" s="13">
        <f>$I$7*$AL$7</f>
        <v>0</v>
      </c>
      <c r="AM62" s="13">
        <f>$I$7*$AM$7</f>
        <v>0</v>
      </c>
      <c r="AN62" s="13">
        <f>$I$7*$AN$7</f>
        <v>45387.04021407324</v>
      </c>
      <c r="AO62" s="13">
        <f>$I$7*$AO$7</f>
        <v>8114.3901170674553</v>
      </c>
      <c r="AP62" s="13">
        <f>$I$7*$AP$7</f>
        <v>0</v>
      </c>
      <c r="AQ62" s="13">
        <f>$I$7*$AQ$7</f>
        <v>0</v>
      </c>
      <c r="AR62" s="13">
        <f>$I$7*$AR$7</f>
        <v>0</v>
      </c>
      <c r="AS62" s="13">
        <f>$I$7*$AS$7</f>
        <v>0</v>
      </c>
      <c r="AT62" s="13">
        <f>$I$7*$AT$7</f>
        <v>0</v>
      </c>
      <c r="AU62" s="13">
        <f>$I$7*$AU$7</f>
        <v>0</v>
      </c>
      <c r="AV62" s="13">
        <f>$I$7*$AV$7</f>
        <v>0</v>
      </c>
      <c r="AW62" s="13">
        <f>$I$7*$AW$7</f>
        <v>0</v>
      </c>
      <c r="AX62" s="13">
        <f>$I$7*$AX$7</f>
        <v>0</v>
      </c>
      <c r="AY62" s="13">
        <f>$I$7*$AY$7</f>
        <v>0</v>
      </c>
      <c r="AZ62" s="13">
        <f>$I$7*$AZ$7</f>
        <v>0</v>
      </c>
      <c r="BA62" s="13">
        <f>$I$7*$BA$7</f>
        <v>9402.3054397274173</v>
      </c>
      <c r="BB62" s="13">
        <f>$I$7*$BB$7</f>
        <v>0</v>
      </c>
      <c r="BC62" s="13">
        <f>$I$7*$BC$7</f>
        <v>0</v>
      </c>
      <c r="BD62" s="13">
        <f>$I$7*$BD$7</f>
        <v>0</v>
      </c>
    </row>
    <row r="63" spans="1:56" ht="11.25" customHeight="1" x14ac:dyDescent="0.25">
      <c r="A63" s="9" t="s">
        <v>35</v>
      </c>
      <c r="B63" s="9" t="s">
        <v>769</v>
      </c>
      <c r="C63" s="9" t="s">
        <v>770</v>
      </c>
      <c r="D63" s="9" t="s">
        <v>771</v>
      </c>
      <c r="E63" s="9" t="s">
        <v>777</v>
      </c>
      <c r="F63" s="9" t="s">
        <v>778</v>
      </c>
      <c r="G63" s="9" t="s">
        <v>779</v>
      </c>
      <c r="L63" s="13">
        <f>$I$8*$L$8</f>
        <v>0</v>
      </c>
      <c r="M63" s="13">
        <f>$I$8*$M$8</f>
        <v>0</v>
      </c>
      <c r="N63" s="13">
        <f ca="1">$I$8*$N$8</f>
        <v>0</v>
      </c>
      <c r="O63" s="13">
        <f>$I$8*$O$8</f>
        <v>0</v>
      </c>
      <c r="P63" s="13">
        <f>$I$8*$P$8</f>
        <v>0</v>
      </c>
      <c r="Q63" s="13">
        <f>$I$8*$Q$8</f>
        <v>0</v>
      </c>
      <c r="R63" s="13">
        <f>$I$8*$R$8</f>
        <v>0</v>
      </c>
      <c r="S63" s="13">
        <f>$I$8*$S$8</f>
        <v>0</v>
      </c>
      <c r="T63" s="13">
        <f>$I$8*$T$8</f>
        <v>0</v>
      </c>
      <c r="U63" s="13">
        <f>$I$8*$U$8</f>
        <v>0</v>
      </c>
      <c r="V63" s="13">
        <f>$I$8*$V$8</f>
        <v>0</v>
      </c>
      <c r="W63" s="13">
        <f>$I$8*$W$8</f>
        <v>0</v>
      </c>
      <c r="X63" s="13">
        <f>$I$8*$X$8</f>
        <v>0</v>
      </c>
      <c r="Y63" s="13">
        <f>$I$8*$Y$8</f>
        <v>0</v>
      </c>
      <c r="Z63" s="13">
        <f>$I$8*$Z$8</f>
        <v>0</v>
      </c>
      <c r="AA63" s="13">
        <f>$I$8*$AA$8</f>
        <v>0</v>
      </c>
      <c r="AB63" s="13">
        <f ca="1">$I$8*$AB$8</f>
        <v>0</v>
      </c>
      <c r="AC63" s="13">
        <f ca="1">$I$8*$AC$8</f>
        <v>0</v>
      </c>
      <c r="AD63" s="13">
        <f>$I$8*$AD$8</f>
        <v>0</v>
      </c>
      <c r="AE63" s="13">
        <f>$I$8*$AE$8</f>
        <v>0</v>
      </c>
      <c r="AF63" s="13">
        <f ca="1">$I$8*$AF$8</f>
        <v>0</v>
      </c>
      <c r="AG63" s="13">
        <f ca="1">$I$8*$AG$8</f>
        <v>0</v>
      </c>
      <c r="AI63" s="13">
        <f>$I$8*$AI$8</f>
        <v>0</v>
      </c>
      <c r="AJ63" s="13">
        <f>$I$8*$AJ$8</f>
        <v>0</v>
      </c>
      <c r="AK63" s="13">
        <f>$I$8*$AK$8</f>
        <v>0</v>
      </c>
      <c r="AL63" s="13">
        <f>$I$8*$AL$8</f>
        <v>0</v>
      </c>
      <c r="AM63" s="13">
        <f>$I$8*$AM$8</f>
        <v>0</v>
      </c>
      <c r="AN63" s="13">
        <f>$I$8*$AN$8</f>
        <v>0</v>
      </c>
      <c r="AO63" s="13">
        <f>$I$8*$AO$8</f>
        <v>0</v>
      </c>
      <c r="AP63" s="13">
        <f>$I$8*$AP$8</f>
        <v>0</v>
      </c>
      <c r="AQ63" s="13">
        <f>$I$8*$AQ$8</f>
        <v>0</v>
      </c>
      <c r="AR63" s="13">
        <f>$I$8*$AR$8</f>
        <v>0</v>
      </c>
      <c r="AS63" s="13">
        <f>$I$8*$AS$8</f>
        <v>0</v>
      </c>
      <c r="AT63" s="13">
        <f>$I$8*$AT$8</f>
        <v>0</v>
      </c>
      <c r="AU63" s="13">
        <f>$I$8*$AU$8</f>
        <v>0</v>
      </c>
      <c r="AV63" s="13">
        <f>$I$8*$AV$8</f>
        <v>0</v>
      </c>
      <c r="AW63" s="13">
        <f>$I$8*$AW$8</f>
        <v>0</v>
      </c>
      <c r="AX63" s="13">
        <f>$I$8*$AX$8</f>
        <v>0</v>
      </c>
      <c r="AY63" s="13">
        <f>$I$8*$AY$8</f>
        <v>0</v>
      </c>
      <c r="AZ63" s="13">
        <f>$I$8*$AZ$8</f>
        <v>0</v>
      </c>
      <c r="BA63" s="13">
        <f>$I$8*$BA$8</f>
        <v>0</v>
      </c>
      <c r="BB63" s="13">
        <f>$I$8*$BB$8</f>
        <v>0</v>
      </c>
      <c r="BC63" s="13">
        <f>$I$8*$BC$8</f>
        <v>0</v>
      </c>
      <c r="BD63" s="13">
        <f>$I$8*$BD$8</f>
        <v>0</v>
      </c>
    </row>
    <row r="64" spans="1:56" ht="11.25" customHeight="1" x14ac:dyDescent="0.25">
      <c r="A64" s="9" t="s">
        <v>35</v>
      </c>
      <c r="B64" s="9" t="s">
        <v>780</v>
      </c>
      <c r="C64" s="9" t="s">
        <v>781</v>
      </c>
      <c r="D64" s="9" t="s">
        <v>782</v>
      </c>
      <c r="E64" s="9" t="s">
        <v>783</v>
      </c>
      <c r="F64" s="9" t="s">
        <v>784</v>
      </c>
      <c r="G64" s="9" t="s">
        <v>785</v>
      </c>
      <c r="L64" s="13">
        <f>$I$9*$L$9</f>
        <v>0</v>
      </c>
      <c r="M64" s="13">
        <f>$I$9*$M$9</f>
        <v>0</v>
      </c>
      <c r="N64" s="13">
        <f ca="1">$I$9*$N$9</f>
        <v>0</v>
      </c>
      <c r="O64" s="13">
        <f>$I$9*$O$9</f>
        <v>0</v>
      </c>
      <c r="P64" s="13">
        <f>$I$9*$P$9</f>
        <v>0</v>
      </c>
      <c r="Q64" s="13">
        <f>$I$9*$Q$9</f>
        <v>0</v>
      </c>
      <c r="R64" s="13">
        <f>$I$9*$R$9</f>
        <v>0</v>
      </c>
      <c r="S64" s="13">
        <f>$I$9*$S$9</f>
        <v>0</v>
      </c>
      <c r="T64" s="13">
        <f>$I$9*$T$9</f>
        <v>0</v>
      </c>
      <c r="U64" s="13">
        <f>$I$9*$U$9</f>
        <v>0</v>
      </c>
      <c r="V64" s="13">
        <f>$I$9*$V$9</f>
        <v>0</v>
      </c>
      <c r="W64" s="13">
        <f>$I$9*$W$9</f>
        <v>0</v>
      </c>
      <c r="X64" s="13">
        <f>$I$9*$X$9</f>
        <v>663143.16165515268</v>
      </c>
      <c r="Y64" s="13">
        <f>$I$9*$Y$9</f>
        <v>0</v>
      </c>
      <c r="Z64" s="13">
        <f>$I$9*$Z$9</f>
        <v>0</v>
      </c>
      <c r="AA64" s="13">
        <f>$I$9*$AA$9</f>
        <v>839468.34210316557</v>
      </c>
      <c r="AB64" s="13">
        <f>$I$9*$AB$9</f>
        <v>0</v>
      </c>
      <c r="AC64" s="13">
        <f ca="1">$I$9*$AC$9</f>
        <v>0</v>
      </c>
      <c r="AD64" s="13">
        <f>$I$9*$AD$9</f>
        <v>0</v>
      </c>
      <c r="AE64" s="13">
        <f>$I$9*$AE$9</f>
        <v>0</v>
      </c>
      <c r="AF64" s="13">
        <f ca="1">$I$9*$AF$9</f>
        <v>0</v>
      </c>
      <c r="AG64" s="13">
        <f ca="1">$I$9*$AG$9</f>
        <v>0</v>
      </c>
      <c r="AI64" s="13">
        <f>$I$9*$AI$9</f>
        <v>0</v>
      </c>
      <c r="AJ64" s="13">
        <f>$I$9*$AJ$9</f>
        <v>0</v>
      </c>
      <c r="AK64" s="13">
        <f>$I$9*$AK$9</f>
        <v>0</v>
      </c>
      <c r="AL64" s="13">
        <f>$I$9*$AL$9</f>
        <v>0</v>
      </c>
      <c r="AM64" s="13">
        <f>$I$9*$AM$9</f>
        <v>0</v>
      </c>
      <c r="AN64" s="13">
        <f>$I$9*$AN$9</f>
        <v>0</v>
      </c>
      <c r="AO64" s="13">
        <f>$I$9*$AO$9</f>
        <v>0</v>
      </c>
      <c r="AP64" s="13">
        <f>$I$9*$AP$9</f>
        <v>0</v>
      </c>
      <c r="AQ64" s="13">
        <f>$I$9*$AQ$9</f>
        <v>0</v>
      </c>
      <c r="AR64" s="13">
        <f>$I$9*$AR$9</f>
        <v>0</v>
      </c>
      <c r="AS64" s="13">
        <f>$I$9*$AS$9</f>
        <v>0</v>
      </c>
      <c r="AT64" s="13">
        <f>$I$9*$AT$9</f>
        <v>0</v>
      </c>
      <c r="AU64" s="13">
        <f>$I$9*$AU$9</f>
        <v>576570.47179885325</v>
      </c>
      <c r="AV64" s="13">
        <f>$I$9*$AV$9</f>
        <v>0</v>
      </c>
      <c r="AW64" s="13">
        <f>$I$9*$AW$9</f>
        <v>0</v>
      </c>
      <c r="AX64" s="13">
        <f>$I$9*$AX$9</f>
        <v>706177.42543126794</v>
      </c>
      <c r="AY64" s="13">
        <f>$I$9*$AY$9</f>
        <v>0</v>
      </c>
      <c r="AZ64" s="13">
        <f>$I$9*$AZ$9</f>
        <v>0</v>
      </c>
      <c r="BA64" s="13">
        <f>$I$9*$BA$9</f>
        <v>0</v>
      </c>
      <c r="BB64" s="13">
        <f>$I$9*$BB$9</f>
        <v>0</v>
      </c>
      <c r="BC64" s="13">
        <f>$I$9*$BC$9</f>
        <v>0</v>
      </c>
      <c r="BD64" s="13">
        <f>$I$9*$BD$9</f>
        <v>0</v>
      </c>
    </row>
    <row r="65" spans="1:56" ht="11.25" customHeight="1" x14ac:dyDescent="0.25">
      <c r="A65" s="9" t="s">
        <v>35</v>
      </c>
      <c r="B65" s="9" t="s">
        <v>780</v>
      </c>
      <c r="C65" s="9" t="s">
        <v>781</v>
      </c>
      <c r="D65" s="9" t="s">
        <v>782</v>
      </c>
      <c r="E65" s="9" t="s">
        <v>783</v>
      </c>
      <c r="F65" s="9" t="s">
        <v>784</v>
      </c>
      <c r="G65" s="9" t="s">
        <v>786</v>
      </c>
      <c r="L65" s="13">
        <f>$I$10*$L$10</f>
        <v>0</v>
      </c>
      <c r="M65" s="13">
        <f>$I$10*$M$10</f>
        <v>0</v>
      </c>
      <c r="N65" s="13">
        <f ca="1">$I$10*$N$10</f>
        <v>0</v>
      </c>
      <c r="O65" s="13">
        <f>$I$10*$O$10</f>
        <v>0</v>
      </c>
      <c r="P65" s="13">
        <f>$I$10*$P$10</f>
        <v>0</v>
      </c>
      <c r="Q65" s="13">
        <f>$I$10*$Q$10</f>
        <v>0</v>
      </c>
      <c r="R65" s="13">
        <f>$I$10*$R$10</f>
        <v>0</v>
      </c>
      <c r="S65" s="13">
        <f>$I$10*$S$10</f>
        <v>0</v>
      </c>
      <c r="T65" s="13">
        <f>$I$10*$T$10</f>
        <v>0</v>
      </c>
      <c r="U65" s="13">
        <f>$I$10*$U$10</f>
        <v>0</v>
      </c>
      <c r="V65" s="13">
        <f>$I$10*$V$10</f>
        <v>0</v>
      </c>
      <c r="W65" s="13">
        <f>$I$10*$W$10</f>
        <v>0</v>
      </c>
      <c r="X65" s="13">
        <f>$I$10*$X$10</f>
        <v>289413.38610545325</v>
      </c>
      <c r="Y65" s="13">
        <f>$I$10*$Y$10</f>
        <v>0</v>
      </c>
      <c r="Z65" s="13">
        <f>$I$10*$Z$10</f>
        <v>0</v>
      </c>
      <c r="AA65" s="13">
        <f>$I$10*$AA$10</f>
        <v>253280.68615933528</v>
      </c>
      <c r="AB65" s="13">
        <f>$I$10*$AB$10</f>
        <v>0</v>
      </c>
      <c r="AC65" s="13">
        <f ca="1">$I$10*$AC$10</f>
        <v>0</v>
      </c>
      <c r="AD65" s="13">
        <f>$I$10*$AD$10</f>
        <v>0</v>
      </c>
      <c r="AE65" s="13">
        <f>$I$10*$AE$10</f>
        <v>0</v>
      </c>
      <c r="AF65" s="13">
        <f ca="1">$I$10*$AF$10</f>
        <v>0</v>
      </c>
      <c r="AG65" s="13">
        <f ca="1">$I$10*$AG$10</f>
        <v>0</v>
      </c>
      <c r="AI65" s="13">
        <f>$I$10*$AI$10</f>
        <v>0</v>
      </c>
      <c r="AJ65" s="13">
        <f>$I$10*$AJ$10</f>
        <v>0</v>
      </c>
      <c r="AK65" s="13">
        <f>$I$10*$AK$10</f>
        <v>0</v>
      </c>
      <c r="AL65" s="13">
        <f>$I$10*$AL$10</f>
        <v>0</v>
      </c>
      <c r="AM65" s="13">
        <f>$I$10*$AM$10</f>
        <v>0</v>
      </c>
      <c r="AN65" s="13">
        <f>$I$10*$AN$10</f>
        <v>0</v>
      </c>
      <c r="AO65" s="13">
        <f>$I$10*$AO$10</f>
        <v>0</v>
      </c>
      <c r="AP65" s="13">
        <f>$I$10*$AP$10</f>
        <v>0</v>
      </c>
      <c r="AQ65" s="13">
        <f>$I$10*$AQ$10</f>
        <v>0</v>
      </c>
      <c r="AR65" s="13">
        <f>$I$10*$AR$10</f>
        <v>0</v>
      </c>
      <c r="AS65" s="13">
        <f>$I$10*$AS$10</f>
        <v>0</v>
      </c>
      <c r="AT65" s="13">
        <f>$I$10*$AT$10</f>
        <v>0</v>
      </c>
      <c r="AU65" s="13">
        <f>$I$10*$AU$10</f>
        <v>251631.79915278306</v>
      </c>
      <c r="AV65" s="13">
        <f>$I$10*$AV$10</f>
        <v>0</v>
      </c>
      <c r="AW65" s="13">
        <f>$I$10*$AW$10</f>
        <v>0</v>
      </c>
      <c r="AX65" s="13">
        <f>$I$10*$AX$10</f>
        <v>213065.33164913766</v>
      </c>
      <c r="AY65" s="13">
        <f>$I$10*$AY$10</f>
        <v>0</v>
      </c>
      <c r="AZ65" s="13">
        <f>$I$10*$AZ$10</f>
        <v>0</v>
      </c>
      <c r="BA65" s="13">
        <f>$I$10*$BA$10</f>
        <v>0</v>
      </c>
      <c r="BB65" s="13">
        <f>$I$10*$BB$10</f>
        <v>0</v>
      </c>
      <c r="BC65" s="13">
        <f>$I$10*$BC$10</f>
        <v>0</v>
      </c>
      <c r="BD65" s="13">
        <f>$I$10*$BD$10</f>
        <v>0</v>
      </c>
    </row>
    <row r="66" spans="1:56" ht="11.25" customHeight="1" x14ac:dyDescent="0.25">
      <c r="A66" s="9" t="s">
        <v>35</v>
      </c>
      <c r="B66" s="9" t="s">
        <v>780</v>
      </c>
      <c r="C66" s="9" t="s">
        <v>781</v>
      </c>
      <c r="D66" s="9" t="s">
        <v>782</v>
      </c>
      <c r="E66" s="9" t="s">
        <v>783</v>
      </c>
      <c r="F66" s="9" t="s">
        <v>784</v>
      </c>
      <c r="G66" s="9" t="s">
        <v>787</v>
      </c>
      <c r="L66" s="13">
        <f>$I$11*$L$11</f>
        <v>0</v>
      </c>
      <c r="M66" s="13">
        <f>$I$11*$M$11</f>
        <v>0</v>
      </c>
      <c r="N66" s="13">
        <f ca="1">$I$11*$N$11</f>
        <v>0</v>
      </c>
      <c r="O66" s="13">
        <f>$I$11*$O$11</f>
        <v>0</v>
      </c>
      <c r="P66" s="13">
        <f>$I$11*$P$11</f>
        <v>0</v>
      </c>
      <c r="Q66" s="13">
        <f>$I$11*$Q$11</f>
        <v>0</v>
      </c>
      <c r="R66" s="13">
        <f>$I$11*$R$11</f>
        <v>0</v>
      </c>
      <c r="S66" s="13">
        <f>$I$11*$S$11</f>
        <v>0</v>
      </c>
      <c r="T66" s="13">
        <f>$I$11*$T$11</f>
        <v>0</v>
      </c>
      <c r="U66" s="13">
        <f>$I$11*$U$11</f>
        <v>0</v>
      </c>
      <c r="V66" s="13">
        <f>$I$11*$V$11</f>
        <v>0</v>
      </c>
      <c r="W66" s="13">
        <f>$I$11*$W$11</f>
        <v>0</v>
      </c>
      <c r="X66" s="13">
        <f>$I$11*$X$11</f>
        <v>0</v>
      </c>
      <c r="Y66" s="13">
        <f>$I$11*$Y$11</f>
        <v>0</v>
      </c>
      <c r="Z66" s="13">
        <f>$I$11*$Z$11</f>
        <v>0</v>
      </c>
      <c r="AA66" s="13">
        <f>$I$11*$AA$11</f>
        <v>0</v>
      </c>
      <c r="AB66" s="13">
        <f>$I$11*$AB$11</f>
        <v>0</v>
      </c>
      <c r="AC66" s="13">
        <f ca="1">$I$11*$AC$11</f>
        <v>0</v>
      </c>
      <c r="AD66" s="13">
        <f>$I$11*$AD$11</f>
        <v>54233.614097799742</v>
      </c>
      <c r="AE66" s="13">
        <f>$I$11*$AE$11</f>
        <v>1488.5374133111325</v>
      </c>
      <c r="AF66" s="13">
        <f ca="1">$I$11*$AF$11</f>
        <v>0</v>
      </c>
      <c r="AG66" s="13">
        <f ca="1">$I$11*$AG$11</f>
        <v>0</v>
      </c>
      <c r="AI66" s="13">
        <f>$I$11*$AI$11</f>
        <v>0</v>
      </c>
      <c r="AJ66" s="13">
        <f>$I$11*$AJ$11</f>
        <v>0</v>
      </c>
      <c r="AK66" s="13">
        <f>$I$11*$AK$11</f>
        <v>0</v>
      </c>
      <c r="AL66" s="13">
        <f>$I$11*$AL$11</f>
        <v>0</v>
      </c>
      <c r="AM66" s="13">
        <f>$I$11*$AM$11</f>
        <v>0</v>
      </c>
      <c r="AN66" s="13">
        <f>$I$11*$AN$11</f>
        <v>0</v>
      </c>
      <c r="AO66" s="13">
        <f>$I$11*$AO$11</f>
        <v>0</v>
      </c>
      <c r="AP66" s="13">
        <f>$I$11*$AP$11</f>
        <v>0</v>
      </c>
      <c r="AQ66" s="13">
        <f>$I$11*$AQ$11</f>
        <v>0</v>
      </c>
      <c r="AR66" s="13">
        <f>$I$11*$AR$11</f>
        <v>0</v>
      </c>
      <c r="AS66" s="13">
        <f>$I$11*$AS$11</f>
        <v>0</v>
      </c>
      <c r="AT66" s="13">
        <f>$I$11*$AT$11</f>
        <v>0</v>
      </c>
      <c r="AU66" s="13">
        <f>$I$11*$AU$11</f>
        <v>0</v>
      </c>
      <c r="AV66" s="13">
        <f>$I$11*$AV$11</f>
        <v>0</v>
      </c>
      <c r="AW66" s="13">
        <f>$I$11*$AW$11</f>
        <v>0</v>
      </c>
      <c r="AX66" s="13">
        <f>$I$11*$AX$11</f>
        <v>0</v>
      </c>
      <c r="AY66" s="13">
        <f>$I$11*$AY$11</f>
        <v>0</v>
      </c>
      <c r="AZ66" s="13">
        <f>$I$11*$AZ$11</f>
        <v>0</v>
      </c>
      <c r="BA66" s="13">
        <f>$I$11*$BA$11</f>
        <v>65679.975544084416</v>
      </c>
      <c r="BB66" s="13">
        <f>$I$11*$BB$11</f>
        <v>0</v>
      </c>
      <c r="BC66" s="13">
        <f>$I$11*$BC$11</f>
        <v>0</v>
      </c>
      <c r="BD66" s="13">
        <f>$I$11*$BD$11</f>
        <v>0</v>
      </c>
    </row>
    <row r="67" spans="1:56" ht="11.25" customHeight="1" x14ac:dyDescent="0.25">
      <c r="A67" s="9" t="s">
        <v>35</v>
      </c>
      <c r="B67" s="9" t="s">
        <v>788</v>
      </c>
      <c r="C67" s="9" t="s">
        <v>789</v>
      </c>
      <c r="D67" s="9" t="s">
        <v>790</v>
      </c>
      <c r="E67" s="9" t="s">
        <v>791</v>
      </c>
      <c r="F67" s="9" t="s">
        <v>792</v>
      </c>
      <c r="G67" s="9" t="s">
        <v>793</v>
      </c>
      <c r="L67" s="13">
        <f>$I$12*$L$12</f>
        <v>0</v>
      </c>
      <c r="M67" s="13">
        <f>$I$12*$M$12</f>
        <v>579.91883982256161</v>
      </c>
      <c r="N67" s="13">
        <f ca="1">$I$12*$N$12</f>
        <v>0</v>
      </c>
      <c r="O67" s="13">
        <f>$I$12*$O$12</f>
        <v>0</v>
      </c>
      <c r="P67" s="13">
        <f>$I$12*$P$12</f>
        <v>0</v>
      </c>
      <c r="Q67" s="13">
        <f>$I$12*$Q$12</f>
        <v>0</v>
      </c>
      <c r="R67" s="13">
        <f>$I$12*$R$12</f>
        <v>0</v>
      </c>
      <c r="S67" s="13">
        <f>$I$12*$S$12</f>
        <v>0</v>
      </c>
      <c r="T67" s="13">
        <f>$I$12*$T$12</f>
        <v>0</v>
      </c>
      <c r="U67" s="13">
        <f>$I$12*$U$12</f>
        <v>0</v>
      </c>
      <c r="V67" s="13">
        <f>$I$12*$V$12</f>
        <v>0</v>
      </c>
      <c r="W67" s="13">
        <f>$I$12*$W$12</f>
        <v>0</v>
      </c>
      <c r="X67" s="13">
        <f>$I$12*$X$12</f>
        <v>0</v>
      </c>
      <c r="Y67" s="13">
        <f>$I$12*$Y$12</f>
        <v>0</v>
      </c>
      <c r="Z67" s="13">
        <f>$I$12*$Z$12</f>
        <v>0</v>
      </c>
      <c r="AA67" s="13">
        <f>$I$12*$AA$12</f>
        <v>189272.22335845235</v>
      </c>
      <c r="AB67" s="13">
        <f ca="1">$I$12*$AB$12</f>
        <v>0</v>
      </c>
      <c r="AC67" s="13">
        <f ca="1">$I$12*$AC$12</f>
        <v>0</v>
      </c>
      <c r="AD67" s="13">
        <f>$I$12*$AD$12</f>
        <v>0</v>
      </c>
      <c r="AE67" s="13">
        <f>$I$12*$AE$12</f>
        <v>0</v>
      </c>
      <c r="AF67" s="13">
        <f ca="1">$I$12*$AF$12</f>
        <v>0</v>
      </c>
      <c r="AG67" s="13">
        <f ca="1">$I$12*$AG$12</f>
        <v>0</v>
      </c>
      <c r="AI67" s="13">
        <f>$I$12*$AI$12</f>
        <v>0</v>
      </c>
      <c r="AJ67" s="13">
        <f>$I$12*$AJ$12</f>
        <v>523.5242038801382</v>
      </c>
      <c r="AK67" s="13">
        <f>$I$12*$AK$12</f>
        <v>0</v>
      </c>
      <c r="AL67" s="13">
        <f>$I$12*$AL$12</f>
        <v>0</v>
      </c>
      <c r="AM67" s="13">
        <f>$I$12*$AM$12</f>
        <v>0</v>
      </c>
      <c r="AN67" s="13">
        <f>$I$12*$AN$12</f>
        <v>0</v>
      </c>
      <c r="AO67" s="13">
        <f>$I$12*$AO$12</f>
        <v>0</v>
      </c>
      <c r="AP67" s="13">
        <f>$I$12*$AP$12</f>
        <v>0</v>
      </c>
      <c r="AQ67" s="13">
        <f>$I$12*$AQ$12</f>
        <v>0</v>
      </c>
      <c r="AR67" s="13">
        <f>$I$12*$AR$12</f>
        <v>0</v>
      </c>
      <c r="AS67" s="13">
        <f>$I$12*$AS$12</f>
        <v>0</v>
      </c>
      <c r="AT67" s="13">
        <f>$I$12*$AT$12</f>
        <v>0</v>
      </c>
      <c r="AU67" s="13">
        <f>$I$12*$AU$12</f>
        <v>0</v>
      </c>
      <c r="AV67" s="13">
        <f>$I$12*$AV$12</f>
        <v>0</v>
      </c>
      <c r="AW67" s="13">
        <f>$I$12*$AW$12</f>
        <v>0</v>
      </c>
      <c r="AX67" s="13">
        <f>$I$12*$AX$12</f>
        <v>187317.63526930482</v>
      </c>
      <c r="AY67" s="13">
        <f>$I$12*$AY$12</f>
        <v>0</v>
      </c>
      <c r="AZ67" s="13">
        <f>$I$12*$AZ$12</f>
        <v>0</v>
      </c>
      <c r="BA67" s="13">
        <f>$I$12*$BA$12</f>
        <v>0</v>
      </c>
      <c r="BB67" s="13">
        <f>$I$12*$BB$12</f>
        <v>0</v>
      </c>
      <c r="BC67" s="13">
        <f>$I$12*$BC$12</f>
        <v>0</v>
      </c>
      <c r="BD67" s="13">
        <f>$I$12*$BD$12</f>
        <v>0</v>
      </c>
    </row>
    <row r="68" spans="1:56" ht="11.25" customHeight="1" x14ac:dyDescent="0.25">
      <c r="A68" s="9" t="s">
        <v>35</v>
      </c>
      <c r="B68" s="9" t="s">
        <v>794</v>
      </c>
      <c r="C68" s="9" t="s">
        <v>795</v>
      </c>
      <c r="D68" s="9" t="s">
        <v>796</v>
      </c>
      <c r="E68" s="9" t="s">
        <v>797</v>
      </c>
      <c r="F68" s="9" t="s">
        <v>798</v>
      </c>
      <c r="G68" s="9" t="s">
        <v>799</v>
      </c>
      <c r="L68" s="13">
        <f>$I$13*$L$13</f>
        <v>0</v>
      </c>
      <c r="M68" s="13">
        <f>$I$13*$M$13</f>
        <v>0</v>
      </c>
      <c r="N68" s="13">
        <f ca="1">$I$13*$N$13</f>
        <v>0</v>
      </c>
      <c r="O68" s="13">
        <f>$I$13*$O$13</f>
        <v>0</v>
      </c>
      <c r="P68" s="13">
        <f>$I$13*$P$13</f>
        <v>0</v>
      </c>
      <c r="Q68" s="13">
        <f>$I$13*$Q$13</f>
        <v>0</v>
      </c>
      <c r="R68" s="13">
        <f>$I$13*$R$13</f>
        <v>0</v>
      </c>
      <c r="S68" s="13">
        <f>$I$13*$S$13</f>
        <v>0</v>
      </c>
      <c r="T68" s="13">
        <f>$I$13*$T$13</f>
        <v>0</v>
      </c>
      <c r="U68" s="13">
        <f>$I$13*$U$13</f>
        <v>0</v>
      </c>
      <c r="V68" s="13">
        <f>$I$13*$V$13</f>
        <v>0</v>
      </c>
      <c r="W68" s="13">
        <f>$I$13*$W$13</f>
        <v>0</v>
      </c>
      <c r="X68" s="13">
        <f>$I$13*$X$13</f>
        <v>1796278.0311710038</v>
      </c>
      <c r="Y68" s="13">
        <f>$I$13*$Y$13</f>
        <v>0</v>
      </c>
      <c r="Z68" s="13">
        <f>$I$13*$Z$13</f>
        <v>0</v>
      </c>
      <c r="AA68" s="13">
        <f>$I$13*$AA$13</f>
        <v>2454941.5653669871</v>
      </c>
      <c r="AB68" s="13">
        <f ca="1">$I$13*$AB$13</f>
        <v>0</v>
      </c>
      <c r="AC68" s="13">
        <f ca="1">$I$13*$AC$13</f>
        <v>0</v>
      </c>
      <c r="AD68" s="13">
        <f>$I$13*$AD$13</f>
        <v>0</v>
      </c>
      <c r="AE68" s="13">
        <f>$I$13*$AE$13</f>
        <v>0</v>
      </c>
      <c r="AF68" s="13">
        <f ca="1">$I$13*$AF$13</f>
        <v>0</v>
      </c>
      <c r="AG68" s="13">
        <f ca="1">$I$13*$AG$13</f>
        <v>0</v>
      </c>
      <c r="AI68" s="13">
        <f>$I$13*$AI$13</f>
        <v>0</v>
      </c>
      <c r="AJ68" s="13">
        <f>$I$13*$AJ$13</f>
        <v>0</v>
      </c>
      <c r="AK68" s="13">
        <f>$I$13*$AK$13</f>
        <v>0</v>
      </c>
      <c r="AL68" s="13">
        <f>$I$13*$AL$13</f>
        <v>0</v>
      </c>
      <c r="AM68" s="13">
        <f>$I$13*$AM$13</f>
        <v>0</v>
      </c>
      <c r="AN68" s="13">
        <f>$I$13*$AN$13</f>
        <v>0</v>
      </c>
      <c r="AO68" s="13">
        <f>$I$13*$AO$13</f>
        <v>0</v>
      </c>
      <c r="AP68" s="13">
        <f>$I$13*$AP$13</f>
        <v>0</v>
      </c>
      <c r="AQ68" s="13">
        <f>$I$13*$AQ$13</f>
        <v>0</v>
      </c>
      <c r="AR68" s="13">
        <f>$I$13*$AR$13</f>
        <v>0</v>
      </c>
      <c r="AS68" s="13">
        <f>$I$13*$AS$13</f>
        <v>0</v>
      </c>
      <c r="AT68" s="13">
        <f>$I$13*$AT$13</f>
        <v>0</v>
      </c>
      <c r="AU68" s="13">
        <f>$I$13*$AU$13</f>
        <v>1561782.1927472409</v>
      </c>
      <c r="AV68" s="13">
        <f>$I$13*$AV$13</f>
        <v>0</v>
      </c>
      <c r="AW68" s="13">
        <f>$I$13*$AW$13</f>
        <v>0</v>
      </c>
      <c r="AX68" s="13">
        <f>$I$13*$AX$13</f>
        <v>2065140.8886832129</v>
      </c>
      <c r="AY68" s="13">
        <f>$I$13*$AY$13</f>
        <v>0</v>
      </c>
      <c r="AZ68" s="13">
        <f>$I$13*$AZ$13</f>
        <v>0</v>
      </c>
      <c r="BA68" s="13">
        <f>$I$13*$BA$13</f>
        <v>0</v>
      </c>
      <c r="BB68" s="13">
        <f>$I$13*$BB$13</f>
        <v>0</v>
      </c>
      <c r="BC68" s="13">
        <f>$I$13*$BC$13</f>
        <v>0</v>
      </c>
      <c r="BD68" s="13">
        <f>$I$13*$BD$13</f>
        <v>0</v>
      </c>
    </row>
    <row r="69" spans="1:56" ht="11.25" customHeight="1" x14ac:dyDescent="0.25">
      <c r="A69" s="9" t="s">
        <v>35</v>
      </c>
      <c r="B69" s="9" t="s">
        <v>794</v>
      </c>
      <c r="C69" s="9" t="s">
        <v>795</v>
      </c>
      <c r="D69" s="9" t="s">
        <v>796</v>
      </c>
      <c r="E69" s="9" t="s">
        <v>797</v>
      </c>
      <c r="F69" s="9" t="s">
        <v>798</v>
      </c>
      <c r="G69" s="9" t="s">
        <v>800</v>
      </c>
      <c r="L69" s="13">
        <f>$I$14*$L$14</f>
        <v>0</v>
      </c>
      <c r="M69" s="13">
        <f>$I$14*$M$14</f>
        <v>3035.8943300472915</v>
      </c>
      <c r="N69" s="13">
        <f ca="1">$I$14*$N$14</f>
        <v>0</v>
      </c>
      <c r="O69" s="13">
        <f>$I$14*$O$14</f>
        <v>0</v>
      </c>
      <c r="P69" s="13">
        <f>$I$14*$P$14</f>
        <v>0</v>
      </c>
      <c r="Q69" s="13">
        <f>$I$14*$Q$14</f>
        <v>250751.8737621989</v>
      </c>
      <c r="R69" s="13">
        <f>$I$14*$R$14</f>
        <v>47104.954779911837</v>
      </c>
      <c r="S69" s="13">
        <f>$I$14*$S$14</f>
        <v>0</v>
      </c>
      <c r="T69" s="13">
        <f>$I$14*$T$14</f>
        <v>0</v>
      </c>
      <c r="U69" s="13">
        <f>$I$14*$U$14</f>
        <v>0</v>
      </c>
      <c r="V69" s="13">
        <f>$I$14*$V$14</f>
        <v>0</v>
      </c>
      <c r="W69" s="13">
        <f>$I$14*$W$14</f>
        <v>0</v>
      </c>
      <c r="X69" s="13">
        <f>$I$14*$X$14</f>
        <v>1713824.4657062718</v>
      </c>
      <c r="Y69" s="13">
        <f>$I$14*$Y$14</f>
        <v>0</v>
      </c>
      <c r="Z69" s="13">
        <f>$I$14*$Z$14</f>
        <v>0</v>
      </c>
      <c r="AA69" s="13">
        <f>$I$14*$AA$14</f>
        <v>3386611.6753890319</v>
      </c>
      <c r="AB69" s="13">
        <f ca="1">$I$14*$AB$14</f>
        <v>0</v>
      </c>
      <c r="AC69" s="13">
        <f ca="1">$I$14*$AC$14</f>
        <v>0</v>
      </c>
      <c r="AD69" s="13">
        <f>$I$14*$AD$14</f>
        <v>27817.725009870683</v>
      </c>
      <c r="AE69" s="13">
        <f>$I$14*$AE$14</f>
        <v>763.50663917994746</v>
      </c>
      <c r="AF69" s="13">
        <f ca="1">$I$14*$AF$14</f>
        <v>0</v>
      </c>
      <c r="AG69" s="13">
        <f ca="1">$I$14*$AG$14</f>
        <v>0</v>
      </c>
      <c r="AI69" s="13">
        <f>$I$14*$AI$14</f>
        <v>0</v>
      </c>
      <c r="AJ69" s="13">
        <f>$I$14*$AJ$14</f>
        <v>2435.1928020271052</v>
      </c>
      <c r="AK69" s="13">
        <f>$I$14*$AK$14</f>
        <v>0</v>
      </c>
      <c r="AL69" s="13">
        <f>$I$14*$AL$14</f>
        <v>0</v>
      </c>
      <c r="AM69" s="13">
        <f>$I$14*$AM$14</f>
        <v>0</v>
      </c>
      <c r="AN69" s="13">
        <f>$I$14*$AN$14</f>
        <v>162623.59313036871</v>
      </c>
      <c r="AO69" s="13">
        <f>$I$14*$AO$14</f>
        <v>29074.186610870798</v>
      </c>
      <c r="AP69" s="13">
        <f>$I$14*$AP$14</f>
        <v>0</v>
      </c>
      <c r="AQ69" s="13">
        <f>$I$14*$AQ$14</f>
        <v>0</v>
      </c>
      <c r="AR69" s="13">
        <f>$I$14*$AR$14</f>
        <v>0</v>
      </c>
      <c r="AS69" s="13">
        <f>$I$14*$AS$14</f>
        <v>0</v>
      </c>
      <c r="AT69" s="13">
        <f>$I$14*$AT$14</f>
        <v>0</v>
      </c>
      <c r="AU69" s="13">
        <f>$I$14*$AU$14</f>
        <v>1490090.259899348</v>
      </c>
      <c r="AV69" s="13">
        <f>$I$14*$AV$14</f>
        <v>0</v>
      </c>
      <c r="AW69" s="13">
        <f>$I$14*$AW$14</f>
        <v>0</v>
      </c>
      <c r="AX69" s="13">
        <f>$I$14*$AX$14</f>
        <v>2848881.2530297539</v>
      </c>
      <c r="AY69" s="13">
        <f>$I$14*$AY$14</f>
        <v>0</v>
      </c>
      <c r="AZ69" s="13">
        <f>$I$14*$AZ$14</f>
        <v>0</v>
      </c>
      <c r="BA69" s="13">
        <f>$I$14*$BA$14</f>
        <v>33688.839085029664</v>
      </c>
      <c r="BB69" s="13">
        <f>$I$14*$BB$14</f>
        <v>0</v>
      </c>
      <c r="BC69" s="13">
        <f>$I$14*$BC$14</f>
        <v>0</v>
      </c>
      <c r="BD69" s="13">
        <f>$I$14*$BD$14</f>
        <v>0</v>
      </c>
    </row>
    <row r="70" spans="1:56" ht="11.25" customHeight="1" x14ac:dyDescent="0.25">
      <c r="A70" s="9" t="s">
        <v>35</v>
      </c>
      <c r="B70" s="9" t="s">
        <v>794</v>
      </c>
      <c r="C70" s="9" t="s">
        <v>795</v>
      </c>
      <c r="D70" s="9" t="s">
        <v>796</v>
      </c>
      <c r="E70" s="9" t="s">
        <v>797</v>
      </c>
      <c r="F70" s="9" t="s">
        <v>798</v>
      </c>
      <c r="G70" s="9" t="s">
        <v>801</v>
      </c>
      <c r="L70" s="13">
        <f>$I$15*$L$15</f>
        <v>0</v>
      </c>
      <c r="M70" s="13">
        <f>$I$15*$M$15</f>
        <v>40154.723532623721</v>
      </c>
      <c r="N70" s="13">
        <f ca="1">$I$15*$N$15</f>
        <v>0</v>
      </c>
      <c r="O70" s="13">
        <f>$I$15*$O$15</f>
        <v>0</v>
      </c>
      <c r="P70" s="13">
        <f>$I$15*$P$15</f>
        <v>0</v>
      </c>
      <c r="Q70" s="13">
        <f>$I$15*$Q$15</f>
        <v>3316608.2450740677</v>
      </c>
      <c r="R70" s="13">
        <f>$I$15*$R$15</f>
        <v>623040.93310607341</v>
      </c>
      <c r="S70" s="13">
        <f>$I$15*$S$15</f>
        <v>0</v>
      </c>
      <c r="T70" s="13">
        <f>$I$15*$T$15</f>
        <v>0</v>
      </c>
      <c r="U70" s="13">
        <f>$I$15*$U$15</f>
        <v>0</v>
      </c>
      <c r="V70" s="13">
        <f>$I$15*$V$15</f>
        <v>0</v>
      </c>
      <c r="W70" s="13">
        <f>$I$15*$W$15</f>
        <v>0</v>
      </c>
      <c r="X70" s="13">
        <f>$I$15*$X$15</f>
        <v>0</v>
      </c>
      <c r="Y70" s="13">
        <f>$I$15*$Y$15</f>
        <v>0</v>
      </c>
      <c r="Z70" s="13">
        <f>$I$15*$Z$15</f>
        <v>0</v>
      </c>
      <c r="AA70" s="13">
        <f>$I$15*$AA$15</f>
        <v>0</v>
      </c>
      <c r="AB70" s="13">
        <f ca="1">$I$15*$AB$15</f>
        <v>0</v>
      </c>
      <c r="AC70" s="13">
        <f ca="1">$I$15*$AC$15</f>
        <v>0</v>
      </c>
      <c r="AD70" s="13">
        <f>$I$15*$AD$15</f>
        <v>367935.42055217369</v>
      </c>
      <c r="AE70" s="13">
        <f>$I$15*$AE$15</f>
        <v>10098.638054742802</v>
      </c>
      <c r="AF70" s="13">
        <f ca="1">$I$15*$AF$15</f>
        <v>0</v>
      </c>
      <c r="AG70" s="13">
        <f ca="1">$I$15*$AG$15</f>
        <v>0</v>
      </c>
      <c r="AI70" s="13">
        <f>$I$15*$AI$15</f>
        <v>0</v>
      </c>
      <c r="AJ70" s="13">
        <f>$I$15*$AJ$15</f>
        <v>32209.452333774236</v>
      </c>
      <c r="AK70" s="13">
        <f>$I$15*$AK$15</f>
        <v>0</v>
      </c>
      <c r="AL70" s="13">
        <f>$I$15*$AL$15</f>
        <v>0</v>
      </c>
      <c r="AM70" s="13">
        <f>$I$15*$AM$15</f>
        <v>0</v>
      </c>
      <c r="AN70" s="13">
        <f>$I$15*$AN$15</f>
        <v>2150965.9797447952</v>
      </c>
      <c r="AO70" s="13">
        <f>$I$15*$AO$15</f>
        <v>384554.20326742431</v>
      </c>
      <c r="AP70" s="13">
        <f>$I$15*$AP$15</f>
        <v>0</v>
      </c>
      <c r="AQ70" s="13">
        <f>$I$15*$AQ$15</f>
        <v>0</v>
      </c>
      <c r="AR70" s="13">
        <f>$I$15*$AR$15</f>
        <v>0</v>
      </c>
      <c r="AS70" s="13">
        <f>$I$15*$AS$15</f>
        <v>0</v>
      </c>
      <c r="AT70" s="13">
        <f>$I$15*$AT$15</f>
        <v>0</v>
      </c>
      <c r="AU70" s="13">
        <f>$I$15*$AU$15</f>
        <v>0</v>
      </c>
      <c r="AV70" s="13">
        <f>$I$15*$AV$15</f>
        <v>0</v>
      </c>
      <c r="AW70" s="13">
        <f>$I$15*$AW$15</f>
        <v>0</v>
      </c>
      <c r="AX70" s="13">
        <f>$I$15*$AX$15</f>
        <v>0</v>
      </c>
      <c r="AY70" s="13">
        <f>$I$15*$AY$15</f>
        <v>0</v>
      </c>
      <c r="AZ70" s="13">
        <f>$I$15*$AZ$15</f>
        <v>0</v>
      </c>
      <c r="BA70" s="13">
        <f>$I$15*$BA$15</f>
        <v>445590.6143391169</v>
      </c>
      <c r="BB70" s="13">
        <f>$I$15*$BB$15</f>
        <v>0</v>
      </c>
      <c r="BC70" s="13">
        <f>$I$15*$BC$15</f>
        <v>0</v>
      </c>
      <c r="BD70" s="13">
        <f>$I$15*$BD$15</f>
        <v>0</v>
      </c>
    </row>
    <row r="71" spans="1:56" ht="11.25" customHeight="1" x14ac:dyDescent="0.25">
      <c r="A71" s="9" t="s">
        <v>35</v>
      </c>
      <c r="B71" s="9" t="s">
        <v>794</v>
      </c>
      <c r="C71" s="9" t="s">
        <v>795</v>
      </c>
      <c r="D71" s="9" t="s">
        <v>796</v>
      </c>
      <c r="E71" s="9" t="s">
        <v>802</v>
      </c>
      <c r="F71" s="9" t="s">
        <v>803</v>
      </c>
      <c r="G71" s="9" t="s">
        <v>804</v>
      </c>
      <c r="L71" s="13">
        <f>$I$16*$L$16</f>
        <v>0</v>
      </c>
      <c r="M71" s="13">
        <f>$I$16*$M$16</f>
        <v>0.97836966084133181</v>
      </c>
      <c r="N71" s="13">
        <f ca="1">$I$16*$N$16</f>
        <v>0</v>
      </c>
      <c r="O71" s="13">
        <f>$I$16*$O$16</f>
        <v>0</v>
      </c>
      <c r="P71" s="13">
        <f>$I$16*$P$16</f>
        <v>0</v>
      </c>
      <c r="Q71" s="13">
        <f>$I$16*$Q$16</f>
        <v>0</v>
      </c>
      <c r="R71" s="13">
        <f>$I$16*$R$16</f>
        <v>0</v>
      </c>
      <c r="S71" s="13">
        <f>$I$16*$S$16</f>
        <v>0</v>
      </c>
      <c r="T71" s="13">
        <f>$I$16*$T$16</f>
        <v>0</v>
      </c>
      <c r="U71" s="13">
        <f>$I$16*$U$16</f>
        <v>0</v>
      </c>
      <c r="V71" s="13">
        <f>$I$16*$V$16</f>
        <v>0</v>
      </c>
      <c r="W71" s="13">
        <f>$I$16*$W$16</f>
        <v>0</v>
      </c>
      <c r="X71" s="13">
        <f>$I$16*$X$16</f>
        <v>552.30969163162615</v>
      </c>
      <c r="Y71" s="13">
        <f>$I$16*$Y$16</f>
        <v>0</v>
      </c>
      <c r="Z71" s="13">
        <f>$I$16*$Z$16</f>
        <v>0</v>
      </c>
      <c r="AA71" s="13">
        <f>$I$16*$AA$16</f>
        <v>1091.3944149696567</v>
      </c>
      <c r="AB71" s="13">
        <f ca="1">$I$16*$AB$16</f>
        <v>0</v>
      </c>
      <c r="AC71" s="13">
        <f ca="1">$I$16*$AC$16</f>
        <v>0</v>
      </c>
      <c r="AD71" s="13">
        <f>$I$16*$AD$16</f>
        <v>8.9647448904654929</v>
      </c>
      <c r="AE71" s="13">
        <f>$I$16*$AE$16</f>
        <v>0.24605327143021941</v>
      </c>
      <c r="AF71" s="13">
        <f ca="1">$I$16*$AF$16</f>
        <v>0</v>
      </c>
      <c r="AG71" s="13">
        <f ca="1">$I$16*$AG$16</f>
        <v>0</v>
      </c>
      <c r="AI71" s="13">
        <f>$I$16*$AI$16</f>
        <v>0</v>
      </c>
      <c r="AJ71" s="13">
        <f>$I$16*$AJ$16</f>
        <v>0.7847831633077289</v>
      </c>
      <c r="AK71" s="13">
        <f>$I$16*$AK$16</f>
        <v>0</v>
      </c>
      <c r="AL71" s="13">
        <f>$I$16*$AL$16</f>
        <v>0</v>
      </c>
      <c r="AM71" s="13">
        <f>$I$16*$AM$16</f>
        <v>0</v>
      </c>
      <c r="AN71" s="13">
        <f>$I$16*$AN$16</f>
        <v>0</v>
      </c>
      <c r="AO71" s="13">
        <f>$I$16*$AO$16</f>
        <v>0</v>
      </c>
      <c r="AP71" s="13">
        <f>$I$16*$AP$16</f>
        <v>0</v>
      </c>
      <c r="AQ71" s="13">
        <f>$I$16*$AQ$16</f>
        <v>0</v>
      </c>
      <c r="AR71" s="13">
        <f>$I$16*$AR$16</f>
        <v>0</v>
      </c>
      <c r="AS71" s="13">
        <f>$I$16*$AS$16</f>
        <v>0</v>
      </c>
      <c r="AT71" s="13">
        <f>$I$16*$AT$16</f>
        <v>0</v>
      </c>
      <c r="AU71" s="13">
        <f>$I$16*$AU$16</f>
        <v>480.20745905803233</v>
      </c>
      <c r="AV71" s="13">
        <f>$I$16*$AV$16</f>
        <v>0</v>
      </c>
      <c r="AW71" s="13">
        <f>$I$16*$AW$16</f>
        <v>0</v>
      </c>
      <c r="AX71" s="13">
        <f>$I$16*$AX$16</f>
        <v>918.10144961815263</v>
      </c>
      <c r="AY71" s="13">
        <f>$I$16*$AY$16</f>
        <v>0</v>
      </c>
      <c r="AZ71" s="13">
        <f>$I$16*$AZ$16</f>
        <v>0</v>
      </c>
      <c r="BA71" s="13">
        <f>$I$16*$BA$16</f>
        <v>10.856813342790241</v>
      </c>
      <c r="BB71" s="13">
        <f>$I$16*$BB$16</f>
        <v>0</v>
      </c>
      <c r="BC71" s="13">
        <f>$I$16*$BC$16</f>
        <v>0</v>
      </c>
      <c r="BD71" s="13">
        <f>$I$16*$BD$16</f>
        <v>0</v>
      </c>
    </row>
    <row r="72" spans="1:56" ht="11.25" customHeight="1" x14ac:dyDescent="0.25">
      <c r="A72" s="9" t="s">
        <v>35</v>
      </c>
      <c r="B72" s="9" t="s">
        <v>794</v>
      </c>
      <c r="C72" s="9" t="s">
        <v>795</v>
      </c>
      <c r="D72" s="9" t="s">
        <v>796</v>
      </c>
      <c r="E72" s="9" t="s">
        <v>802</v>
      </c>
      <c r="F72" s="9" t="s">
        <v>803</v>
      </c>
      <c r="G72" s="9" t="s">
        <v>805</v>
      </c>
      <c r="L72" s="13">
        <f>$I$17*$L$17</f>
        <v>0</v>
      </c>
      <c r="M72" s="13">
        <f>$I$17*$M$17</f>
        <v>61.921698418132202</v>
      </c>
      <c r="N72" s="13">
        <f ca="1">$I$17*$N$17</f>
        <v>0</v>
      </c>
      <c r="O72" s="13">
        <f>$I$17*$O$17</f>
        <v>0</v>
      </c>
      <c r="P72" s="13">
        <f>$I$17*$P$17</f>
        <v>0</v>
      </c>
      <c r="Q72" s="13">
        <f>$I$17*$Q$17</f>
        <v>0</v>
      </c>
      <c r="R72" s="13">
        <f>$I$17*$R$17</f>
        <v>0</v>
      </c>
      <c r="S72" s="13">
        <f>$I$17*$S$17</f>
        <v>0</v>
      </c>
      <c r="T72" s="13">
        <f>$I$17*$T$17</f>
        <v>0</v>
      </c>
      <c r="U72" s="13">
        <f>$I$17*$U$17</f>
        <v>0</v>
      </c>
      <c r="V72" s="13">
        <f>$I$17*$V$17</f>
        <v>0</v>
      </c>
      <c r="W72" s="13">
        <f>$I$17*$W$17</f>
        <v>0</v>
      </c>
      <c r="X72" s="13">
        <f>$I$17*$X$17</f>
        <v>0</v>
      </c>
      <c r="Y72" s="13">
        <f>$I$17*$Y$17</f>
        <v>0</v>
      </c>
      <c r="Z72" s="13">
        <f>$I$17*$Z$17</f>
        <v>0</v>
      </c>
      <c r="AA72" s="13">
        <f>$I$17*$AA$17</f>
        <v>0</v>
      </c>
      <c r="AB72" s="13">
        <f ca="1">$I$17*$AB$17</f>
        <v>0</v>
      </c>
      <c r="AC72" s="13">
        <f ca="1">$I$17*$AC$17</f>
        <v>0</v>
      </c>
      <c r="AD72" s="13">
        <f>$I$17*$AD$17</f>
        <v>567.38495859074044</v>
      </c>
      <c r="AE72" s="13">
        <f>$I$17*$AE$17</f>
        <v>15.572883213891677</v>
      </c>
      <c r="AF72" s="13">
        <f ca="1">$I$17*$AF$17</f>
        <v>0</v>
      </c>
      <c r="AG72" s="13">
        <f ca="1">$I$17*$AG$17</f>
        <v>0</v>
      </c>
      <c r="AI72" s="13">
        <f>$I$17*$AI$17</f>
        <v>0</v>
      </c>
      <c r="AJ72" s="13">
        <f>$I$17*$AJ$17</f>
        <v>49.669473928883349</v>
      </c>
      <c r="AK72" s="13">
        <f>$I$17*$AK$17</f>
        <v>0</v>
      </c>
      <c r="AL72" s="13">
        <f>$I$17*$AL$17</f>
        <v>0</v>
      </c>
      <c r="AM72" s="13">
        <f>$I$17*$AM$17</f>
        <v>0</v>
      </c>
      <c r="AN72" s="13">
        <f>$I$17*$AN$17</f>
        <v>0</v>
      </c>
      <c r="AO72" s="13">
        <f>$I$17*$AO$17</f>
        <v>0</v>
      </c>
      <c r="AP72" s="13">
        <f>$I$17*$AP$17</f>
        <v>0</v>
      </c>
      <c r="AQ72" s="13">
        <f>$I$17*$AQ$17</f>
        <v>0</v>
      </c>
      <c r="AR72" s="13">
        <f>$I$17*$AR$17</f>
        <v>0</v>
      </c>
      <c r="AS72" s="13">
        <f>$I$17*$AS$17</f>
        <v>0</v>
      </c>
      <c r="AT72" s="13">
        <f>$I$17*$AT$17</f>
        <v>0</v>
      </c>
      <c r="AU72" s="13">
        <f>$I$17*$AU$17</f>
        <v>0</v>
      </c>
      <c r="AV72" s="13">
        <f>$I$17*$AV$17</f>
        <v>0</v>
      </c>
      <c r="AW72" s="13">
        <f>$I$17*$AW$17</f>
        <v>0</v>
      </c>
      <c r="AX72" s="13">
        <f>$I$17*$AX$17</f>
        <v>0</v>
      </c>
      <c r="AY72" s="13">
        <f>$I$17*$AY$17</f>
        <v>0</v>
      </c>
      <c r="AZ72" s="13">
        <f>$I$17*$AZ$17</f>
        <v>0</v>
      </c>
      <c r="BA72" s="13">
        <f>$I$17*$BA$17</f>
        <v>687.13529098613117</v>
      </c>
      <c r="BB72" s="13">
        <f>$I$17*$BB$17</f>
        <v>0</v>
      </c>
      <c r="BC72" s="13">
        <f>$I$17*$BC$17</f>
        <v>0</v>
      </c>
      <c r="BD72" s="13">
        <f>$I$17*$BD$17</f>
        <v>0</v>
      </c>
    </row>
    <row r="73" spans="1:56" ht="11.25" customHeight="1" x14ac:dyDescent="0.25">
      <c r="A73" s="9" t="s">
        <v>92</v>
      </c>
      <c r="B73" s="9" t="s">
        <v>806</v>
      </c>
      <c r="C73" s="9" t="s">
        <v>807</v>
      </c>
      <c r="D73" s="9" t="s">
        <v>808</v>
      </c>
      <c r="E73" s="9" t="s">
        <v>809</v>
      </c>
      <c r="F73" s="9" t="s">
        <v>810</v>
      </c>
      <c r="G73" s="9" t="s">
        <v>811</v>
      </c>
      <c r="L73" s="13">
        <f>$I$18*$L$18</f>
        <v>0</v>
      </c>
      <c r="M73" s="13">
        <f>$I$18*$M$18</f>
        <v>1.1171077848611988E-10</v>
      </c>
      <c r="N73" s="13">
        <f ca="1">$I$18*$N$18</f>
        <v>0</v>
      </c>
      <c r="O73" s="13">
        <f>$I$18*$O$18</f>
        <v>0</v>
      </c>
      <c r="P73" s="13">
        <f>$I$18*$P$18</f>
        <v>0</v>
      </c>
      <c r="Q73" s="13">
        <f>$I$18*$Q$18</f>
        <v>0</v>
      </c>
      <c r="R73" s="13">
        <f>$I$18*$R$18</f>
        <v>0</v>
      </c>
      <c r="S73" s="13">
        <f>$I$18*$S$18</f>
        <v>0</v>
      </c>
      <c r="T73" s="13">
        <f>$I$18*$T$18</f>
        <v>0</v>
      </c>
      <c r="U73" s="13">
        <f>$I$18*$U$18</f>
        <v>0</v>
      </c>
      <c r="V73" s="13">
        <f>$I$18*$V$18</f>
        <v>0</v>
      </c>
      <c r="W73" s="13">
        <f>$I$18*$W$18</f>
        <v>0</v>
      </c>
      <c r="X73" s="13">
        <f>$I$18*$X$18</f>
        <v>0</v>
      </c>
      <c r="Y73" s="13">
        <f>$I$18*$Y$18</f>
        <v>0</v>
      </c>
      <c r="Z73" s="13">
        <f>$I$18*$Z$18</f>
        <v>0</v>
      </c>
      <c r="AA73" s="13">
        <f>$I$18*$AA$18</f>
        <v>5.7340062153901833E-8</v>
      </c>
      <c r="AB73" s="13">
        <f ca="1">$I$18*$AB$18</f>
        <v>0</v>
      </c>
      <c r="AC73" s="13">
        <f ca="1">$I$18*$AC$18</f>
        <v>0</v>
      </c>
      <c r="AD73" s="13">
        <f>$I$18*$AD$18</f>
        <v>0</v>
      </c>
      <c r="AE73" s="13">
        <f>$I$18*$AE$18</f>
        <v>0</v>
      </c>
      <c r="AF73" s="13">
        <f ca="1">$I$18*$AF$18</f>
        <v>0</v>
      </c>
      <c r="AG73" s="13">
        <f ca="1">$I$18*$AG$18</f>
        <v>0</v>
      </c>
      <c r="AI73" s="13">
        <f>$I$18*$AI$18</f>
        <v>0</v>
      </c>
      <c r="AJ73" s="13">
        <f>$I$18*$AJ$18</f>
        <v>1.0090282242697901E-10</v>
      </c>
      <c r="AK73" s="13">
        <f>$I$18*$AK$18</f>
        <v>0</v>
      </c>
      <c r="AL73" s="13">
        <f>$I$18*$AL$18</f>
        <v>0</v>
      </c>
      <c r="AM73" s="13">
        <f>$I$18*$AM$18</f>
        <v>0</v>
      </c>
      <c r="AN73" s="13">
        <f>$I$18*$AN$18</f>
        <v>0</v>
      </c>
      <c r="AO73" s="13">
        <f>$I$18*$AO$18</f>
        <v>0</v>
      </c>
      <c r="AP73" s="13">
        <f>$I$18*$AP$18</f>
        <v>0</v>
      </c>
      <c r="AQ73" s="13">
        <f>$I$18*$AQ$18</f>
        <v>0</v>
      </c>
      <c r="AR73" s="13">
        <f>$I$18*$AR$18</f>
        <v>0</v>
      </c>
      <c r="AS73" s="13">
        <f>$I$18*$AS$18</f>
        <v>0</v>
      </c>
      <c r="AT73" s="13">
        <f>$I$18*$AT$18</f>
        <v>0</v>
      </c>
      <c r="AU73" s="13">
        <f>$I$18*$AU$18</f>
        <v>0</v>
      </c>
      <c r="AV73" s="13">
        <f>$I$18*$AV$18</f>
        <v>0</v>
      </c>
      <c r="AW73" s="13">
        <f>$I$18*$AW$18</f>
        <v>0</v>
      </c>
      <c r="AX73" s="13">
        <f>$I$18*$AX$18</f>
        <v>4.8235406963428203E-8</v>
      </c>
      <c r="AY73" s="13">
        <f>$I$18*$AY$18</f>
        <v>0</v>
      </c>
      <c r="AZ73" s="13">
        <f>$I$18*$AZ$18</f>
        <v>0</v>
      </c>
      <c r="BA73" s="13">
        <f>$I$18*$BA$18</f>
        <v>0</v>
      </c>
      <c r="BB73" s="13">
        <f>$I$18*$BB$18</f>
        <v>0</v>
      </c>
      <c r="BC73" s="13">
        <f>$I$18*$BC$18</f>
        <v>0</v>
      </c>
      <c r="BD73" s="13">
        <f>$I$18*$BD$18</f>
        <v>0</v>
      </c>
    </row>
    <row r="74" spans="1:56" ht="11.25" customHeight="1" x14ac:dyDescent="0.25">
      <c r="A74" s="9" t="s">
        <v>92</v>
      </c>
      <c r="B74" s="9" t="s">
        <v>806</v>
      </c>
      <c r="C74" s="9" t="s">
        <v>807</v>
      </c>
      <c r="D74" s="9" t="s">
        <v>808</v>
      </c>
      <c r="E74" s="9" t="s">
        <v>812</v>
      </c>
      <c r="F74" s="9" t="s">
        <v>813</v>
      </c>
      <c r="G74" s="9" t="s">
        <v>814</v>
      </c>
      <c r="L74" s="13">
        <f>$I$19*$L$19</f>
        <v>0</v>
      </c>
      <c r="M74" s="13">
        <f>$I$19*$M$19</f>
        <v>1.1171077848611988E-10</v>
      </c>
      <c r="N74" s="13">
        <f ca="1">$I$19*$N$19</f>
        <v>0</v>
      </c>
      <c r="O74" s="13">
        <f>$I$19*$O$19</f>
        <v>0</v>
      </c>
      <c r="P74" s="13">
        <f>$I$19*$P$19</f>
        <v>0</v>
      </c>
      <c r="Q74" s="13">
        <f>$I$19*$Q$19</f>
        <v>0</v>
      </c>
      <c r="R74" s="13">
        <f>$I$19*$R$19</f>
        <v>0</v>
      </c>
      <c r="S74" s="13">
        <f>$I$19*$S$19</f>
        <v>0</v>
      </c>
      <c r="T74" s="13">
        <f>$I$19*$T$19</f>
        <v>0</v>
      </c>
      <c r="U74" s="13">
        <f>$I$19*$U$19</f>
        <v>0</v>
      </c>
      <c r="V74" s="13">
        <f>$I$19*$V$19</f>
        <v>0</v>
      </c>
      <c r="W74" s="13">
        <f>$I$19*$W$19</f>
        <v>0</v>
      </c>
      <c r="X74" s="13">
        <f>$I$19*$X$19</f>
        <v>0</v>
      </c>
      <c r="Y74" s="13">
        <f>$I$19*$Y$19</f>
        <v>0</v>
      </c>
      <c r="Z74" s="13">
        <f>$I$19*$Z$19</f>
        <v>0</v>
      </c>
      <c r="AA74" s="13">
        <f>$I$19*$AA$19</f>
        <v>1.16659734186313E-7</v>
      </c>
      <c r="AB74" s="13">
        <f ca="1">$I$19*$AB$19</f>
        <v>0</v>
      </c>
      <c r="AC74" s="13">
        <f ca="1">$I$19*$AC$19</f>
        <v>0</v>
      </c>
      <c r="AD74" s="13">
        <f>$I$19*$AD$19</f>
        <v>0</v>
      </c>
      <c r="AE74" s="13">
        <f>$I$19*$AE$19</f>
        <v>0</v>
      </c>
      <c r="AF74" s="13">
        <f ca="1">$I$19*$AF$19</f>
        <v>0</v>
      </c>
      <c r="AG74" s="13">
        <f ca="1">$I$19*$AG$19</f>
        <v>0</v>
      </c>
      <c r="AI74" s="13">
        <f>$I$19*$AI$19</f>
        <v>0</v>
      </c>
      <c r="AJ74" s="13">
        <f>$I$19*$AJ$19</f>
        <v>1.0090282242697901E-10</v>
      </c>
      <c r="AK74" s="13">
        <f>$I$19*$AK$19</f>
        <v>0</v>
      </c>
      <c r="AL74" s="13">
        <f>$I$19*$AL$19</f>
        <v>0</v>
      </c>
      <c r="AM74" s="13">
        <f>$I$19*$AM$19</f>
        <v>0</v>
      </c>
      <c r="AN74" s="13">
        <f>$I$19*$AN$19</f>
        <v>0</v>
      </c>
      <c r="AO74" s="13">
        <f>$I$19*$AO$19</f>
        <v>0</v>
      </c>
      <c r="AP74" s="13">
        <f>$I$19*$AP$19</f>
        <v>0</v>
      </c>
      <c r="AQ74" s="13">
        <f>$I$19*$AQ$19</f>
        <v>0</v>
      </c>
      <c r="AR74" s="13">
        <f>$I$19*$AR$19</f>
        <v>0</v>
      </c>
      <c r="AS74" s="13">
        <f>$I$19*$AS$19</f>
        <v>0</v>
      </c>
      <c r="AT74" s="13">
        <f>$I$19*$AT$19</f>
        <v>0</v>
      </c>
      <c r="AU74" s="13">
        <f>$I$19*$AU$19</f>
        <v>0</v>
      </c>
      <c r="AV74" s="13">
        <f>$I$19*$AV$19</f>
        <v>0</v>
      </c>
      <c r="AW74" s="13">
        <f>$I$19*$AW$19</f>
        <v>0</v>
      </c>
      <c r="AX74" s="13">
        <f>$I$19*$AX$19</f>
        <v>9.813652404169719E-8</v>
      </c>
      <c r="AY74" s="13">
        <f>$I$19*$AY$19</f>
        <v>0</v>
      </c>
      <c r="AZ74" s="13">
        <f>$I$19*$AZ$19</f>
        <v>0</v>
      </c>
      <c r="BA74" s="13">
        <f>$I$19*$BA$19</f>
        <v>0</v>
      </c>
      <c r="BB74" s="13">
        <f>$I$19*$BB$19</f>
        <v>0</v>
      </c>
      <c r="BC74" s="13">
        <f>$I$19*$BC$19</f>
        <v>0</v>
      </c>
      <c r="BD74" s="13">
        <f>$I$19*$BD$19</f>
        <v>0</v>
      </c>
    </row>
    <row r="75" spans="1:56" ht="11.25" customHeight="1" x14ac:dyDescent="0.25">
      <c r="A75" s="9" t="s">
        <v>22</v>
      </c>
      <c r="B75" s="9" t="s">
        <v>815</v>
      </c>
      <c r="C75" s="9" t="s">
        <v>816</v>
      </c>
      <c r="D75" s="9" t="s">
        <v>817</v>
      </c>
      <c r="E75" s="9" t="s">
        <v>818</v>
      </c>
      <c r="F75" s="9" t="s">
        <v>819</v>
      </c>
      <c r="G75" s="9" t="s">
        <v>820</v>
      </c>
      <c r="L75" s="13">
        <f>$I$20*$L$20</f>
        <v>0</v>
      </c>
      <c r="M75" s="13">
        <f>$I$20*$M$20</f>
        <v>0</v>
      </c>
      <c r="N75" s="13">
        <f ca="1">$I$20*$N$20</f>
        <v>0</v>
      </c>
      <c r="O75" s="13">
        <f>$I$20*$O$20</f>
        <v>0</v>
      </c>
      <c r="P75" s="13">
        <f>$I$20*$P$20</f>
        <v>0</v>
      </c>
      <c r="Q75" s="13">
        <f>$I$20*$Q$20</f>
        <v>0</v>
      </c>
      <c r="R75" s="13">
        <f>$I$20*$R$20</f>
        <v>0</v>
      </c>
      <c r="S75" s="13">
        <f>$I$20*$S$20</f>
        <v>0</v>
      </c>
      <c r="T75" s="13">
        <f>$I$20*$T$20</f>
        <v>0</v>
      </c>
      <c r="U75" s="13">
        <f>$I$20*$U$20</f>
        <v>0</v>
      </c>
      <c r="V75" s="13">
        <f>$I$20*$V$20</f>
        <v>0</v>
      </c>
      <c r="W75" s="13">
        <f>$I$20*$W$20</f>
        <v>0</v>
      </c>
      <c r="X75" s="13">
        <f>$I$20*$X$20</f>
        <v>0</v>
      </c>
      <c r="Y75" s="13">
        <f>$I$20*$Y$20</f>
        <v>0</v>
      </c>
      <c r="Z75" s="13">
        <f>$I$20*$Z$20</f>
        <v>0</v>
      </c>
      <c r="AA75" s="13">
        <f>$I$20*$AA$20</f>
        <v>0</v>
      </c>
      <c r="AB75" s="13">
        <f ca="1">$I$20*$AB$20</f>
        <v>0</v>
      </c>
      <c r="AC75" s="13">
        <f ca="1">$I$20*$AC$20</f>
        <v>0</v>
      </c>
      <c r="AD75" s="13">
        <f>$I$20*$AD$20</f>
        <v>0</v>
      </c>
      <c r="AE75" s="13">
        <f>$I$20*$AE$20</f>
        <v>0</v>
      </c>
      <c r="AF75" s="13">
        <f ca="1">$I$20*$AF$20</f>
        <v>0</v>
      </c>
      <c r="AG75" s="13">
        <f ca="1">$I$20*$AG$20</f>
        <v>0</v>
      </c>
      <c r="AI75" s="13">
        <f>$I$20*$AI$20</f>
        <v>0</v>
      </c>
      <c r="AJ75" s="13">
        <f>$I$20*$AJ$20</f>
        <v>0</v>
      </c>
      <c r="AK75" s="13">
        <f>$I$20*$AK$20</f>
        <v>0</v>
      </c>
      <c r="AL75" s="13">
        <f>$I$20*$AL$20</f>
        <v>0</v>
      </c>
      <c r="AM75" s="13">
        <f>$I$20*$AM$20</f>
        <v>0</v>
      </c>
      <c r="AN75" s="13">
        <f>$I$20*$AN$20</f>
        <v>0</v>
      </c>
      <c r="AO75" s="13">
        <f>$I$20*$AO$20</f>
        <v>0</v>
      </c>
      <c r="AP75" s="13">
        <f>$I$20*$AP$20</f>
        <v>0</v>
      </c>
      <c r="AQ75" s="13">
        <f>$I$20*$AQ$20</f>
        <v>0</v>
      </c>
      <c r="AR75" s="13">
        <f>$I$20*$AR$20</f>
        <v>0</v>
      </c>
      <c r="AS75" s="13">
        <f>$I$20*$AS$20</f>
        <v>0</v>
      </c>
      <c r="AT75" s="13">
        <f>$I$20*$AT$20</f>
        <v>0</v>
      </c>
      <c r="AU75" s="13">
        <f>$I$20*$AU$20</f>
        <v>0</v>
      </c>
      <c r="AV75" s="13">
        <f>$I$20*$AV$20</f>
        <v>0</v>
      </c>
      <c r="AW75" s="13">
        <f>$I$20*$AW$20</f>
        <v>0</v>
      </c>
      <c r="AX75" s="13">
        <f>$I$20*$AX$20</f>
        <v>0</v>
      </c>
      <c r="AY75" s="13">
        <f>$I$20*$AY$20</f>
        <v>0</v>
      </c>
      <c r="AZ75" s="13">
        <f>$I$20*$AZ$20</f>
        <v>0</v>
      </c>
      <c r="BA75" s="13">
        <f>$I$20*$BA$20</f>
        <v>0</v>
      </c>
      <c r="BB75" s="13">
        <f>$I$20*$BB$20</f>
        <v>0</v>
      </c>
      <c r="BC75" s="13">
        <f>$I$20*$BC$20</f>
        <v>0</v>
      </c>
      <c r="BD75" s="13">
        <f>$I$20*$BD$20</f>
        <v>0</v>
      </c>
    </row>
    <row r="76" spans="1:56" ht="11.25" customHeight="1" x14ac:dyDescent="0.25">
      <c r="A76" s="9" t="s">
        <v>22</v>
      </c>
      <c r="B76" s="9" t="s">
        <v>815</v>
      </c>
      <c r="C76" s="9" t="s">
        <v>816</v>
      </c>
      <c r="D76" s="9" t="s">
        <v>817</v>
      </c>
      <c r="E76" s="9" t="s">
        <v>818</v>
      </c>
      <c r="F76" s="9" t="s">
        <v>819</v>
      </c>
      <c r="G76" s="9" t="s">
        <v>821</v>
      </c>
      <c r="L76" s="13">
        <f>$I$21*$L$21</f>
        <v>0</v>
      </c>
      <c r="M76" s="13">
        <f>$I$21*$M$21</f>
        <v>0</v>
      </c>
      <c r="N76" s="13">
        <f ca="1">$I$21*$N$21</f>
        <v>0</v>
      </c>
      <c r="O76" s="13">
        <f>$I$21*$O$21</f>
        <v>0</v>
      </c>
      <c r="P76" s="13">
        <f>$I$21*$P$21</f>
        <v>0</v>
      </c>
      <c r="Q76" s="13">
        <f>$I$21*$Q$21</f>
        <v>0</v>
      </c>
      <c r="R76" s="13">
        <f>$I$21*$R$21</f>
        <v>0</v>
      </c>
      <c r="S76" s="13">
        <f>$I$21*$S$21</f>
        <v>0</v>
      </c>
      <c r="T76" s="13">
        <f>$I$21*$T$21</f>
        <v>0</v>
      </c>
      <c r="U76" s="13">
        <f>$I$21*$U$21</f>
        <v>0</v>
      </c>
      <c r="V76" s="13">
        <f>$I$21*$V$21</f>
        <v>0</v>
      </c>
      <c r="W76" s="13">
        <f>$I$21*$W$21</f>
        <v>0</v>
      </c>
      <c r="X76" s="13">
        <f>$I$21*$X$21</f>
        <v>0</v>
      </c>
      <c r="Y76" s="13">
        <f>$I$21*$Y$21</f>
        <v>0</v>
      </c>
      <c r="Z76" s="13">
        <f>$I$21*$Z$21</f>
        <v>0</v>
      </c>
      <c r="AA76" s="13">
        <f>$I$21*$AA$21</f>
        <v>0</v>
      </c>
      <c r="AB76" s="13">
        <f ca="1">$I$21*$AB$21</f>
        <v>0</v>
      </c>
      <c r="AC76" s="13">
        <f ca="1">$I$21*$AC$21</f>
        <v>0</v>
      </c>
      <c r="AD76" s="13">
        <f>$I$21*$AD$21</f>
        <v>0</v>
      </c>
      <c r="AE76" s="13">
        <f>$I$21*$AE$21</f>
        <v>0</v>
      </c>
      <c r="AF76" s="13">
        <f ca="1">$I$21*$AF$21</f>
        <v>0</v>
      </c>
      <c r="AG76" s="13">
        <f ca="1">$I$21*$AG$21</f>
        <v>0</v>
      </c>
      <c r="AI76" s="13">
        <f>$I$21*$AI$21</f>
        <v>0</v>
      </c>
      <c r="AJ76" s="13">
        <f>$I$21*$AJ$21</f>
        <v>0</v>
      </c>
      <c r="AK76" s="13">
        <f>$I$21*$AK$21</f>
        <v>0</v>
      </c>
      <c r="AL76" s="13">
        <f>$I$21*$AL$21</f>
        <v>0</v>
      </c>
      <c r="AM76" s="13">
        <f>$I$21*$AM$21</f>
        <v>0</v>
      </c>
      <c r="AN76" s="13">
        <f>$I$21*$AN$21</f>
        <v>0</v>
      </c>
      <c r="AO76" s="13">
        <f>$I$21*$AO$21</f>
        <v>0</v>
      </c>
      <c r="AP76" s="13">
        <f>$I$21*$AP$21</f>
        <v>0</v>
      </c>
      <c r="AQ76" s="13">
        <f>$I$21*$AQ$21</f>
        <v>0</v>
      </c>
      <c r="AR76" s="13">
        <f>$I$21*$AR$21</f>
        <v>0</v>
      </c>
      <c r="AS76" s="13">
        <f>$I$21*$AS$21</f>
        <v>0</v>
      </c>
      <c r="AT76" s="13">
        <f>$I$21*$AT$21</f>
        <v>0</v>
      </c>
      <c r="AU76" s="13">
        <f>$I$21*$AU$21</f>
        <v>0</v>
      </c>
      <c r="AV76" s="13">
        <f>$I$21*$AV$21</f>
        <v>0</v>
      </c>
      <c r="AW76" s="13">
        <f>$I$21*$AW$21</f>
        <v>0</v>
      </c>
      <c r="AX76" s="13">
        <f>$I$21*$AX$21</f>
        <v>0</v>
      </c>
      <c r="AY76" s="13">
        <f>$I$21*$AY$21</f>
        <v>0</v>
      </c>
      <c r="AZ76" s="13">
        <f>$I$21*$AZ$21</f>
        <v>0</v>
      </c>
      <c r="BA76" s="13">
        <f>$I$21*$BA$21</f>
        <v>0</v>
      </c>
      <c r="BB76" s="13">
        <f>$I$21*$BB$21</f>
        <v>0</v>
      </c>
      <c r="BC76" s="13">
        <f>$I$21*$BC$21</f>
        <v>0</v>
      </c>
      <c r="BD76" s="13">
        <f>$I$21*$BD$21</f>
        <v>0</v>
      </c>
    </row>
    <row r="77" spans="1:56" ht="11.25" customHeight="1" x14ac:dyDescent="0.25">
      <c r="A77" s="9" t="s">
        <v>22</v>
      </c>
      <c r="B77" s="9" t="s">
        <v>815</v>
      </c>
      <c r="C77" s="9" t="s">
        <v>816</v>
      </c>
      <c r="D77" s="9" t="s">
        <v>817</v>
      </c>
      <c r="E77" s="9" t="s">
        <v>818</v>
      </c>
      <c r="F77" s="9" t="s">
        <v>819</v>
      </c>
      <c r="G77" s="9" t="s">
        <v>822</v>
      </c>
      <c r="L77" s="13">
        <f>$I$22*$L$22</f>
        <v>0</v>
      </c>
      <c r="M77" s="13">
        <f>$I$22*$M$22</f>
        <v>0</v>
      </c>
      <c r="N77" s="13">
        <f ca="1">$I$22*$N$22</f>
        <v>0</v>
      </c>
      <c r="O77" s="13">
        <f>$I$22*$O$22</f>
        <v>0</v>
      </c>
      <c r="P77" s="13">
        <f>$I$22*$P$22</f>
        <v>0</v>
      </c>
      <c r="Q77" s="13">
        <f>$I$22*$Q$22</f>
        <v>0</v>
      </c>
      <c r="R77" s="13">
        <f>$I$22*$R$22</f>
        <v>0</v>
      </c>
      <c r="S77" s="13">
        <f>$I$22*$S$22</f>
        <v>0</v>
      </c>
      <c r="T77" s="13">
        <f>$I$22*$T$22</f>
        <v>0</v>
      </c>
      <c r="U77" s="13">
        <f>$I$22*$U$22</f>
        <v>0</v>
      </c>
      <c r="V77" s="13">
        <f>$I$22*$V$22</f>
        <v>0</v>
      </c>
      <c r="W77" s="13">
        <f>$I$22*$W$22</f>
        <v>0</v>
      </c>
      <c r="X77" s="13">
        <f>$I$22*$X$22</f>
        <v>0</v>
      </c>
      <c r="Y77" s="13">
        <f>$I$22*$Y$22</f>
        <v>0</v>
      </c>
      <c r="Z77" s="13">
        <f>$I$22*$Z$22</f>
        <v>0</v>
      </c>
      <c r="AA77" s="13">
        <f>$I$22*$AA$22</f>
        <v>0</v>
      </c>
      <c r="AB77" s="13">
        <f ca="1">$I$22*$AB$22</f>
        <v>0</v>
      </c>
      <c r="AC77" s="13">
        <f ca="1">$I$22*$AC$22</f>
        <v>0</v>
      </c>
      <c r="AD77" s="13">
        <f>$I$22*$AD$22</f>
        <v>0</v>
      </c>
      <c r="AE77" s="13">
        <f>$I$22*$AE$22</f>
        <v>0</v>
      </c>
      <c r="AF77" s="13">
        <f ca="1">$I$22*$AF$22</f>
        <v>0</v>
      </c>
      <c r="AG77" s="13">
        <f ca="1">$I$22*$AG$22</f>
        <v>0</v>
      </c>
      <c r="AI77" s="13">
        <f>$I$22*$AI$22</f>
        <v>0</v>
      </c>
      <c r="AJ77" s="13">
        <f>$I$22*$AJ$22</f>
        <v>0</v>
      </c>
      <c r="AK77" s="13">
        <f>$I$22*$AK$22</f>
        <v>0</v>
      </c>
      <c r="AL77" s="13">
        <f>$I$22*$AL$22</f>
        <v>0</v>
      </c>
      <c r="AM77" s="13">
        <f>$I$22*$AM$22</f>
        <v>0</v>
      </c>
      <c r="AN77" s="13">
        <f>$I$22*$AN$22</f>
        <v>0</v>
      </c>
      <c r="AO77" s="13">
        <f>$I$22*$AO$22</f>
        <v>0</v>
      </c>
      <c r="AP77" s="13">
        <f>$I$22*$AP$22</f>
        <v>0</v>
      </c>
      <c r="AQ77" s="13">
        <f>$I$22*$AQ$22</f>
        <v>0</v>
      </c>
      <c r="AR77" s="13">
        <f>$I$22*$AR$22</f>
        <v>0</v>
      </c>
      <c r="AS77" s="13">
        <f>$I$22*$AS$22</f>
        <v>0</v>
      </c>
      <c r="AT77" s="13">
        <f>$I$22*$AT$22</f>
        <v>0</v>
      </c>
      <c r="AU77" s="13">
        <f>$I$22*$AU$22</f>
        <v>0</v>
      </c>
      <c r="AV77" s="13">
        <f>$I$22*$AV$22</f>
        <v>0</v>
      </c>
      <c r="AW77" s="13">
        <f>$I$22*$AW$22</f>
        <v>0</v>
      </c>
      <c r="AX77" s="13">
        <f>$I$22*$AX$22</f>
        <v>0</v>
      </c>
      <c r="AY77" s="13">
        <f>$I$22*$AY$22</f>
        <v>0</v>
      </c>
      <c r="AZ77" s="13">
        <f>$I$22*$AZ$22</f>
        <v>0</v>
      </c>
      <c r="BA77" s="13">
        <f>$I$22*$BA$22</f>
        <v>0</v>
      </c>
      <c r="BB77" s="13">
        <f>$I$22*$BB$22</f>
        <v>0</v>
      </c>
      <c r="BC77" s="13">
        <f>$I$22*$BC$22</f>
        <v>0</v>
      </c>
      <c r="BD77" s="13">
        <f>$I$22*$BD$22</f>
        <v>0</v>
      </c>
    </row>
    <row r="78" spans="1:56" ht="11.25" customHeight="1" x14ac:dyDescent="0.25">
      <c r="A78" s="9" t="s">
        <v>22</v>
      </c>
      <c r="B78" s="9" t="s">
        <v>823</v>
      </c>
      <c r="C78" s="9" t="s">
        <v>824</v>
      </c>
      <c r="D78" s="9" t="s">
        <v>825</v>
      </c>
      <c r="E78" s="9" t="s">
        <v>826</v>
      </c>
      <c r="F78" s="9" t="s">
        <v>827</v>
      </c>
      <c r="G78" s="9" t="s">
        <v>828</v>
      </c>
      <c r="L78" s="13">
        <f>$I$23*$L$23</f>
        <v>0</v>
      </c>
      <c r="M78" s="13">
        <f>$I$23*$M$23</f>
        <v>38657.10179337579</v>
      </c>
      <c r="N78" s="13">
        <f ca="1">$I$23*$N$23</f>
        <v>0</v>
      </c>
      <c r="O78" s="13">
        <f>$I$23*$O$23</f>
        <v>0</v>
      </c>
      <c r="P78" s="13">
        <f>$I$23*$P$23</f>
        <v>0</v>
      </c>
      <c r="Q78" s="13">
        <f>$I$23*$Q$23</f>
        <v>3133196.0914227702</v>
      </c>
      <c r="R78" s="13">
        <f>$I$23*$R$23</f>
        <v>494412.29973877408</v>
      </c>
      <c r="S78" s="13">
        <f>$I$23*$S$23</f>
        <v>0</v>
      </c>
      <c r="T78" s="13">
        <f>$I$23*$T$23</f>
        <v>0</v>
      </c>
      <c r="U78" s="13">
        <f>$I$23*$U$23</f>
        <v>0</v>
      </c>
      <c r="V78" s="13">
        <f>$I$23*$V$23</f>
        <v>0</v>
      </c>
      <c r="W78" s="13">
        <f>$I$23*$W$23</f>
        <v>0</v>
      </c>
      <c r="X78" s="13">
        <f>$I$23*$X$23</f>
        <v>2438003.924755218</v>
      </c>
      <c r="Y78" s="13">
        <f>$I$23*$Y$23</f>
        <v>0</v>
      </c>
      <c r="Z78" s="13">
        <f>$I$23*$Z$23</f>
        <v>0</v>
      </c>
      <c r="AA78" s="13">
        <f>$I$23*$AA$23</f>
        <v>6151122.4667865364</v>
      </c>
      <c r="AB78" s="13">
        <f ca="1">$I$23*$AB$23</f>
        <v>0</v>
      </c>
      <c r="AC78" s="13">
        <f ca="1">$I$23*$AC$23</f>
        <v>0</v>
      </c>
      <c r="AD78" s="13">
        <f>$I$23*$AD$23</f>
        <v>756225.63989737863</v>
      </c>
      <c r="AE78" s="13">
        <f>$I$23*$AE$23</f>
        <v>20755.949545653977</v>
      </c>
      <c r="AF78" s="13">
        <f ca="1">$I$23*$AF$23</f>
        <v>0</v>
      </c>
      <c r="AG78" s="13">
        <f ca="1">$I$23*$AG$23</f>
        <v>0</v>
      </c>
      <c r="AI78" s="13">
        <f>$I$23*$AI$23</f>
        <v>0</v>
      </c>
      <c r="AJ78" s="13">
        <f>$I$23*$AJ$23</f>
        <v>31366.259622616028</v>
      </c>
      <c r="AK78" s="13">
        <f>$I$23*$AK$23</f>
        <v>0</v>
      </c>
      <c r="AL78" s="13">
        <f>$I$23*$AL$23</f>
        <v>0</v>
      </c>
      <c r="AM78" s="13">
        <f>$I$23*$AM$23</f>
        <v>0</v>
      </c>
      <c r="AN78" s="13">
        <f>$I$23*$AN$23</f>
        <v>1961945.662044022</v>
      </c>
      <c r="AO78" s="13">
        <f>$I$23*$AO$23</f>
        <v>305161.85680418159</v>
      </c>
      <c r="AP78" s="13">
        <f>$I$23*$AP$23</f>
        <v>0</v>
      </c>
      <c r="AQ78" s="13">
        <f>$I$23*$AQ$23</f>
        <v>0</v>
      </c>
      <c r="AR78" s="13">
        <f>$I$23*$AR$23</f>
        <v>0</v>
      </c>
      <c r="AS78" s="13">
        <f>$I$23*$AS$23</f>
        <v>0</v>
      </c>
      <c r="AT78" s="13">
        <f>$I$23*$AT$23</f>
        <v>0</v>
      </c>
      <c r="AU78" s="13">
        <f>$I$23*$AU$23</f>
        <v>2119730.5533361519</v>
      </c>
      <c r="AV78" s="13">
        <f>$I$23*$AV$23</f>
        <v>0</v>
      </c>
      <c r="AW78" s="13">
        <f>$I$23*$AW$23</f>
        <v>0</v>
      </c>
      <c r="AX78" s="13">
        <f>$I$23*$AX$23</f>
        <v>5174439.504235561</v>
      </c>
      <c r="AY78" s="13">
        <f>$I$23*$AY$23</f>
        <v>0</v>
      </c>
      <c r="AZ78" s="13">
        <f>$I$23*$AZ$23</f>
        <v>0</v>
      </c>
      <c r="BA78" s="13">
        <f>$I$23*$BA$23</f>
        <v>915832.42438401992</v>
      </c>
      <c r="BB78" s="13">
        <f>$I$23*$BB$23</f>
        <v>0</v>
      </c>
      <c r="BC78" s="13">
        <f>$I$23*$BC$23</f>
        <v>0</v>
      </c>
      <c r="BD78" s="13">
        <f>$I$23*$BD$23</f>
        <v>0</v>
      </c>
    </row>
    <row r="79" spans="1:56" ht="11.25" customHeight="1" x14ac:dyDescent="0.25">
      <c r="A79" s="9" t="s">
        <v>22</v>
      </c>
      <c r="B79" s="9" t="s">
        <v>823</v>
      </c>
      <c r="C79" s="9" t="s">
        <v>824</v>
      </c>
      <c r="D79" s="9" t="s">
        <v>829</v>
      </c>
      <c r="E79" s="9" t="s">
        <v>830</v>
      </c>
      <c r="F79" s="9" t="s">
        <v>831</v>
      </c>
      <c r="G79" s="9" t="s">
        <v>832</v>
      </c>
      <c r="L79" s="13">
        <f>$I$24*$L$24</f>
        <v>0</v>
      </c>
      <c r="M79" s="13">
        <f>$I$24*$M$24</f>
        <v>70.295923790343394</v>
      </c>
      <c r="N79" s="13">
        <f ca="1">$I$24*$N$24</f>
        <v>0</v>
      </c>
      <c r="O79" s="13">
        <f>$I$24*$O$24</f>
        <v>0</v>
      </c>
      <c r="P79" s="13">
        <f>$I$24*$P$24</f>
        <v>0</v>
      </c>
      <c r="Q79" s="13">
        <f>$I$24*$Q$24</f>
        <v>0</v>
      </c>
      <c r="R79" s="13">
        <f>$I$24*$R$24</f>
        <v>0</v>
      </c>
      <c r="S79" s="13">
        <f>$I$24*$S$24</f>
        <v>0</v>
      </c>
      <c r="T79" s="13">
        <f>$I$24*$T$24</f>
        <v>0</v>
      </c>
      <c r="U79" s="13">
        <f>$I$24*$U$24</f>
        <v>0</v>
      </c>
      <c r="V79" s="13">
        <f>$I$24*$V$24</f>
        <v>0</v>
      </c>
      <c r="W79" s="13">
        <f>$I$24*$W$24</f>
        <v>0</v>
      </c>
      <c r="X79" s="13">
        <f>$I$24*$X$24</f>
        <v>4433.3830045303221</v>
      </c>
      <c r="Y79" s="13">
        <f>$I$24*$Y$24</f>
        <v>0</v>
      </c>
      <c r="Z79" s="13">
        <f>$I$24*$Z$24</f>
        <v>0</v>
      </c>
      <c r="AA79" s="13">
        <f>$I$24*$AA$24</f>
        <v>11185.495448197062</v>
      </c>
      <c r="AB79" s="13">
        <f ca="1">$I$24*$AB$24</f>
        <v>0</v>
      </c>
      <c r="AC79" s="13">
        <f ca="1">$I$24*$AC$24</f>
        <v>0</v>
      </c>
      <c r="AD79" s="13">
        <f>$I$24*$AD$24</f>
        <v>1375.1568918609184</v>
      </c>
      <c r="AE79" s="13">
        <f>$I$24*$AE$24</f>
        <v>37.74361190490297</v>
      </c>
      <c r="AF79" s="13">
        <f ca="1">$I$24*$AF$24</f>
        <v>0</v>
      </c>
      <c r="AG79" s="13">
        <f ca="1">$I$24*$AG$24</f>
        <v>0</v>
      </c>
      <c r="AI79" s="13">
        <f>$I$24*$AI$24</f>
        <v>0</v>
      </c>
      <c r="AJ79" s="13">
        <f>$I$24*$AJ$24</f>
        <v>57.037907492521185</v>
      </c>
      <c r="AK79" s="13">
        <f>$I$24*$AK$24</f>
        <v>0</v>
      </c>
      <c r="AL79" s="13">
        <f>$I$24*$AL$24</f>
        <v>0</v>
      </c>
      <c r="AM79" s="13">
        <f>$I$24*$AM$24</f>
        <v>0</v>
      </c>
      <c r="AN79" s="13">
        <f>$I$24*$AN$24</f>
        <v>0</v>
      </c>
      <c r="AO79" s="13">
        <f>$I$24*$AO$24</f>
        <v>0</v>
      </c>
      <c r="AP79" s="13">
        <f>$I$24*$AP$24</f>
        <v>0</v>
      </c>
      <c r="AQ79" s="13">
        <f>$I$24*$AQ$24</f>
        <v>0</v>
      </c>
      <c r="AR79" s="13">
        <f>$I$24*$AR$24</f>
        <v>0</v>
      </c>
      <c r="AS79" s="13">
        <f>$I$24*$AS$24</f>
        <v>0</v>
      </c>
      <c r="AT79" s="13">
        <f>$I$24*$AT$24</f>
        <v>0</v>
      </c>
      <c r="AU79" s="13">
        <f>$I$24*$AU$24</f>
        <v>3854.6194753512027</v>
      </c>
      <c r="AV79" s="13">
        <f>$I$24*$AV$24</f>
        <v>0</v>
      </c>
      <c r="AW79" s="13">
        <f>$I$24*$AW$24</f>
        <v>0</v>
      </c>
      <c r="AX79" s="13">
        <f>$I$24*$AX$24</f>
        <v>9409.448411101961</v>
      </c>
      <c r="AY79" s="13">
        <f>$I$24*$AY$24</f>
        <v>0</v>
      </c>
      <c r="AZ79" s="13">
        <f>$I$24*$AZ$24</f>
        <v>0</v>
      </c>
      <c r="BA79" s="13">
        <f>$I$24*$BA$24</f>
        <v>1665.3935065627804</v>
      </c>
      <c r="BB79" s="13">
        <f>$I$24*$BB$24</f>
        <v>0</v>
      </c>
      <c r="BC79" s="13">
        <f>$I$24*$BC$24</f>
        <v>0</v>
      </c>
      <c r="BD79" s="13">
        <f>$I$24*$BD$24</f>
        <v>0</v>
      </c>
    </row>
    <row r="80" spans="1:56" ht="11.25" customHeight="1" x14ac:dyDescent="0.25">
      <c r="A80" s="9" t="s">
        <v>22</v>
      </c>
      <c r="B80" s="9" t="s">
        <v>823</v>
      </c>
      <c r="C80" s="9" t="s">
        <v>824</v>
      </c>
      <c r="D80" s="9" t="s">
        <v>833</v>
      </c>
      <c r="E80" s="9" t="s">
        <v>834</v>
      </c>
      <c r="F80" s="9" t="s">
        <v>835</v>
      </c>
      <c r="G80" s="9" t="s">
        <v>836</v>
      </c>
      <c r="L80" s="13">
        <f>$I$25*$L$25</f>
        <v>0</v>
      </c>
      <c r="M80" s="13">
        <f>$I$25*$M$25</f>
        <v>263.58064492486176</v>
      </c>
      <c r="N80" s="13">
        <f ca="1">$I$25*$N$25</f>
        <v>0</v>
      </c>
      <c r="O80" s="13">
        <f>$I$25*$O$25</f>
        <v>0</v>
      </c>
      <c r="P80" s="13">
        <f>$I$25*$P$25</f>
        <v>0</v>
      </c>
      <c r="Q80" s="13">
        <f>$I$25*$Q$25</f>
        <v>0</v>
      </c>
      <c r="R80" s="13">
        <f>$I$25*$R$25</f>
        <v>0</v>
      </c>
      <c r="S80" s="13">
        <f>$I$25*$S$25</f>
        <v>0</v>
      </c>
      <c r="T80" s="13">
        <f>$I$25*$T$25</f>
        <v>0</v>
      </c>
      <c r="U80" s="13">
        <f>$I$25*$U$25</f>
        <v>0</v>
      </c>
      <c r="V80" s="13">
        <f>$I$25*$V$25</f>
        <v>0</v>
      </c>
      <c r="W80" s="13">
        <f>$I$25*$W$25</f>
        <v>0</v>
      </c>
      <c r="X80" s="13">
        <f>$I$25*$X$25</f>
        <v>16623.35294174694</v>
      </c>
      <c r="Y80" s="13">
        <f>$I$25*$Y$25</f>
        <v>0</v>
      </c>
      <c r="Z80" s="13">
        <f>$I$25*$Z$25</f>
        <v>0</v>
      </c>
      <c r="AA80" s="13">
        <f>$I$25*$AA$25</f>
        <v>41940.982422154251</v>
      </c>
      <c r="AB80" s="13">
        <f ca="1">$I$25*$AB$25</f>
        <v>0</v>
      </c>
      <c r="AC80" s="13">
        <f ca="1">$I$25*$AC$25</f>
        <v>0</v>
      </c>
      <c r="AD80" s="13">
        <f>$I$25*$AD$25</f>
        <v>5156.2696794570229</v>
      </c>
      <c r="AE80" s="13">
        <f>$I$25*$AE$25</f>
        <v>141.52293662658496</v>
      </c>
      <c r="AF80" s="13">
        <f ca="1">$I$25*$AF$25</f>
        <v>0</v>
      </c>
      <c r="AG80" s="13">
        <f ca="1">$I$25*$AG$25</f>
        <v>0</v>
      </c>
      <c r="AI80" s="13">
        <f>$I$25*$AI$25</f>
        <v>0</v>
      </c>
      <c r="AJ80" s="13">
        <f>$I$25*$AJ$25</f>
        <v>213.86856636072238</v>
      </c>
      <c r="AK80" s="13">
        <f>$I$25*$AK$25</f>
        <v>0</v>
      </c>
      <c r="AL80" s="13">
        <f>$I$25*$AL$25</f>
        <v>0</v>
      </c>
      <c r="AM80" s="13">
        <f>$I$25*$AM$25</f>
        <v>0</v>
      </c>
      <c r="AN80" s="13">
        <f>$I$25*$AN$25</f>
        <v>0</v>
      </c>
      <c r="AO80" s="13">
        <f>$I$25*$AO$25</f>
        <v>0</v>
      </c>
      <c r="AP80" s="13">
        <f>$I$25*$AP$25</f>
        <v>0</v>
      </c>
      <c r="AQ80" s="13">
        <f>$I$25*$AQ$25</f>
        <v>0</v>
      </c>
      <c r="AR80" s="13">
        <f>$I$25*$AR$25</f>
        <v>0</v>
      </c>
      <c r="AS80" s="13">
        <f>$I$25*$AS$25</f>
        <v>0</v>
      </c>
      <c r="AT80" s="13">
        <f>$I$25*$AT$25</f>
        <v>0</v>
      </c>
      <c r="AU80" s="13">
        <f>$I$25*$AU$25</f>
        <v>14453.229041888953</v>
      </c>
      <c r="AV80" s="13">
        <f>$I$25*$AV$25</f>
        <v>0</v>
      </c>
      <c r="AW80" s="13">
        <f>$I$25*$AW$25</f>
        <v>0</v>
      </c>
      <c r="AX80" s="13">
        <f>$I$25*$AX$25</f>
        <v>35281.54047711895</v>
      </c>
      <c r="AY80" s="13">
        <f>$I$25*$AY$25</f>
        <v>0</v>
      </c>
      <c r="AZ80" s="13">
        <f>$I$25*$AZ$25</f>
        <v>0</v>
      </c>
      <c r="BA80" s="13">
        <f>$I$25*$BA$25</f>
        <v>6244.5369638032553</v>
      </c>
      <c r="BB80" s="13">
        <f>$I$25*$BB$25</f>
        <v>0</v>
      </c>
      <c r="BC80" s="13">
        <f>$I$25*$BC$25</f>
        <v>0</v>
      </c>
      <c r="BD80" s="13">
        <f>$I$25*$BD$25</f>
        <v>0</v>
      </c>
    </row>
    <row r="81" spans="1:56" ht="11.25" customHeight="1" x14ac:dyDescent="0.25">
      <c r="A81" s="9" t="s">
        <v>22</v>
      </c>
      <c r="B81" s="9" t="s">
        <v>823</v>
      </c>
      <c r="C81" s="9" t="s">
        <v>824</v>
      </c>
      <c r="D81" s="9" t="s">
        <v>837</v>
      </c>
      <c r="E81" s="9" t="s">
        <v>838</v>
      </c>
      <c r="F81" s="9" t="s">
        <v>839</v>
      </c>
      <c r="G81" s="9" t="s">
        <v>840</v>
      </c>
      <c r="L81" s="13">
        <f>$I$26*$L$26</f>
        <v>0</v>
      </c>
      <c r="M81" s="13">
        <f>$I$26*$M$26</f>
        <v>481.9494883729638</v>
      </c>
      <c r="N81" s="13">
        <f ca="1">$I$26*$N$26</f>
        <v>0</v>
      </c>
      <c r="O81" s="13">
        <f>$I$26*$O$26</f>
        <v>0</v>
      </c>
      <c r="P81" s="13">
        <f>$I$26*$P$26</f>
        <v>0</v>
      </c>
      <c r="Q81" s="13">
        <f>$I$26*$Q$26</f>
        <v>0</v>
      </c>
      <c r="R81" s="13">
        <f>$I$26*$R$26</f>
        <v>0</v>
      </c>
      <c r="S81" s="13">
        <f>$I$26*$S$26</f>
        <v>0</v>
      </c>
      <c r="T81" s="13">
        <f>$I$26*$T$26</f>
        <v>0</v>
      </c>
      <c r="U81" s="13">
        <f>$I$26*$U$26</f>
        <v>0</v>
      </c>
      <c r="V81" s="13">
        <f>$I$26*$V$26</f>
        <v>0</v>
      </c>
      <c r="W81" s="13">
        <f>$I$26*$W$26</f>
        <v>0</v>
      </c>
      <c r="X81" s="13">
        <f>$I$26*$X$26</f>
        <v>30395.313918447962</v>
      </c>
      <c r="Y81" s="13">
        <f>$I$26*$Y$26</f>
        <v>0</v>
      </c>
      <c r="Z81" s="13">
        <f>$I$26*$Z$26</f>
        <v>0</v>
      </c>
      <c r="AA81" s="13">
        <f>$I$26*$AA$26</f>
        <v>76687.85781284851</v>
      </c>
      <c r="AB81" s="13">
        <f ca="1">$I$26*$AB$26</f>
        <v>0</v>
      </c>
      <c r="AC81" s="13">
        <f ca="1">$I$26*$AC$26</f>
        <v>0</v>
      </c>
      <c r="AD81" s="13">
        <f>$I$26*$AD$26</f>
        <v>9428.0880701075293</v>
      </c>
      <c r="AE81" s="13">
        <f>$I$26*$AE$26</f>
        <v>258.77054409539653</v>
      </c>
      <c r="AF81" s="13">
        <f ca="1">$I$26*$AF$26</f>
        <v>0</v>
      </c>
      <c r="AG81" s="13">
        <f ca="1">$I$26*$AG$26</f>
        <v>0</v>
      </c>
      <c r="AI81" s="13">
        <f>$I$26*$AI$26</f>
        <v>0</v>
      </c>
      <c r="AJ81" s="13">
        <f>$I$26*$AJ$26</f>
        <v>391.05240889744493</v>
      </c>
      <c r="AK81" s="13">
        <f>$I$26*$AK$26</f>
        <v>0</v>
      </c>
      <c r="AL81" s="13">
        <f>$I$26*$AL$26</f>
        <v>0</v>
      </c>
      <c r="AM81" s="13">
        <f>$I$26*$AM$26</f>
        <v>0</v>
      </c>
      <c r="AN81" s="13">
        <f>$I$26*$AN$26</f>
        <v>0</v>
      </c>
      <c r="AO81" s="13">
        <f>$I$26*$AO$26</f>
        <v>0</v>
      </c>
      <c r="AP81" s="13">
        <f>$I$26*$AP$26</f>
        <v>0</v>
      </c>
      <c r="AQ81" s="13">
        <f>$I$26*$AQ$26</f>
        <v>0</v>
      </c>
      <c r="AR81" s="13">
        <f>$I$26*$AR$26</f>
        <v>0</v>
      </c>
      <c r="AS81" s="13">
        <f>$I$26*$AS$26</f>
        <v>0</v>
      </c>
      <c r="AT81" s="13">
        <f>$I$26*$AT$26</f>
        <v>0</v>
      </c>
      <c r="AU81" s="13">
        <f>$I$26*$AU$26</f>
        <v>26427.305935385899</v>
      </c>
      <c r="AV81" s="13">
        <f>$I$26*$AV$26</f>
        <v>0</v>
      </c>
      <c r="AW81" s="13">
        <f>$I$26*$AW$26</f>
        <v>0</v>
      </c>
      <c r="AX81" s="13">
        <f>$I$26*$AX$26</f>
        <v>64511.263286440262</v>
      </c>
      <c r="AY81" s="13">
        <f>$I$26*$AY$26</f>
        <v>0</v>
      </c>
      <c r="AZ81" s="13">
        <f>$I$26*$AZ$26</f>
        <v>0</v>
      </c>
      <c r="BA81" s="13">
        <f>$I$26*$BA$26</f>
        <v>11417.952921728976</v>
      </c>
      <c r="BB81" s="13">
        <f>$I$26*$BB$26</f>
        <v>0</v>
      </c>
      <c r="BC81" s="13">
        <f>$I$26*$BC$26</f>
        <v>0</v>
      </c>
      <c r="BD81" s="13">
        <f>$I$26*$BD$26</f>
        <v>0</v>
      </c>
    </row>
    <row r="82" spans="1:56" ht="11.25" customHeight="1" x14ac:dyDescent="0.25">
      <c r="A82" s="9" t="s">
        <v>22</v>
      </c>
      <c r="B82" s="9" t="s">
        <v>823</v>
      </c>
      <c r="C82" s="9" t="s">
        <v>824</v>
      </c>
      <c r="D82" s="9" t="s">
        <v>841</v>
      </c>
      <c r="E82" s="9" t="s">
        <v>842</v>
      </c>
      <c r="F82" s="9" t="s">
        <v>843</v>
      </c>
      <c r="G82" s="9" t="s">
        <v>844</v>
      </c>
      <c r="L82" s="13">
        <f>$I$27*$L$27</f>
        <v>0</v>
      </c>
      <c r="M82" s="13">
        <f>$I$27*$M$27</f>
        <v>364.75718199844636</v>
      </c>
      <c r="N82" s="13">
        <f ca="1">$I$27*$N$27</f>
        <v>0</v>
      </c>
      <c r="O82" s="13">
        <f>$I$27*$O$27</f>
        <v>0</v>
      </c>
      <c r="P82" s="13">
        <f>$I$27*$P$27</f>
        <v>0</v>
      </c>
      <c r="Q82" s="13">
        <f>$I$27*$Q$27</f>
        <v>0</v>
      </c>
      <c r="R82" s="13">
        <f>$I$27*$R$27</f>
        <v>0</v>
      </c>
      <c r="S82" s="13">
        <f>$I$27*$S$27</f>
        <v>0</v>
      </c>
      <c r="T82" s="13">
        <f>$I$27*$T$27</f>
        <v>0</v>
      </c>
      <c r="U82" s="13">
        <f>$I$27*$U$27</f>
        <v>0</v>
      </c>
      <c r="V82" s="13">
        <f>$I$27*$V$27</f>
        <v>0</v>
      </c>
      <c r="W82" s="13">
        <f>$I$27*$W$27</f>
        <v>0</v>
      </c>
      <c r="X82" s="13">
        <f>$I$27*$X$27</f>
        <v>23004.296753753297</v>
      </c>
      <c r="Y82" s="13">
        <f>$I$27*$Y$27</f>
        <v>0</v>
      </c>
      <c r="Z82" s="13">
        <f>$I$27*$Z$27</f>
        <v>0</v>
      </c>
      <c r="AA82" s="13">
        <f>$I$27*$AA$27</f>
        <v>58040.204594356299</v>
      </c>
      <c r="AB82" s="13">
        <f ca="1">$I$27*$AB$27</f>
        <v>0</v>
      </c>
      <c r="AC82" s="13">
        <f ca="1">$I$27*$AC$27</f>
        <v>0</v>
      </c>
      <c r="AD82" s="13">
        <f>$I$27*$AD$27</f>
        <v>7135.5254420859583</v>
      </c>
      <c r="AE82" s="13">
        <f>$I$27*$AE$27</f>
        <v>195.84710996808377</v>
      </c>
      <c r="AF82" s="13">
        <f ca="1">$I$27*$AF$27</f>
        <v>0</v>
      </c>
      <c r="AG82" s="13">
        <f ca="1">$I$27*$AG$27</f>
        <v>0</v>
      </c>
      <c r="AI82" s="13">
        <f>$I$27*$AI$27</f>
        <v>0</v>
      </c>
      <c r="AJ82" s="13">
        <f>$I$27*$AJ$27</f>
        <v>295.96291338471713</v>
      </c>
      <c r="AK82" s="13">
        <f>$I$27*$AK$27</f>
        <v>0</v>
      </c>
      <c r="AL82" s="13">
        <f>$I$27*$AL$27</f>
        <v>0</v>
      </c>
      <c r="AM82" s="13">
        <f>$I$27*$AM$27</f>
        <v>0</v>
      </c>
      <c r="AN82" s="13">
        <f>$I$27*$AN$27</f>
        <v>0</v>
      </c>
      <c r="AO82" s="13">
        <f>$I$27*$AO$27</f>
        <v>0</v>
      </c>
      <c r="AP82" s="13">
        <f>$I$27*$AP$27</f>
        <v>0</v>
      </c>
      <c r="AQ82" s="13">
        <f>$I$27*$AQ$27</f>
        <v>0</v>
      </c>
      <c r="AR82" s="13">
        <f>$I$27*$AR$27</f>
        <v>0</v>
      </c>
      <c r="AS82" s="13">
        <f>$I$27*$AS$27</f>
        <v>0</v>
      </c>
      <c r="AT82" s="13">
        <f>$I$27*$AT$27</f>
        <v>0</v>
      </c>
      <c r="AU82" s="13">
        <f>$I$27*$AU$27</f>
        <v>20001.161684691891</v>
      </c>
      <c r="AV82" s="13">
        <f>$I$27*$AV$27</f>
        <v>0</v>
      </c>
      <c r="AW82" s="13">
        <f>$I$27*$AW$27</f>
        <v>0</v>
      </c>
      <c r="AX82" s="13">
        <f>$I$27*$AX$27</f>
        <v>48824.507902188998</v>
      </c>
      <c r="AY82" s="13">
        <f>$I$27*$AY$27</f>
        <v>0</v>
      </c>
      <c r="AZ82" s="13">
        <f>$I$27*$AZ$27</f>
        <v>0</v>
      </c>
      <c r="BA82" s="13">
        <f>$I$27*$BA$27</f>
        <v>8641.5286921060269</v>
      </c>
      <c r="BB82" s="13">
        <f>$I$27*$BB$27</f>
        <v>0</v>
      </c>
      <c r="BC82" s="13">
        <f>$I$27*$BC$27</f>
        <v>0</v>
      </c>
      <c r="BD82" s="13">
        <f>$I$27*$BD$27</f>
        <v>0</v>
      </c>
    </row>
    <row r="83" spans="1:56" ht="11.25" customHeight="1" x14ac:dyDescent="0.25">
      <c r="A83" s="9" t="s">
        <v>22</v>
      </c>
      <c r="B83" s="9" t="s">
        <v>845</v>
      </c>
      <c r="C83" s="9" t="s">
        <v>846</v>
      </c>
      <c r="D83" s="9" t="s">
        <v>847</v>
      </c>
      <c r="E83" s="9" t="s">
        <v>848</v>
      </c>
      <c r="F83" s="9" t="s">
        <v>849</v>
      </c>
      <c r="G83" s="9" t="s">
        <v>850</v>
      </c>
      <c r="L83" s="13">
        <f>$I$28*$L$28</f>
        <v>0</v>
      </c>
      <c r="M83" s="13">
        <f>$I$28*$M$28</f>
        <v>0</v>
      </c>
      <c r="N83" s="13">
        <f ca="1">$I$28*$N$28</f>
        <v>0</v>
      </c>
      <c r="O83" s="13">
        <f>$I$28*$O$28</f>
        <v>0</v>
      </c>
      <c r="P83" s="13">
        <f>$I$28*$P$28</f>
        <v>0</v>
      </c>
      <c r="Q83" s="13">
        <f>$I$28*$Q$28</f>
        <v>0</v>
      </c>
      <c r="R83" s="13">
        <f>$I$28*$R$28</f>
        <v>0</v>
      </c>
      <c r="S83" s="13">
        <f>$I$28*$S$28</f>
        <v>0</v>
      </c>
      <c r="T83" s="13">
        <f>$I$28*$T$28</f>
        <v>0</v>
      </c>
      <c r="U83" s="13">
        <f>$I$28*$U$28</f>
        <v>0</v>
      </c>
      <c r="V83" s="13">
        <f>$I$28*$V$28</f>
        <v>0</v>
      </c>
      <c r="W83" s="13">
        <f>$I$28*$W$28</f>
        <v>0</v>
      </c>
      <c r="X83" s="13">
        <f>$I$28*$X$28</f>
        <v>0</v>
      </c>
      <c r="Y83" s="13">
        <f>$I$28*$Y$28</f>
        <v>0</v>
      </c>
      <c r="Z83" s="13">
        <f>$I$28*$Z$28</f>
        <v>0</v>
      </c>
      <c r="AA83" s="13">
        <f>$I$28*$AA$28</f>
        <v>0</v>
      </c>
      <c r="AB83" s="13">
        <f ca="1">$I$28*$AB$28</f>
        <v>0</v>
      </c>
      <c r="AC83" s="13">
        <f ca="1">$I$28*$AC$28</f>
        <v>0</v>
      </c>
      <c r="AD83" s="13">
        <f>$I$28*$AD$28</f>
        <v>0</v>
      </c>
      <c r="AE83" s="13">
        <f>$I$28*$AE$28</f>
        <v>0</v>
      </c>
      <c r="AF83" s="13">
        <f ca="1">$I$28*$AF$28</f>
        <v>0</v>
      </c>
      <c r="AG83" s="13">
        <f ca="1">$I$28*$AG$28</f>
        <v>0</v>
      </c>
      <c r="AI83" s="13">
        <f>$I$28*$AI$28</f>
        <v>0</v>
      </c>
      <c r="AJ83" s="13">
        <f>$I$28*$AJ$28</f>
        <v>0</v>
      </c>
      <c r="AK83" s="13">
        <f>$I$28*$AK$28</f>
        <v>0</v>
      </c>
      <c r="AL83" s="13">
        <f>$I$28*$AL$28</f>
        <v>0</v>
      </c>
      <c r="AM83" s="13">
        <f>$I$28*$AM$28</f>
        <v>0</v>
      </c>
      <c r="AN83" s="13">
        <f>$I$28*$AN$28</f>
        <v>0</v>
      </c>
      <c r="AO83" s="13">
        <f>$I$28*$AO$28</f>
        <v>0</v>
      </c>
      <c r="AP83" s="13">
        <f>$I$28*$AP$28</f>
        <v>0</v>
      </c>
      <c r="AQ83" s="13">
        <f>$I$28*$AQ$28</f>
        <v>0</v>
      </c>
      <c r="AR83" s="13">
        <f>$I$28*$AR$28</f>
        <v>0</v>
      </c>
      <c r="AS83" s="13">
        <f>$I$28*$AS$28</f>
        <v>0</v>
      </c>
      <c r="AT83" s="13">
        <f>$I$28*$AT$28</f>
        <v>0</v>
      </c>
      <c r="AU83" s="13">
        <f>$I$28*$AU$28</f>
        <v>0</v>
      </c>
      <c r="AV83" s="13">
        <f>$I$28*$AV$28</f>
        <v>0</v>
      </c>
      <c r="AW83" s="13">
        <f>$I$28*$AW$28</f>
        <v>0</v>
      </c>
      <c r="AX83" s="13">
        <f>$I$28*$AX$28</f>
        <v>0</v>
      </c>
      <c r="AY83" s="13">
        <f>$I$28*$AY$28</f>
        <v>0</v>
      </c>
      <c r="AZ83" s="13">
        <f>$I$28*$AZ$28</f>
        <v>0</v>
      </c>
      <c r="BA83" s="13">
        <f>$I$28*$BA$28</f>
        <v>0</v>
      </c>
      <c r="BB83" s="13">
        <f>$I$28*$BB$28</f>
        <v>0</v>
      </c>
      <c r="BC83" s="13">
        <f>$I$28*$BC$28</f>
        <v>0</v>
      </c>
      <c r="BD83" s="13">
        <f>$I$28*$BD$28</f>
        <v>0</v>
      </c>
    </row>
    <row r="84" spans="1:56" ht="11.25" customHeight="1" x14ac:dyDescent="0.25">
      <c r="A84" s="9" t="s">
        <v>22</v>
      </c>
      <c r="B84" s="9" t="s">
        <v>845</v>
      </c>
      <c r="C84" s="9" t="s">
        <v>846</v>
      </c>
      <c r="D84" s="9" t="s">
        <v>851</v>
      </c>
      <c r="E84" s="9" t="s">
        <v>852</v>
      </c>
      <c r="F84" s="9" t="s">
        <v>853</v>
      </c>
      <c r="G84" s="9" t="s">
        <v>854</v>
      </c>
      <c r="L84" s="13">
        <f>$I$29*$L$29</f>
        <v>0</v>
      </c>
      <c r="M84" s="13">
        <f>$I$29*$M$29</f>
        <v>0</v>
      </c>
      <c r="N84" s="13">
        <f ca="1">$I$29*$N$29</f>
        <v>0</v>
      </c>
      <c r="O84" s="13">
        <f>$I$29*$O$29</f>
        <v>0</v>
      </c>
      <c r="P84" s="13">
        <f>$I$29*$P$29</f>
        <v>0</v>
      </c>
      <c r="Q84" s="13">
        <f>$I$29*$Q$29</f>
        <v>0</v>
      </c>
      <c r="R84" s="13">
        <f>$I$29*$R$29</f>
        <v>0</v>
      </c>
      <c r="S84" s="13">
        <f>$I$29*$S$29</f>
        <v>0</v>
      </c>
      <c r="T84" s="13">
        <f>$I$29*$T$29</f>
        <v>0</v>
      </c>
      <c r="U84" s="13">
        <f>$I$29*$U$29</f>
        <v>0</v>
      </c>
      <c r="V84" s="13">
        <f>$I$29*$V$29</f>
        <v>0</v>
      </c>
      <c r="W84" s="13">
        <f>$I$29*$W$29</f>
        <v>0</v>
      </c>
      <c r="X84" s="13">
        <f>$I$29*$X$29</f>
        <v>0</v>
      </c>
      <c r="Y84" s="13">
        <f>$I$29*$Y$29</f>
        <v>0</v>
      </c>
      <c r="Z84" s="13">
        <f>$I$29*$Z$29</f>
        <v>0</v>
      </c>
      <c r="AA84" s="13">
        <f>$I$29*$AA$29</f>
        <v>0</v>
      </c>
      <c r="AB84" s="13">
        <f ca="1">$I$29*$AB$29</f>
        <v>0</v>
      </c>
      <c r="AC84" s="13">
        <f ca="1">$I$29*$AC$29</f>
        <v>0</v>
      </c>
      <c r="AD84" s="13">
        <f>$I$29*$AD$29</f>
        <v>0</v>
      </c>
      <c r="AE84" s="13">
        <f>$I$29*$AE$29</f>
        <v>0</v>
      </c>
      <c r="AF84" s="13">
        <f ca="1">$I$29*$AF$29</f>
        <v>0</v>
      </c>
      <c r="AG84" s="13">
        <f ca="1">$I$29*$AG$29</f>
        <v>0</v>
      </c>
      <c r="AI84" s="13">
        <f>$I$29*$AI$29</f>
        <v>0</v>
      </c>
      <c r="AJ84" s="13">
        <f>$I$29*$AJ$29</f>
        <v>0</v>
      </c>
      <c r="AK84" s="13">
        <f>$I$29*$AK$29</f>
        <v>0</v>
      </c>
      <c r="AL84" s="13">
        <f>$I$29*$AL$29</f>
        <v>0</v>
      </c>
      <c r="AM84" s="13">
        <f>$I$29*$AM$29</f>
        <v>0</v>
      </c>
      <c r="AN84" s="13">
        <f>$I$29*$AN$29</f>
        <v>0</v>
      </c>
      <c r="AO84" s="13">
        <f>$I$29*$AO$29</f>
        <v>0</v>
      </c>
      <c r="AP84" s="13">
        <f>$I$29*$AP$29</f>
        <v>0</v>
      </c>
      <c r="AQ84" s="13">
        <f>$I$29*$AQ$29</f>
        <v>0</v>
      </c>
      <c r="AR84" s="13">
        <f>$I$29*$AR$29</f>
        <v>0</v>
      </c>
      <c r="AS84" s="13">
        <f>$I$29*$AS$29</f>
        <v>0</v>
      </c>
      <c r="AT84" s="13">
        <f>$I$29*$AT$29</f>
        <v>0</v>
      </c>
      <c r="AU84" s="13">
        <f>$I$29*$AU$29</f>
        <v>0</v>
      </c>
      <c r="AV84" s="13">
        <f>$I$29*$AV$29</f>
        <v>0</v>
      </c>
      <c r="AW84" s="13">
        <f>$I$29*$AW$29</f>
        <v>0</v>
      </c>
      <c r="AX84" s="13">
        <f>$I$29*$AX$29</f>
        <v>0</v>
      </c>
      <c r="AY84" s="13">
        <f>$I$29*$AY$29</f>
        <v>0</v>
      </c>
      <c r="AZ84" s="13">
        <f>$I$29*$AZ$29</f>
        <v>0</v>
      </c>
      <c r="BA84" s="13">
        <f>$I$29*$BA$29</f>
        <v>0</v>
      </c>
      <c r="BB84" s="13">
        <f>$I$29*$BB$29</f>
        <v>0</v>
      </c>
      <c r="BC84" s="13">
        <f>$I$29*$BC$29</f>
        <v>0</v>
      </c>
      <c r="BD84" s="13">
        <f>$I$29*$BD$29</f>
        <v>0</v>
      </c>
    </row>
    <row r="85" spans="1:56" ht="11.25" customHeight="1" x14ac:dyDescent="0.25">
      <c r="A85" s="9" t="s">
        <v>22</v>
      </c>
      <c r="B85" s="9" t="s">
        <v>845</v>
      </c>
      <c r="C85" s="9" t="s">
        <v>846</v>
      </c>
      <c r="D85" s="9" t="s">
        <v>855</v>
      </c>
      <c r="E85" s="9" t="s">
        <v>856</v>
      </c>
      <c r="F85" s="9" t="s">
        <v>857</v>
      </c>
      <c r="G85" s="9" t="s">
        <v>858</v>
      </c>
      <c r="L85" s="13">
        <f>$I$30*$L$30</f>
        <v>0</v>
      </c>
      <c r="M85" s="13">
        <f>$I$30*$M$30</f>
        <v>0</v>
      </c>
      <c r="N85" s="13">
        <f ca="1">$I$30*$N$30</f>
        <v>0</v>
      </c>
      <c r="O85" s="13">
        <f>$I$30*$O$30</f>
        <v>0</v>
      </c>
      <c r="P85" s="13">
        <f>$I$30*$P$30</f>
        <v>0</v>
      </c>
      <c r="Q85" s="13">
        <f>$I$30*$Q$30</f>
        <v>0</v>
      </c>
      <c r="R85" s="13">
        <f>$I$30*$R$30</f>
        <v>0</v>
      </c>
      <c r="S85" s="13">
        <f>$I$30*$S$30</f>
        <v>0</v>
      </c>
      <c r="T85" s="13">
        <f>$I$30*$T$30</f>
        <v>0</v>
      </c>
      <c r="U85" s="13">
        <f>$I$30*$U$30</f>
        <v>0</v>
      </c>
      <c r="V85" s="13">
        <f>$I$30*$V$30</f>
        <v>0</v>
      </c>
      <c r="W85" s="13">
        <f>$I$30*$W$30</f>
        <v>0</v>
      </c>
      <c r="X85" s="13">
        <f>$I$30*$X$30</f>
        <v>0</v>
      </c>
      <c r="Y85" s="13">
        <f>$I$30*$Y$30</f>
        <v>0</v>
      </c>
      <c r="Z85" s="13">
        <f>$I$30*$Z$30</f>
        <v>0</v>
      </c>
      <c r="AA85" s="13">
        <f>$I$30*$AA$30</f>
        <v>0</v>
      </c>
      <c r="AB85" s="13">
        <f ca="1">$I$30*$AB$30</f>
        <v>0</v>
      </c>
      <c r="AC85" s="13">
        <f ca="1">$I$30*$AC$30</f>
        <v>0</v>
      </c>
      <c r="AD85" s="13">
        <f>$I$30*$AD$30</f>
        <v>0</v>
      </c>
      <c r="AE85" s="13">
        <f>$I$30*$AE$30</f>
        <v>0</v>
      </c>
      <c r="AF85" s="13">
        <f ca="1">$I$30*$AF$30</f>
        <v>0</v>
      </c>
      <c r="AG85" s="13">
        <f ca="1">$I$30*$AG$30</f>
        <v>0</v>
      </c>
      <c r="AI85" s="13">
        <f>$I$30*$AI$30</f>
        <v>0</v>
      </c>
      <c r="AJ85" s="13">
        <f>$I$30*$AJ$30</f>
        <v>0</v>
      </c>
      <c r="AK85" s="13">
        <f>$I$30*$AK$30</f>
        <v>0</v>
      </c>
      <c r="AL85" s="13">
        <f>$I$30*$AL$30</f>
        <v>0</v>
      </c>
      <c r="AM85" s="13">
        <f>$I$30*$AM$30</f>
        <v>0</v>
      </c>
      <c r="AN85" s="13">
        <f>$I$30*$AN$30</f>
        <v>0</v>
      </c>
      <c r="AO85" s="13">
        <f>$I$30*$AO$30</f>
        <v>0</v>
      </c>
      <c r="AP85" s="13">
        <f>$I$30*$AP$30</f>
        <v>0</v>
      </c>
      <c r="AQ85" s="13">
        <f>$I$30*$AQ$30</f>
        <v>0</v>
      </c>
      <c r="AR85" s="13">
        <f>$I$30*$AR$30</f>
        <v>0</v>
      </c>
      <c r="AS85" s="13">
        <f>$I$30*$AS$30</f>
        <v>0</v>
      </c>
      <c r="AT85" s="13">
        <f>$I$30*$AT$30</f>
        <v>0</v>
      </c>
      <c r="AU85" s="13">
        <f>$I$30*$AU$30</f>
        <v>0</v>
      </c>
      <c r="AV85" s="13">
        <f>$I$30*$AV$30</f>
        <v>0</v>
      </c>
      <c r="AW85" s="13">
        <f>$I$30*$AW$30</f>
        <v>0</v>
      </c>
      <c r="AX85" s="13">
        <f>$I$30*$AX$30</f>
        <v>0</v>
      </c>
      <c r="AY85" s="13">
        <f>$I$30*$AY$30</f>
        <v>0</v>
      </c>
      <c r="AZ85" s="13">
        <f>$I$30*$AZ$30</f>
        <v>0</v>
      </c>
      <c r="BA85" s="13">
        <f>$I$30*$BA$30</f>
        <v>0</v>
      </c>
      <c r="BB85" s="13">
        <f>$I$30*$BB$30</f>
        <v>0</v>
      </c>
      <c r="BC85" s="13">
        <f>$I$30*$BC$30</f>
        <v>0</v>
      </c>
      <c r="BD85" s="13">
        <f>$I$30*$BD$30</f>
        <v>0</v>
      </c>
    </row>
    <row r="86" spans="1:56" ht="11.25" customHeight="1" x14ac:dyDescent="0.25">
      <c r="A86" s="9" t="s">
        <v>22</v>
      </c>
      <c r="B86" s="9" t="s">
        <v>845</v>
      </c>
      <c r="C86" s="9" t="s">
        <v>846</v>
      </c>
      <c r="D86" s="9" t="s">
        <v>859</v>
      </c>
      <c r="E86" s="9" t="s">
        <v>860</v>
      </c>
      <c r="F86" s="9" t="s">
        <v>861</v>
      </c>
      <c r="G86" s="9" t="s">
        <v>862</v>
      </c>
      <c r="L86" s="13">
        <f>$I$31*$L$31</f>
        <v>0</v>
      </c>
      <c r="M86" s="13">
        <f>$I$31*$M$31</f>
        <v>0</v>
      </c>
      <c r="N86" s="13">
        <f ca="1">$I$31*$N$31</f>
        <v>0</v>
      </c>
      <c r="O86" s="13">
        <f>$I$31*$O$31</f>
        <v>0</v>
      </c>
      <c r="P86" s="13">
        <f>$I$31*$P$31</f>
        <v>0</v>
      </c>
      <c r="Q86" s="13">
        <f>$I$31*$Q$31</f>
        <v>0</v>
      </c>
      <c r="R86" s="13">
        <f>$I$31*$R$31</f>
        <v>0</v>
      </c>
      <c r="S86" s="13">
        <f>$I$31*$S$31</f>
        <v>0</v>
      </c>
      <c r="T86" s="13">
        <f>$I$31*$T$31</f>
        <v>0</v>
      </c>
      <c r="U86" s="13">
        <f>$I$31*$U$31</f>
        <v>0</v>
      </c>
      <c r="V86" s="13">
        <f>$I$31*$V$31</f>
        <v>0</v>
      </c>
      <c r="W86" s="13">
        <f>$I$31*$W$31</f>
        <v>0</v>
      </c>
      <c r="X86" s="13">
        <f>$I$31*$X$31</f>
        <v>0</v>
      </c>
      <c r="Y86" s="13">
        <f>$I$31*$Y$31</f>
        <v>0</v>
      </c>
      <c r="Z86" s="13">
        <f>$I$31*$Z$31</f>
        <v>0</v>
      </c>
      <c r="AA86" s="13">
        <f>$I$31*$AA$31</f>
        <v>0</v>
      </c>
      <c r="AB86" s="13">
        <f ca="1">$I$31*$AB$31</f>
        <v>0</v>
      </c>
      <c r="AC86" s="13">
        <f ca="1">$I$31*$AC$31</f>
        <v>0</v>
      </c>
      <c r="AD86" s="13">
        <f>$I$31*$AD$31</f>
        <v>0</v>
      </c>
      <c r="AE86" s="13">
        <f>$I$31*$AE$31</f>
        <v>0</v>
      </c>
      <c r="AF86" s="13">
        <f ca="1">$I$31*$AF$31</f>
        <v>0</v>
      </c>
      <c r="AG86" s="13">
        <f ca="1">$I$31*$AG$31</f>
        <v>0</v>
      </c>
      <c r="AI86" s="13">
        <f>$I$31*$AI$31</f>
        <v>0</v>
      </c>
      <c r="AJ86" s="13">
        <f>$I$31*$AJ$31</f>
        <v>0</v>
      </c>
      <c r="AK86" s="13">
        <f>$I$31*$AK$31</f>
        <v>0</v>
      </c>
      <c r="AL86" s="13">
        <f>$I$31*$AL$31</f>
        <v>0</v>
      </c>
      <c r="AM86" s="13">
        <f>$I$31*$AM$31</f>
        <v>0</v>
      </c>
      <c r="AN86" s="13">
        <f>$I$31*$AN$31</f>
        <v>0</v>
      </c>
      <c r="AO86" s="13">
        <f>$I$31*$AO$31</f>
        <v>0</v>
      </c>
      <c r="AP86" s="13">
        <f>$I$31*$AP$31</f>
        <v>0</v>
      </c>
      <c r="AQ86" s="13">
        <f>$I$31*$AQ$31</f>
        <v>0</v>
      </c>
      <c r="AR86" s="13">
        <f>$I$31*$AR$31</f>
        <v>0</v>
      </c>
      <c r="AS86" s="13">
        <f>$I$31*$AS$31</f>
        <v>0</v>
      </c>
      <c r="AT86" s="13">
        <f>$I$31*$AT$31</f>
        <v>0</v>
      </c>
      <c r="AU86" s="13">
        <f>$I$31*$AU$31</f>
        <v>0</v>
      </c>
      <c r="AV86" s="13">
        <f>$I$31*$AV$31</f>
        <v>0</v>
      </c>
      <c r="AW86" s="13">
        <f>$I$31*$AW$31</f>
        <v>0</v>
      </c>
      <c r="AX86" s="13">
        <f>$I$31*$AX$31</f>
        <v>0</v>
      </c>
      <c r="AY86" s="13">
        <f>$I$31*$AY$31</f>
        <v>0</v>
      </c>
      <c r="AZ86" s="13">
        <f>$I$31*$AZ$31</f>
        <v>0</v>
      </c>
      <c r="BA86" s="13">
        <f>$I$31*$BA$31</f>
        <v>0</v>
      </c>
      <c r="BB86" s="13">
        <f>$I$31*$BB$31</f>
        <v>0</v>
      </c>
      <c r="BC86" s="13">
        <f>$I$31*$BC$31</f>
        <v>0</v>
      </c>
      <c r="BD86" s="13">
        <f>$I$31*$BD$31</f>
        <v>0</v>
      </c>
    </row>
    <row r="87" spans="1:56" ht="11.25" customHeight="1" x14ac:dyDescent="0.25">
      <c r="A87" s="9" t="s">
        <v>22</v>
      </c>
      <c r="B87" s="9" t="s">
        <v>845</v>
      </c>
      <c r="C87" s="9" t="s">
        <v>846</v>
      </c>
      <c r="D87" s="9" t="s">
        <v>863</v>
      </c>
      <c r="E87" s="9" t="s">
        <v>864</v>
      </c>
      <c r="F87" s="9" t="s">
        <v>865</v>
      </c>
      <c r="G87" s="9" t="s">
        <v>866</v>
      </c>
      <c r="L87" s="13">
        <f>$I$32*$L$32</f>
        <v>0</v>
      </c>
      <c r="M87" s="13">
        <f>$I$32*$M$32</f>
        <v>0</v>
      </c>
      <c r="N87" s="13">
        <f ca="1">$I$32*$N$32</f>
        <v>0</v>
      </c>
      <c r="O87" s="13">
        <f>$I$32*$O$32</f>
        <v>0</v>
      </c>
      <c r="P87" s="13">
        <f>$I$32*$P$32</f>
        <v>0</v>
      </c>
      <c r="Q87" s="13">
        <f>$I$32*$Q$32</f>
        <v>0</v>
      </c>
      <c r="R87" s="13">
        <f>$I$32*$R$32</f>
        <v>0</v>
      </c>
      <c r="S87" s="13">
        <f>$I$32*$S$32</f>
        <v>0</v>
      </c>
      <c r="T87" s="13">
        <f>$I$32*$T$32</f>
        <v>0</v>
      </c>
      <c r="U87" s="13">
        <f>$I$32*$U$32</f>
        <v>0</v>
      </c>
      <c r="V87" s="13">
        <f>$I$32*$V$32</f>
        <v>0</v>
      </c>
      <c r="W87" s="13">
        <f>$I$32*$W$32</f>
        <v>0</v>
      </c>
      <c r="X87" s="13">
        <f>$I$32*$X$32</f>
        <v>0</v>
      </c>
      <c r="Y87" s="13">
        <f>$I$32*$Y$32</f>
        <v>0</v>
      </c>
      <c r="Z87" s="13">
        <f>$I$32*$Z$32</f>
        <v>0</v>
      </c>
      <c r="AA87" s="13">
        <f>$I$32*$AA$32</f>
        <v>0</v>
      </c>
      <c r="AB87" s="13">
        <f ca="1">$I$32*$AB$32</f>
        <v>0</v>
      </c>
      <c r="AC87" s="13">
        <f ca="1">$I$32*$AC$32</f>
        <v>0</v>
      </c>
      <c r="AD87" s="13">
        <f>$I$32*$AD$32</f>
        <v>0</v>
      </c>
      <c r="AE87" s="13">
        <f>$I$32*$AE$32</f>
        <v>0</v>
      </c>
      <c r="AF87" s="13">
        <f ca="1">$I$32*$AF$32</f>
        <v>0</v>
      </c>
      <c r="AG87" s="13">
        <f ca="1">$I$32*$AG$32</f>
        <v>0</v>
      </c>
      <c r="AI87" s="13">
        <f>$I$32*$AI$32</f>
        <v>0</v>
      </c>
      <c r="AJ87" s="13">
        <f>$I$32*$AJ$32</f>
        <v>0</v>
      </c>
      <c r="AK87" s="13">
        <f>$I$32*$AK$32</f>
        <v>0</v>
      </c>
      <c r="AL87" s="13">
        <f>$I$32*$AL$32</f>
        <v>0</v>
      </c>
      <c r="AM87" s="13">
        <f>$I$32*$AM$32</f>
        <v>0</v>
      </c>
      <c r="AN87" s="13">
        <f>$I$32*$AN$32</f>
        <v>0</v>
      </c>
      <c r="AO87" s="13">
        <f>$I$32*$AO$32</f>
        <v>0</v>
      </c>
      <c r="AP87" s="13">
        <f>$I$32*$AP$32</f>
        <v>0</v>
      </c>
      <c r="AQ87" s="13">
        <f>$I$32*$AQ$32</f>
        <v>0</v>
      </c>
      <c r="AR87" s="13">
        <f>$I$32*$AR$32</f>
        <v>0</v>
      </c>
      <c r="AS87" s="13">
        <f>$I$32*$AS$32</f>
        <v>0</v>
      </c>
      <c r="AT87" s="13">
        <f>$I$32*$AT$32</f>
        <v>0</v>
      </c>
      <c r="AU87" s="13">
        <f>$I$32*$AU$32</f>
        <v>0</v>
      </c>
      <c r="AV87" s="13">
        <f>$I$32*$AV$32</f>
        <v>0</v>
      </c>
      <c r="AW87" s="13">
        <f>$I$32*$AW$32</f>
        <v>0</v>
      </c>
      <c r="AX87" s="13">
        <f>$I$32*$AX$32</f>
        <v>0</v>
      </c>
      <c r="AY87" s="13">
        <f>$I$32*$AY$32</f>
        <v>0</v>
      </c>
      <c r="AZ87" s="13">
        <f>$I$32*$AZ$32</f>
        <v>0</v>
      </c>
      <c r="BA87" s="13">
        <f>$I$32*$BA$32</f>
        <v>0</v>
      </c>
      <c r="BB87" s="13">
        <f>$I$32*$BB$32</f>
        <v>0</v>
      </c>
      <c r="BC87" s="13">
        <f>$I$32*$BC$32</f>
        <v>0</v>
      </c>
      <c r="BD87" s="13">
        <f>$I$32*$BD$32</f>
        <v>0</v>
      </c>
    </row>
    <row r="88" spans="1:56" ht="11.25" customHeight="1" x14ac:dyDescent="0.25">
      <c r="A88" s="9" t="s">
        <v>40</v>
      </c>
      <c r="B88" s="9" t="s">
        <v>867</v>
      </c>
      <c r="C88" s="9" t="s">
        <v>868</v>
      </c>
      <c r="D88" s="9" t="s">
        <v>869</v>
      </c>
      <c r="E88" s="9" t="s">
        <v>870</v>
      </c>
      <c r="F88" s="9" t="s">
        <v>871</v>
      </c>
      <c r="G88" s="9" t="s">
        <v>872</v>
      </c>
      <c r="L88" s="13">
        <f>$I$33*$L$33</f>
        <v>0</v>
      </c>
      <c r="M88" s="13">
        <f>$I$33*$M$33</f>
        <v>0</v>
      </c>
      <c r="N88" s="13">
        <f ca="1">$I$33*$N$33</f>
        <v>0</v>
      </c>
      <c r="O88" s="13">
        <f>$I$33*$O$33</f>
        <v>0</v>
      </c>
      <c r="P88" s="13">
        <f>$I$33*$P$33</f>
        <v>0</v>
      </c>
      <c r="Q88" s="13">
        <f>$I$33*$Q$33</f>
        <v>0</v>
      </c>
      <c r="R88" s="13">
        <f>$I$33*$R$33</f>
        <v>0</v>
      </c>
      <c r="S88" s="13">
        <f>$I$33*$S$33</f>
        <v>0</v>
      </c>
      <c r="T88" s="13">
        <f>$I$33*$T$33</f>
        <v>0</v>
      </c>
      <c r="U88" s="13">
        <f>$I$33*$U$33</f>
        <v>0</v>
      </c>
      <c r="V88" s="13">
        <f>$I$33*$V$33</f>
        <v>0</v>
      </c>
      <c r="W88" s="13">
        <f>$I$33*$W$33</f>
        <v>0</v>
      </c>
      <c r="X88" s="13">
        <f>$I$33*$X$33</f>
        <v>0</v>
      </c>
      <c r="Y88" s="13">
        <f>$I$33*$Y$33</f>
        <v>0</v>
      </c>
      <c r="Z88" s="13">
        <f>$I$33*$Z$33</f>
        <v>0</v>
      </c>
      <c r="AA88" s="13">
        <f>$I$33*$AA$33</f>
        <v>0</v>
      </c>
      <c r="AB88" s="13">
        <f ca="1">$I$33*$AB$33</f>
        <v>0</v>
      </c>
      <c r="AC88" s="13">
        <f ca="1">$I$33*$AC$33</f>
        <v>0</v>
      </c>
      <c r="AD88" s="13">
        <f>$I$33*$AD$33</f>
        <v>0</v>
      </c>
      <c r="AE88" s="13">
        <f>$I$33*$AE$33</f>
        <v>0</v>
      </c>
      <c r="AF88" s="13">
        <f ca="1">$I$33*$AF$33</f>
        <v>0</v>
      </c>
      <c r="AG88" s="13">
        <f ca="1">$I$33*$AG$33</f>
        <v>0</v>
      </c>
      <c r="AI88" s="13">
        <f>$I$33*$AI$33</f>
        <v>0</v>
      </c>
      <c r="AJ88" s="13">
        <f>$I$33*$AJ$33</f>
        <v>0</v>
      </c>
      <c r="AK88" s="13">
        <f>$I$33*$AK$33</f>
        <v>0</v>
      </c>
      <c r="AL88" s="13">
        <f>$I$33*$AL$33</f>
        <v>0</v>
      </c>
      <c r="AM88" s="13">
        <f>$I$33*$AM$33</f>
        <v>0</v>
      </c>
      <c r="AN88" s="13">
        <f>$I$33*$AN$33</f>
        <v>0</v>
      </c>
      <c r="AO88" s="13">
        <f>$I$33*$AO$33</f>
        <v>0</v>
      </c>
      <c r="AP88" s="13">
        <f>$I$33*$AP$33</f>
        <v>0</v>
      </c>
      <c r="AQ88" s="13">
        <f>$I$33*$AQ$33</f>
        <v>0</v>
      </c>
      <c r="AR88" s="13">
        <f>$I$33*$AR$33</f>
        <v>0</v>
      </c>
      <c r="AS88" s="13">
        <f>$I$33*$AS$33</f>
        <v>0</v>
      </c>
      <c r="AT88" s="13">
        <f>$I$33*$AT$33</f>
        <v>0</v>
      </c>
      <c r="AU88" s="13">
        <f>$I$33*$AU$33</f>
        <v>0</v>
      </c>
      <c r="AV88" s="13">
        <f>$I$33*$AV$33</f>
        <v>0</v>
      </c>
      <c r="AW88" s="13">
        <f>$I$33*$AW$33</f>
        <v>0</v>
      </c>
      <c r="AX88" s="13">
        <f>$I$33*$AX$33</f>
        <v>0</v>
      </c>
      <c r="AY88" s="13">
        <f>$I$33*$AY$33</f>
        <v>0</v>
      </c>
      <c r="AZ88" s="13">
        <f>$I$33*$AZ$33</f>
        <v>0</v>
      </c>
      <c r="BA88" s="13">
        <f>$I$33*$BA$33</f>
        <v>0</v>
      </c>
      <c r="BB88" s="13">
        <f>$I$33*$BB$33</f>
        <v>0</v>
      </c>
      <c r="BC88" s="13">
        <f>$I$33*$BC$33</f>
        <v>0</v>
      </c>
      <c r="BD88" s="13">
        <f>$I$33*$BD$33</f>
        <v>0</v>
      </c>
    </row>
    <row r="89" spans="1:56" ht="11.25" customHeight="1" x14ac:dyDescent="0.25">
      <c r="A89" s="9" t="s">
        <v>40</v>
      </c>
      <c r="B89" s="9" t="s">
        <v>867</v>
      </c>
      <c r="C89" s="9" t="s">
        <v>868</v>
      </c>
      <c r="D89" s="9" t="s">
        <v>869</v>
      </c>
      <c r="E89" s="9" t="s">
        <v>870</v>
      </c>
      <c r="F89" s="9" t="s">
        <v>871</v>
      </c>
      <c r="G89" s="9" t="s">
        <v>873</v>
      </c>
      <c r="L89" s="13">
        <f>$I$34*$L$34</f>
        <v>0</v>
      </c>
      <c r="M89" s="13">
        <f>$I$34*$M$34</f>
        <v>0</v>
      </c>
      <c r="N89" s="13">
        <f ca="1">$I$34*$N$34</f>
        <v>0</v>
      </c>
      <c r="O89" s="13">
        <f>$I$34*$O$34</f>
        <v>0</v>
      </c>
      <c r="P89" s="13">
        <f>$I$34*$P$34</f>
        <v>0</v>
      </c>
      <c r="Q89" s="13">
        <f>$I$34*$Q$34</f>
        <v>0</v>
      </c>
      <c r="R89" s="13">
        <f>$I$34*$R$34</f>
        <v>0</v>
      </c>
      <c r="S89" s="13">
        <f>$I$34*$S$34</f>
        <v>0</v>
      </c>
      <c r="T89" s="13">
        <f>$I$34*$T$34</f>
        <v>0</v>
      </c>
      <c r="U89" s="13">
        <f>$I$34*$U$34</f>
        <v>0</v>
      </c>
      <c r="V89" s="13">
        <f>$I$34*$V$34</f>
        <v>0</v>
      </c>
      <c r="W89" s="13">
        <f>$I$34*$W$34</f>
        <v>0</v>
      </c>
      <c r="X89" s="13">
        <f>$I$34*$X$34</f>
        <v>0</v>
      </c>
      <c r="Y89" s="13">
        <f>$I$34*$Y$34</f>
        <v>0</v>
      </c>
      <c r="Z89" s="13">
        <f>$I$34*$Z$34</f>
        <v>0</v>
      </c>
      <c r="AA89" s="13">
        <f>$I$34*$AA$34</f>
        <v>0</v>
      </c>
      <c r="AB89" s="13">
        <f ca="1">$I$34*$AB$34</f>
        <v>0</v>
      </c>
      <c r="AC89" s="13">
        <f ca="1">$I$34*$AC$34</f>
        <v>0</v>
      </c>
      <c r="AD89" s="13">
        <f>$I$34*$AD$34</f>
        <v>0</v>
      </c>
      <c r="AE89" s="13">
        <f>$I$34*$AE$34</f>
        <v>0</v>
      </c>
      <c r="AF89" s="13">
        <f ca="1">$I$34*$AF$34</f>
        <v>0</v>
      </c>
      <c r="AG89" s="13">
        <f ca="1">$I$34*$AG$34</f>
        <v>0</v>
      </c>
      <c r="AI89" s="13">
        <f>$I$34*$AI$34</f>
        <v>0</v>
      </c>
      <c r="AJ89" s="13">
        <f>$I$34*$AJ$34</f>
        <v>0</v>
      </c>
      <c r="AK89" s="13">
        <f>$I$34*$AK$34</f>
        <v>0</v>
      </c>
      <c r="AL89" s="13">
        <f>$I$34*$AL$34</f>
        <v>0</v>
      </c>
      <c r="AM89" s="13">
        <f>$I$34*$AM$34</f>
        <v>0</v>
      </c>
      <c r="AN89" s="13">
        <f>$I$34*$AN$34</f>
        <v>0</v>
      </c>
      <c r="AO89" s="13">
        <f>$I$34*$AO$34</f>
        <v>0</v>
      </c>
      <c r="AP89" s="13">
        <f>$I$34*$AP$34</f>
        <v>0</v>
      </c>
      <c r="AQ89" s="13">
        <f>$I$34*$AQ$34</f>
        <v>0</v>
      </c>
      <c r="AR89" s="13">
        <f>$I$34*$AR$34</f>
        <v>0</v>
      </c>
      <c r="AS89" s="13">
        <f>$I$34*$AS$34</f>
        <v>0</v>
      </c>
      <c r="AT89" s="13">
        <f>$I$34*$AT$34</f>
        <v>0</v>
      </c>
      <c r="AU89" s="13">
        <f>$I$34*$AU$34</f>
        <v>0</v>
      </c>
      <c r="AV89" s="13">
        <f>$I$34*$AV$34</f>
        <v>0</v>
      </c>
      <c r="AW89" s="13">
        <f>$I$34*$AW$34</f>
        <v>0</v>
      </c>
      <c r="AX89" s="13">
        <f>$I$34*$AX$34</f>
        <v>0</v>
      </c>
      <c r="AY89" s="13">
        <f>$I$34*$AY$34</f>
        <v>0</v>
      </c>
      <c r="AZ89" s="13">
        <f>$I$34*$AZ$34</f>
        <v>0</v>
      </c>
      <c r="BA89" s="13">
        <f>$I$34*$BA$34</f>
        <v>0</v>
      </c>
      <c r="BB89" s="13">
        <f>$I$34*$BB$34</f>
        <v>0</v>
      </c>
      <c r="BC89" s="13">
        <f>$I$34*$BC$34</f>
        <v>0</v>
      </c>
      <c r="BD89" s="13">
        <f>$I$34*$BD$34</f>
        <v>0</v>
      </c>
    </row>
    <row r="90" spans="1:56" ht="11.25" customHeight="1" x14ac:dyDescent="0.25">
      <c r="A90" s="9" t="s">
        <v>40</v>
      </c>
      <c r="B90" s="9" t="s">
        <v>867</v>
      </c>
      <c r="C90" s="9" t="s">
        <v>868</v>
      </c>
      <c r="D90" s="9" t="s">
        <v>869</v>
      </c>
      <c r="E90" s="9" t="s">
        <v>870</v>
      </c>
      <c r="F90" s="9" t="s">
        <v>871</v>
      </c>
      <c r="G90" s="9" t="s">
        <v>874</v>
      </c>
      <c r="L90" s="13">
        <f>$I$35*$L$35</f>
        <v>0</v>
      </c>
      <c r="M90" s="13">
        <f>$I$35*$M$35</f>
        <v>0</v>
      </c>
      <c r="N90" s="13">
        <f ca="1">$I$35*$N$35</f>
        <v>0</v>
      </c>
      <c r="O90" s="13">
        <f>$I$35*$O$35</f>
        <v>0</v>
      </c>
      <c r="P90" s="13">
        <f>$I$35*$P$35</f>
        <v>0</v>
      </c>
      <c r="Q90" s="13">
        <f>$I$35*$Q$35</f>
        <v>0</v>
      </c>
      <c r="R90" s="13">
        <f>$I$35*$R$35</f>
        <v>0</v>
      </c>
      <c r="S90" s="13">
        <f>$I$35*$S$35</f>
        <v>0</v>
      </c>
      <c r="T90" s="13">
        <f>$I$35*$T$35</f>
        <v>0</v>
      </c>
      <c r="U90" s="13">
        <f>$I$35*$U$35</f>
        <v>0</v>
      </c>
      <c r="V90" s="13">
        <f>$I$35*$V$35</f>
        <v>0</v>
      </c>
      <c r="W90" s="13">
        <f>$I$35*$W$35</f>
        <v>0</v>
      </c>
      <c r="X90" s="13">
        <f>$I$35*$X$35</f>
        <v>0</v>
      </c>
      <c r="Y90" s="13">
        <f>$I$35*$Y$35</f>
        <v>0</v>
      </c>
      <c r="Z90" s="13">
        <f>$I$35*$Z$35</f>
        <v>0</v>
      </c>
      <c r="AA90" s="13">
        <f>$I$35*$AA$35</f>
        <v>0</v>
      </c>
      <c r="AB90" s="13">
        <f ca="1">$I$35*$AB$35</f>
        <v>0</v>
      </c>
      <c r="AC90" s="13">
        <f ca="1">$I$35*$AC$35</f>
        <v>0</v>
      </c>
      <c r="AD90" s="13">
        <f>$I$35*$AD$35</f>
        <v>0</v>
      </c>
      <c r="AE90" s="13">
        <f>$I$35*$AE$35</f>
        <v>0</v>
      </c>
      <c r="AF90" s="13">
        <f ca="1">$I$35*$AF$35</f>
        <v>0</v>
      </c>
      <c r="AG90" s="13">
        <f ca="1">$I$35*$AG$35</f>
        <v>0</v>
      </c>
      <c r="AI90" s="13">
        <f>$I$35*$AI$35</f>
        <v>0</v>
      </c>
      <c r="AJ90" s="13">
        <f>$I$35*$AJ$35</f>
        <v>0</v>
      </c>
      <c r="AK90" s="13">
        <f>$I$35*$AK$35</f>
        <v>0</v>
      </c>
      <c r="AL90" s="13">
        <f>$I$35*$AL$35</f>
        <v>0</v>
      </c>
      <c r="AM90" s="13">
        <f>$I$35*$AM$35</f>
        <v>0</v>
      </c>
      <c r="AN90" s="13">
        <f>$I$35*$AN$35</f>
        <v>0</v>
      </c>
      <c r="AO90" s="13">
        <f>$I$35*$AO$35</f>
        <v>0</v>
      </c>
      <c r="AP90" s="13">
        <f>$I$35*$AP$35</f>
        <v>0</v>
      </c>
      <c r="AQ90" s="13">
        <f>$I$35*$AQ$35</f>
        <v>0</v>
      </c>
      <c r="AR90" s="13">
        <f>$I$35*$AR$35</f>
        <v>0</v>
      </c>
      <c r="AS90" s="13">
        <f>$I$35*$AS$35</f>
        <v>0</v>
      </c>
      <c r="AT90" s="13">
        <f>$I$35*$AT$35</f>
        <v>0</v>
      </c>
      <c r="AU90" s="13">
        <f>$I$35*$AU$35</f>
        <v>0</v>
      </c>
      <c r="AV90" s="13">
        <f>$I$35*$AV$35</f>
        <v>0</v>
      </c>
      <c r="AW90" s="13">
        <f>$I$35*$AW$35</f>
        <v>0</v>
      </c>
      <c r="AX90" s="13">
        <f>$I$35*$AX$35</f>
        <v>0</v>
      </c>
      <c r="AY90" s="13">
        <f>$I$35*$AY$35</f>
        <v>0</v>
      </c>
      <c r="AZ90" s="13">
        <f>$I$35*$AZ$35</f>
        <v>0</v>
      </c>
      <c r="BA90" s="13">
        <f>$I$35*$BA$35</f>
        <v>0</v>
      </c>
      <c r="BB90" s="13">
        <f>$I$35*$BB$35</f>
        <v>0</v>
      </c>
      <c r="BC90" s="13">
        <f>$I$35*$BC$35</f>
        <v>0</v>
      </c>
      <c r="BD90" s="13">
        <f>$I$35*$BD$35</f>
        <v>0</v>
      </c>
    </row>
    <row r="91" spans="1:56" ht="11.25" customHeight="1" x14ac:dyDescent="0.25">
      <c r="A91" s="9" t="s">
        <v>40</v>
      </c>
      <c r="B91" s="9" t="s">
        <v>875</v>
      </c>
      <c r="C91" s="9" t="s">
        <v>876</v>
      </c>
      <c r="D91" s="9" t="s">
        <v>877</v>
      </c>
      <c r="E91" s="9" t="s">
        <v>878</v>
      </c>
      <c r="F91" s="9" t="s">
        <v>879</v>
      </c>
      <c r="G91" s="9" t="s">
        <v>880</v>
      </c>
      <c r="L91" s="13">
        <f>$I$36*$L$36</f>
        <v>0</v>
      </c>
      <c r="M91" s="13">
        <f>$I$36*$M$36</f>
        <v>30439.104667588355</v>
      </c>
      <c r="N91" s="13">
        <f ca="1">$I$36*$N$36</f>
        <v>0</v>
      </c>
      <c r="O91" s="13">
        <f>$I$36*$O$36</f>
        <v>0</v>
      </c>
      <c r="P91" s="13">
        <f>$I$36*$P$36</f>
        <v>0</v>
      </c>
      <c r="Q91" s="13">
        <f>$I$36*$Q$36</f>
        <v>2467119.3479703423</v>
      </c>
      <c r="R91" s="13">
        <f>$I$36*$R$36</f>
        <v>389306.67438888189</v>
      </c>
      <c r="S91" s="13">
        <f>$I$36*$S$36</f>
        <v>0</v>
      </c>
      <c r="T91" s="13">
        <f>$I$36*$T$36</f>
        <v>0</v>
      </c>
      <c r="U91" s="13">
        <f>$I$36*$U$36</f>
        <v>0</v>
      </c>
      <c r="V91" s="13">
        <f>$I$36*$V$36</f>
        <v>0</v>
      </c>
      <c r="W91" s="13">
        <f>$I$36*$W$36</f>
        <v>0</v>
      </c>
      <c r="X91" s="13">
        <f>$I$36*$X$36</f>
        <v>1919715.9953240955</v>
      </c>
      <c r="Y91" s="13">
        <f>$I$36*$Y$36</f>
        <v>0</v>
      </c>
      <c r="Z91" s="13">
        <f>$I$36*$Z$36</f>
        <v>0</v>
      </c>
      <c r="AA91" s="13">
        <f>$I$36*$AA$36</f>
        <v>4843473.822493176</v>
      </c>
      <c r="AB91" s="13">
        <f ca="1">$I$36*$AB$36</f>
        <v>0</v>
      </c>
      <c r="AC91" s="13">
        <f ca="1">$I$36*$AC$36</f>
        <v>0</v>
      </c>
      <c r="AD91" s="13">
        <f>$I$36*$AD$36</f>
        <v>595461.90317595797</v>
      </c>
      <c r="AE91" s="13">
        <f>$I$36*$AE$36</f>
        <v>16343.504592566407</v>
      </c>
      <c r="AF91" s="13">
        <f ca="1">$I$36*$AF$36</f>
        <v>0</v>
      </c>
      <c r="AG91" s="13">
        <f ca="1">$I$36*$AG$36</f>
        <v>0</v>
      </c>
      <c r="AI91" s="13">
        <f>$I$36*$AI$36</f>
        <v>0</v>
      </c>
      <c r="AJ91" s="13">
        <f>$I$36*$AJ$36</f>
        <v>23121.719831147035</v>
      </c>
      <c r="AK91" s="13">
        <f>$I$36*$AK$36</f>
        <v>0</v>
      </c>
      <c r="AL91" s="13">
        <f>$I$36*$AL$36</f>
        <v>0</v>
      </c>
      <c r="AM91" s="13">
        <f>$I$36*$AM$36</f>
        <v>0</v>
      </c>
      <c r="AN91" s="13">
        <f>$I$36*$AN$36</f>
        <v>1446253.3457131656</v>
      </c>
      <c r="AO91" s="13">
        <f>$I$36*$AO$36</f>
        <v>224950.85614516187</v>
      </c>
      <c r="AP91" s="13">
        <f>$I$36*$AP$36</f>
        <v>0</v>
      </c>
      <c r="AQ91" s="13">
        <f>$I$36*$AQ$36</f>
        <v>0</v>
      </c>
      <c r="AR91" s="13">
        <f>$I$36*$AR$36</f>
        <v>0</v>
      </c>
      <c r="AS91" s="13">
        <f>$I$36*$AS$36</f>
        <v>0</v>
      </c>
      <c r="AT91" s="13">
        <f>$I$36*$AT$36</f>
        <v>0</v>
      </c>
      <c r="AU91" s="13">
        <f>$I$36*$AU$36</f>
        <v>1562564.8885601182</v>
      </c>
      <c r="AV91" s="13">
        <f>$I$36*$AV$36</f>
        <v>0</v>
      </c>
      <c r="AW91" s="13">
        <f>$I$36*$AW$36</f>
        <v>0</v>
      </c>
      <c r="AX91" s="13">
        <f>$I$36*$AX$36</f>
        <v>3814351.5337700364</v>
      </c>
      <c r="AY91" s="13">
        <f>$I$36*$AY$36</f>
        <v>0</v>
      </c>
      <c r="AZ91" s="13">
        <f>$I$36*$AZ$36</f>
        <v>0</v>
      </c>
      <c r="BA91" s="13">
        <f>$I$36*$BA$36</f>
        <v>675108.25274235837</v>
      </c>
      <c r="BB91" s="13">
        <f>$I$36*$BB$36</f>
        <v>0</v>
      </c>
      <c r="BC91" s="13">
        <f>$I$36*$BC$36</f>
        <v>0</v>
      </c>
      <c r="BD91" s="13">
        <f>$I$36*$BD$36</f>
        <v>0</v>
      </c>
    </row>
    <row r="92" spans="1:56" ht="11.25" customHeight="1" x14ac:dyDescent="0.25">
      <c r="A92" s="9" t="s">
        <v>40</v>
      </c>
      <c r="B92" s="9" t="s">
        <v>867</v>
      </c>
      <c r="C92" s="9" t="s">
        <v>868</v>
      </c>
      <c r="D92" s="9" t="s">
        <v>881</v>
      </c>
      <c r="E92" s="9" t="s">
        <v>882</v>
      </c>
      <c r="F92" s="9" t="s">
        <v>883</v>
      </c>
      <c r="G92" s="9" t="s">
        <v>884</v>
      </c>
      <c r="L92" s="13">
        <f>$I$37*$L$37</f>
        <v>0</v>
      </c>
      <c r="M92" s="13">
        <f>$I$37*$M$37</f>
        <v>0</v>
      </c>
      <c r="N92" s="13">
        <f ca="1">$I$37*$N$37</f>
        <v>0</v>
      </c>
      <c r="O92" s="13">
        <f>$I$37*$O$37</f>
        <v>0</v>
      </c>
      <c r="P92" s="13">
        <f>$I$37*$P$37</f>
        <v>0</v>
      </c>
      <c r="Q92" s="13">
        <f>$I$37*$Q$37</f>
        <v>0</v>
      </c>
      <c r="R92" s="13">
        <f>$I$37*$R$37</f>
        <v>0</v>
      </c>
      <c r="S92" s="13">
        <f>$I$37*$S$37</f>
        <v>0</v>
      </c>
      <c r="T92" s="13">
        <f>$I$37*$T$37</f>
        <v>0</v>
      </c>
      <c r="U92" s="13">
        <f>$I$37*$U$37</f>
        <v>0</v>
      </c>
      <c r="V92" s="13">
        <f>$I$37*$V$37</f>
        <v>0</v>
      </c>
      <c r="W92" s="13">
        <f>$I$37*$W$37</f>
        <v>0</v>
      </c>
      <c r="X92" s="13">
        <f>$I$37*$X$37</f>
        <v>0</v>
      </c>
      <c r="Y92" s="13">
        <f>$I$37*$Y$37</f>
        <v>0</v>
      </c>
      <c r="Z92" s="13">
        <f>$I$37*$Z$37</f>
        <v>0</v>
      </c>
      <c r="AA92" s="13">
        <f>$I$37*$AA$37</f>
        <v>0</v>
      </c>
      <c r="AB92" s="13">
        <f ca="1">$I$37*$AB$37</f>
        <v>0</v>
      </c>
      <c r="AC92" s="13">
        <f ca="1">$I$37*$AC$37</f>
        <v>0</v>
      </c>
      <c r="AD92" s="13">
        <f>$I$37*$AD$37</f>
        <v>0</v>
      </c>
      <c r="AE92" s="13">
        <f>$I$37*$AE$37</f>
        <v>0</v>
      </c>
      <c r="AF92" s="13">
        <f ca="1">$I$37*$AF$37</f>
        <v>0</v>
      </c>
      <c r="AG92" s="13">
        <f ca="1">$I$37*$AG$37</f>
        <v>0</v>
      </c>
      <c r="AI92" s="13">
        <f>$I$37*$AI$37</f>
        <v>0</v>
      </c>
      <c r="AJ92" s="13">
        <f>$I$37*$AJ$37</f>
        <v>0</v>
      </c>
      <c r="AK92" s="13">
        <f>$I$37*$AK$37</f>
        <v>0</v>
      </c>
      <c r="AL92" s="13">
        <f>$I$37*$AL$37</f>
        <v>0</v>
      </c>
      <c r="AM92" s="13">
        <f>$I$37*$AM$37</f>
        <v>0</v>
      </c>
      <c r="AN92" s="13">
        <f>$I$37*$AN$37</f>
        <v>0</v>
      </c>
      <c r="AO92" s="13">
        <f>$I$37*$AO$37</f>
        <v>0</v>
      </c>
      <c r="AP92" s="13">
        <f>$I$37*$AP$37</f>
        <v>0</v>
      </c>
      <c r="AQ92" s="13">
        <f>$I$37*$AQ$37</f>
        <v>0</v>
      </c>
      <c r="AR92" s="13">
        <f>$I$37*$AR$37</f>
        <v>0</v>
      </c>
      <c r="AS92" s="13">
        <f>$I$37*$AS$37</f>
        <v>0</v>
      </c>
      <c r="AT92" s="13">
        <f>$I$37*$AT$37</f>
        <v>0</v>
      </c>
      <c r="AU92" s="13">
        <f>$I$37*$AU$37</f>
        <v>0</v>
      </c>
      <c r="AV92" s="13">
        <f>$I$37*$AV$37</f>
        <v>0</v>
      </c>
      <c r="AW92" s="13">
        <f>$I$37*$AW$37</f>
        <v>0</v>
      </c>
      <c r="AX92" s="13">
        <f>$I$37*$AX$37</f>
        <v>0</v>
      </c>
      <c r="AY92" s="13">
        <f>$I$37*$AY$37</f>
        <v>0</v>
      </c>
      <c r="AZ92" s="13">
        <f>$I$37*$AZ$37</f>
        <v>0</v>
      </c>
      <c r="BA92" s="13">
        <f>$I$37*$BA$37</f>
        <v>0</v>
      </c>
      <c r="BB92" s="13">
        <f>$I$37*$BB$37</f>
        <v>0</v>
      </c>
      <c r="BC92" s="13">
        <f>$I$37*$BC$37</f>
        <v>0</v>
      </c>
      <c r="BD92" s="13">
        <f>$I$37*$BD$37</f>
        <v>0</v>
      </c>
    </row>
    <row r="93" spans="1:56" ht="11.25" customHeight="1" x14ac:dyDescent="0.25">
      <c r="A93" s="9" t="s">
        <v>40</v>
      </c>
      <c r="B93" s="9" t="s">
        <v>867</v>
      </c>
      <c r="C93" s="9" t="s">
        <v>868</v>
      </c>
      <c r="D93" s="9" t="s">
        <v>881</v>
      </c>
      <c r="E93" s="9" t="s">
        <v>882</v>
      </c>
      <c r="F93" s="9" t="s">
        <v>883</v>
      </c>
      <c r="G93" s="9" t="s">
        <v>885</v>
      </c>
      <c r="L93" s="13">
        <f>$I$38*$L$38</f>
        <v>0</v>
      </c>
      <c r="M93" s="13">
        <f>$I$38*$M$38</f>
        <v>0</v>
      </c>
      <c r="N93" s="13">
        <f ca="1">$I$38*$N$38</f>
        <v>0</v>
      </c>
      <c r="O93" s="13">
        <f>$I$38*$O$38</f>
        <v>0</v>
      </c>
      <c r="P93" s="13">
        <f>$I$38*$P$38</f>
        <v>0</v>
      </c>
      <c r="Q93" s="13">
        <f>$I$38*$Q$38</f>
        <v>0</v>
      </c>
      <c r="R93" s="13">
        <f>$I$38*$R$38</f>
        <v>0</v>
      </c>
      <c r="S93" s="13">
        <f>$I$38*$S$38</f>
        <v>0</v>
      </c>
      <c r="T93" s="13">
        <f>$I$38*$T$38</f>
        <v>0</v>
      </c>
      <c r="U93" s="13">
        <f>$I$38*$U$38</f>
        <v>0</v>
      </c>
      <c r="V93" s="13">
        <f>$I$38*$V$38</f>
        <v>0</v>
      </c>
      <c r="W93" s="13">
        <f>$I$38*$W$38</f>
        <v>0</v>
      </c>
      <c r="X93" s="13">
        <f>$I$38*$X$38</f>
        <v>0</v>
      </c>
      <c r="Y93" s="13">
        <f>$I$38*$Y$38</f>
        <v>0</v>
      </c>
      <c r="Z93" s="13">
        <f>$I$38*$Z$38</f>
        <v>0</v>
      </c>
      <c r="AA93" s="13">
        <f>$I$38*$AA$38</f>
        <v>0</v>
      </c>
      <c r="AB93" s="13">
        <f ca="1">$I$38*$AB$38</f>
        <v>0</v>
      </c>
      <c r="AC93" s="13">
        <f ca="1">$I$38*$AC$38</f>
        <v>0</v>
      </c>
      <c r="AD93" s="13">
        <f>$I$38*$AD$38</f>
        <v>0</v>
      </c>
      <c r="AE93" s="13">
        <f>$I$38*$AE$38</f>
        <v>0</v>
      </c>
      <c r="AF93" s="13">
        <f ca="1">$I$38*$AF$38</f>
        <v>0</v>
      </c>
      <c r="AG93" s="13">
        <f ca="1">$I$38*$AG$38</f>
        <v>0</v>
      </c>
      <c r="AI93" s="13">
        <f>$I$38*$AI$38</f>
        <v>0</v>
      </c>
      <c r="AJ93" s="13">
        <f>$I$38*$AJ$38</f>
        <v>0</v>
      </c>
      <c r="AK93" s="13">
        <f>$I$38*$AK$38</f>
        <v>0</v>
      </c>
      <c r="AL93" s="13">
        <f>$I$38*$AL$38</f>
        <v>0</v>
      </c>
      <c r="AM93" s="13">
        <f>$I$38*$AM$38</f>
        <v>0</v>
      </c>
      <c r="AN93" s="13">
        <f>$I$38*$AN$38</f>
        <v>0</v>
      </c>
      <c r="AO93" s="13">
        <f>$I$38*$AO$38</f>
        <v>0</v>
      </c>
      <c r="AP93" s="13">
        <f>$I$38*$AP$38</f>
        <v>0</v>
      </c>
      <c r="AQ93" s="13">
        <f>$I$38*$AQ$38</f>
        <v>0</v>
      </c>
      <c r="AR93" s="13">
        <f>$I$38*$AR$38</f>
        <v>0</v>
      </c>
      <c r="AS93" s="13">
        <f>$I$38*$AS$38</f>
        <v>0</v>
      </c>
      <c r="AT93" s="13">
        <f>$I$38*$AT$38</f>
        <v>0</v>
      </c>
      <c r="AU93" s="13">
        <f>$I$38*$AU$38</f>
        <v>0</v>
      </c>
      <c r="AV93" s="13">
        <f>$I$38*$AV$38</f>
        <v>0</v>
      </c>
      <c r="AW93" s="13">
        <f>$I$38*$AW$38</f>
        <v>0</v>
      </c>
      <c r="AX93" s="13">
        <f>$I$38*$AX$38</f>
        <v>0</v>
      </c>
      <c r="AY93" s="13">
        <f>$I$38*$AY$38</f>
        <v>0</v>
      </c>
      <c r="AZ93" s="13">
        <f>$I$38*$AZ$38</f>
        <v>0</v>
      </c>
      <c r="BA93" s="13">
        <f>$I$38*$BA$38</f>
        <v>0</v>
      </c>
      <c r="BB93" s="13">
        <f>$I$38*$BB$38</f>
        <v>0</v>
      </c>
      <c r="BC93" s="13">
        <f>$I$38*$BC$38</f>
        <v>0</v>
      </c>
      <c r="BD93" s="13">
        <f>$I$38*$BD$38</f>
        <v>0</v>
      </c>
    </row>
    <row r="94" spans="1:56" ht="11.25" customHeight="1" x14ac:dyDescent="0.25">
      <c r="A94" s="9" t="s">
        <v>40</v>
      </c>
      <c r="B94" s="9" t="s">
        <v>867</v>
      </c>
      <c r="C94" s="9" t="s">
        <v>868</v>
      </c>
      <c r="D94" s="9" t="s">
        <v>881</v>
      </c>
      <c r="E94" s="9" t="s">
        <v>882</v>
      </c>
      <c r="F94" s="9" t="s">
        <v>883</v>
      </c>
      <c r="G94" s="9" t="s">
        <v>886</v>
      </c>
      <c r="L94" s="13">
        <f>$I$39*$L$39</f>
        <v>0</v>
      </c>
      <c r="M94" s="13">
        <f>$I$39*$M$39</f>
        <v>0</v>
      </c>
      <c r="N94" s="13">
        <f ca="1">$I$39*$N$39</f>
        <v>0</v>
      </c>
      <c r="O94" s="13">
        <f>$I$39*$O$39</f>
        <v>0</v>
      </c>
      <c r="P94" s="13">
        <f>$I$39*$P$39</f>
        <v>0</v>
      </c>
      <c r="Q94" s="13">
        <f>$I$39*$Q$39</f>
        <v>0</v>
      </c>
      <c r="R94" s="13">
        <f>$I$39*$R$39</f>
        <v>0</v>
      </c>
      <c r="S94" s="13">
        <f>$I$39*$S$39</f>
        <v>0</v>
      </c>
      <c r="T94" s="13">
        <f>$I$39*$T$39</f>
        <v>0</v>
      </c>
      <c r="U94" s="13">
        <f>$I$39*$U$39</f>
        <v>0</v>
      </c>
      <c r="V94" s="13">
        <f>$I$39*$V$39</f>
        <v>0</v>
      </c>
      <c r="W94" s="13">
        <f>$I$39*$W$39</f>
        <v>0</v>
      </c>
      <c r="X94" s="13">
        <f>$I$39*$X$39</f>
        <v>0</v>
      </c>
      <c r="Y94" s="13">
        <f>$I$39*$Y$39</f>
        <v>0</v>
      </c>
      <c r="Z94" s="13">
        <f>$I$39*$Z$39</f>
        <v>0</v>
      </c>
      <c r="AA94" s="13">
        <f>$I$39*$AA$39</f>
        <v>0</v>
      </c>
      <c r="AB94" s="13">
        <f ca="1">$I$39*$AB$39</f>
        <v>0</v>
      </c>
      <c r="AC94" s="13">
        <f ca="1">$I$39*$AC$39</f>
        <v>0</v>
      </c>
      <c r="AD94" s="13">
        <f>$I$39*$AD$39</f>
        <v>0</v>
      </c>
      <c r="AE94" s="13">
        <f>$I$39*$AE$39</f>
        <v>0</v>
      </c>
      <c r="AF94" s="13">
        <f ca="1">$I$39*$AF$39</f>
        <v>0</v>
      </c>
      <c r="AG94" s="13">
        <f ca="1">$I$39*$AG$39</f>
        <v>0</v>
      </c>
      <c r="AI94" s="13">
        <f>$I$39*$AI$39</f>
        <v>0</v>
      </c>
      <c r="AJ94" s="13">
        <f>$I$39*$AJ$39</f>
        <v>0</v>
      </c>
      <c r="AK94" s="13">
        <f>$I$39*$AK$39</f>
        <v>0</v>
      </c>
      <c r="AL94" s="13">
        <f>$I$39*$AL$39</f>
        <v>0</v>
      </c>
      <c r="AM94" s="13">
        <f>$I$39*$AM$39</f>
        <v>0</v>
      </c>
      <c r="AN94" s="13">
        <f>$I$39*$AN$39</f>
        <v>0</v>
      </c>
      <c r="AO94" s="13">
        <f>$I$39*$AO$39</f>
        <v>0</v>
      </c>
      <c r="AP94" s="13">
        <f>$I$39*$AP$39</f>
        <v>0</v>
      </c>
      <c r="AQ94" s="13">
        <f>$I$39*$AQ$39</f>
        <v>0</v>
      </c>
      <c r="AR94" s="13">
        <f>$I$39*$AR$39</f>
        <v>0</v>
      </c>
      <c r="AS94" s="13">
        <f>$I$39*$AS$39</f>
        <v>0</v>
      </c>
      <c r="AT94" s="13">
        <f>$I$39*$AT$39</f>
        <v>0</v>
      </c>
      <c r="AU94" s="13">
        <f>$I$39*$AU$39</f>
        <v>0</v>
      </c>
      <c r="AV94" s="13">
        <f>$I$39*$AV$39</f>
        <v>0</v>
      </c>
      <c r="AW94" s="13">
        <f>$I$39*$AW$39</f>
        <v>0</v>
      </c>
      <c r="AX94" s="13">
        <f>$I$39*$AX$39</f>
        <v>0</v>
      </c>
      <c r="AY94" s="13">
        <f>$I$39*$AY$39</f>
        <v>0</v>
      </c>
      <c r="AZ94" s="13">
        <f>$I$39*$AZ$39</f>
        <v>0</v>
      </c>
      <c r="BA94" s="13">
        <f>$I$39*$BA$39</f>
        <v>0</v>
      </c>
      <c r="BB94" s="13">
        <f>$I$39*$BB$39</f>
        <v>0</v>
      </c>
      <c r="BC94" s="13">
        <f>$I$39*$BC$39</f>
        <v>0</v>
      </c>
      <c r="BD94" s="13">
        <f>$I$39*$BD$39</f>
        <v>0</v>
      </c>
    </row>
    <row r="95" spans="1:56" ht="11.25" customHeight="1" x14ac:dyDescent="0.25">
      <c r="A95" s="9" t="s">
        <v>40</v>
      </c>
      <c r="B95" s="9" t="s">
        <v>875</v>
      </c>
      <c r="C95" s="9" t="s">
        <v>876</v>
      </c>
      <c r="D95" s="9" t="s">
        <v>887</v>
      </c>
      <c r="E95" s="9" t="s">
        <v>888</v>
      </c>
      <c r="F95" s="9" t="s">
        <v>889</v>
      </c>
      <c r="G95" s="9" t="s">
        <v>890</v>
      </c>
      <c r="L95" s="13">
        <f>$I$40*$L$40</f>
        <v>0</v>
      </c>
      <c r="M95" s="13">
        <f>$I$40*$M$40</f>
        <v>0</v>
      </c>
      <c r="N95" s="13">
        <f ca="1">$I$40*$N$40</f>
        <v>0</v>
      </c>
      <c r="O95" s="13">
        <f>$I$40*$O$40</f>
        <v>0</v>
      </c>
      <c r="P95" s="13">
        <f>$I$40*$P$40</f>
        <v>0</v>
      </c>
      <c r="Q95" s="13">
        <f>$I$40*$Q$40</f>
        <v>0</v>
      </c>
      <c r="R95" s="13">
        <f>$I$40*$R$40</f>
        <v>0</v>
      </c>
      <c r="S95" s="13">
        <f>$I$40*$S$40</f>
        <v>0</v>
      </c>
      <c r="T95" s="13">
        <f>$I$40*$T$40</f>
        <v>0</v>
      </c>
      <c r="U95" s="13">
        <f>$I$40*$U$40</f>
        <v>0</v>
      </c>
      <c r="V95" s="13">
        <f>$I$40*$V$40</f>
        <v>0</v>
      </c>
      <c r="W95" s="13">
        <f>$I$40*$W$40</f>
        <v>0</v>
      </c>
      <c r="X95" s="13">
        <f>$I$40*$X$40</f>
        <v>0</v>
      </c>
      <c r="Y95" s="13">
        <f>$I$40*$Y$40</f>
        <v>0</v>
      </c>
      <c r="Z95" s="13">
        <f>$I$40*$Z$40</f>
        <v>0</v>
      </c>
      <c r="AA95" s="13">
        <f>$I$40*$AA$40</f>
        <v>0</v>
      </c>
      <c r="AB95" s="13">
        <f ca="1">$I$40*$AB$40</f>
        <v>0</v>
      </c>
      <c r="AC95" s="13">
        <f ca="1">$I$40*$AC$40</f>
        <v>0</v>
      </c>
      <c r="AD95" s="13">
        <f>$I$40*$AD$40</f>
        <v>0</v>
      </c>
      <c r="AE95" s="13">
        <f>$I$40*$AE$40</f>
        <v>0</v>
      </c>
      <c r="AF95" s="13">
        <f ca="1">$I$40*$AF$40</f>
        <v>0</v>
      </c>
      <c r="AG95" s="13">
        <f ca="1">$I$40*$AG$40</f>
        <v>0</v>
      </c>
      <c r="AI95" s="13">
        <f>$I$40*$AI$40</f>
        <v>0</v>
      </c>
      <c r="AJ95" s="13">
        <f>$I$40*$AJ$40</f>
        <v>0</v>
      </c>
      <c r="AK95" s="13">
        <f>$I$40*$AK$40</f>
        <v>0</v>
      </c>
      <c r="AL95" s="13">
        <f>$I$40*$AL$40</f>
        <v>0</v>
      </c>
      <c r="AM95" s="13">
        <f>$I$40*$AM$40</f>
        <v>0</v>
      </c>
      <c r="AN95" s="13">
        <f>$I$40*$AN$40</f>
        <v>0</v>
      </c>
      <c r="AO95" s="13">
        <f>$I$40*$AO$40</f>
        <v>0</v>
      </c>
      <c r="AP95" s="13">
        <f>$I$40*$AP$40</f>
        <v>0</v>
      </c>
      <c r="AQ95" s="13">
        <f>$I$40*$AQ$40</f>
        <v>0</v>
      </c>
      <c r="AR95" s="13">
        <f>$I$40*$AR$40</f>
        <v>0</v>
      </c>
      <c r="AS95" s="13">
        <f>$I$40*$AS$40</f>
        <v>0</v>
      </c>
      <c r="AT95" s="13">
        <f>$I$40*$AT$40</f>
        <v>0</v>
      </c>
      <c r="AU95" s="13">
        <f>$I$40*$AU$40</f>
        <v>0</v>
      </c>
      <c r="AV95" s="13">
        <f>$I$40*$AV$40</f>
        <v>0</v>
      </c>
      <c r="AW95" s="13">
        <f>$I$40*$AW$40</f>
        <v>0</v>
      </c>
      <c r="AX95" s="13">
        <f>$I$40*$AX$40</f>
        <v>0</v>
      </c>
      <c r="AY95" s="13">
        <f>$I$40*$AY$40</f>
        <v>0</v>
      </c>
      <c r="AZ95" s="13">
        <f>$I$40*$AZ$40</f>
        <v>0</v>
      </c>
      <c r="BA95" s="13">
        <f>$I$40*$BA$40</f>
        <v>0</v>
      </c>
      <c r="BB95" s="13">
        <f>$I$40*$BB$40</f>
        <v>0</v>
      </c>
      <c r="BC95" s="13">
        <f>$I$40*$BC$40</f>
        <v>0</v>
      </c>
      <c r="BD95" s="13">
        <f>$I$40*$BD$40</f>
        <v>0</v>
      </c>
    </row>
    <row r="96" spans="1:56" ht="11.25" customHeight="1" x14ac:dyDescent="0.25">
      <c r="A96" s="9" t="s">
        <v>40</v>
      </c>
      <c r="B96" s="9" t="s">
        <v>867</v>
      </c>
      <c r="C96" s="9" t="s">
        <v>868</v>
      </c>
      <c r="D96" s="9" t="s">
        <v>891</v>
      </c>
      <c r="E96" s="9" t="s">
        <v>892</v>
      </c>
      <c r="F96" s="9" t="s">
        <v>893</v>
      </c>
      <c r="G96" s="9" t="s">
        <v>894</v>
      </c>
      <c r="L96" s="13">
        <f>$I$41*$L$41</f>
        <v>0</v>
      </c>
      <c r="M96" s="13">
        <f>$I$41*$M$41</f>
        <v>0</v>
      </c>
      <c r="N96" s="13">
        <f ca="1">$I$41*$N$41</f>
        <v>0</v>
      </c>
      <c r="O96" s="13">
        <f>$I$41*$O$41</f>
        <v>0</v>
      </c>
      <c r="P96" s="13">
        <f>$I$41*$P$41</f>
        <v>0</v>
      </c>
      <c r="Q96" s="13">
        <f>$I$41*$Q$41</f>
        <v>0</v>
      </c>
      <c r="R96" s="13">
        <f>$I$41*$R$41</f>
        <v>0</v>
      </c>
      <c r="S96" s="13">
        <f>$I$41*$S$41</f>
        <v>0</v>
      </c>
      <c r="T96" s="13">
        <f>$I$41*$T$41</f>
        <v>0</v>
      </c>
      <c r="U96" s="13">
        <f>$I$41*$U$41</f>
        <v>0</v>
      </c>
      <c r="V96" s="13">
        <f>$I$41*$V$41</f>
        <v>0</v>
      </c>
      <c r="W96" s="13">
        <f>$I$41*$W$41</f>
        <v>0</v>
      </c>
      <c r="X96" s="13">
        <f>$I$41*$X$41</f>
        <v>0</v>
      </c>
      <c r="Y96" s="13">
        <f>$I$41*$Y$41</f>
        <v>0</v>
      </c>
      <c r="Z96" s="13">
        <f>$I$41*$Z$41</f>
        <v>0</v>
      </c>
      <c r="AA96" s="13">
        <f>$I$41*$AA$41</f>
        <v>0</v>
      </c>
      <c r="AB96" s="13">
        <f ca="1">$I$41*$AB$41</f>
        <v>0</v>
      </c>
      <c r="AC96" s="13">
        <f ca="1">$I$41*$AC$41</f>
        <v>0</v>
      </c>
      <c r="AD96" s="13">
        <f>$I$41*$AD$41</f>
        <v>0</v>
      </c>
      <c r="AE96" s="13">
        <f>$I$41*$AE$41</f>
        <v>0</v>
      </c>
      <c r="AF96" s="13">
        <f ca="1">$I$41*$AF$41</f>
        <v>0</v>
      </c>
      <c r="AG96" s="13">
        <f ca="1">$I$41*$AG$41</f>
        <v>0</v>
      </c>
      <c r="AI96" s="13">
        <f>$I$41*$AI$41</f>
        <v>0</v>
      </c>
      <c r="AJ96" s="13">
        <f>$I$41*$AJ$41</f>
        <v>0</v>
      </c>
      <c r="AK96" s="13">
        <f>$I$41*$AK$41</f>
        <v>0</v>
      </c>
      <c r="AL96" s="13">
        <f>$I$41*$AL$41</f>
        <v>0</v>
      </c>
      <c r="AM96" s="13">
        <f>$I$41*$AM$41</f>
        <v>0</v>
      </c>
      <c r="AN96" s="13">
        <f>$I$41*$AN$41</f>
        <v>0</v>
      </c>
      <c r="AO96" s="13">
        <f>$I$41*$AO$41</f>
        <v>0</v>
      </c>
      <c r="AP96" s="13">
        <f>$I$41*$AP$41</f>
        <v>0</v>
      </c>
      <c r="AQ96" s="13">
        <f>$I$41*$AQ$41</f>
        <v>0</v>
      </c>
      <c r="AR96" s="13">
        <f>$I$41*$AR$41</f>
        <v>0</v>
      </c>
      <c r="AS96" s="13">
        <f>$I$41*$AS$41</f>
        <v>0</v>
      </c>
      <c r="AT96" s="13">
        <f>$I$41*$AT$41</f>
        <v>0</v>
      </c>
      <c r="AU96" s="13">
        <f>$I$41*$AU$41</f>
        <v>0</v>
      </c>
      <c r="AV96" s="13">
        <f>$I$41*$AV$41</f>
        <v>0</v>
      </c>
      <c r="AW96" s="13">
        <f>$I$41*$AW$41</f>
        <v>0</v>
      </c>
      <c r="AX96" s="13">
        <f>$I$41*$AX$41</f>
        <v>0</v>
      </c>
      <c r="AY96" s="13">
        <f>$I$41*$AY$41</f>
        <v>0</v>
      </c>
      <c r="AZ96" s="13">
        <f>$I$41*$AZ$41</f>
        <v>0</v>
      </c>
      <c r="BA96" s="13">
        <f>$I$41*$BA$41</f>
        <v>0</v>
      </c>
      <c r="BB96" s="13">
        <f>$I$41*$BB$41</f>
        <v>0</v>
      </c>
      <c r="BC96" s="13">
        <f>$I$41*$BC$41</f>
        <v>0</v>
      </c>
      <c r="BD96" s="13">
        <f>$I$41*$BD$41</f>
        <v>0</v>
      </c>
    </row>
    <row r="97" spans="1:56" ht="11.25" customHeight="1" x14ac:dyDescent="0.25">
      <c r="A97" s="9" t="s">
        <v>40</v>
      </c>
      <c r="B97" s="9" t="s">
        <v>867</v>
      </c>
      <c r="C97" s="9" t="s">
        <v>868</v>
      </c>
      <c r="D97" s="9" t="s">
        <v>891</v>
      </c>
      <c r="E97" s="9" t="s">
        <v>892</v>
      </c>
      <c r="F97" s="9" t="s">
        <v>893</v>
      </c>
      <c r="G97" s="9" t="s">
        <v>895</v>
      </c>
      <c r="L97" s="13">
        <f>$I$42*$L$42</f>
        <v>0</v>
      </c>
      <c r="M97" s="13">
        <f>$I$42*$M$42</f>
        <v>0</v>
      </c>
      <c r="N97" s="13">
        <f ca="1">$I$42*$N$42</f>
        <v>0</v>
      </c>
      <c r="O97" s="13">
        <f>$I$42*$O$42</f>
        <v>0</v>
      </c>
      <c r="P97" s="13">
        <f>$I$42*$P$42</f>
        <v>0</v>
      </c>
      <c r="Q97" s="13">
        <f>$I$42*$Q$42</f>
        <v>0</v>
      </c>
      <c r="R97" s="13">
        <f>$I$42*$R$42</f>
        <v>0</v>
      </c>
      <c r="S97" s="13">
        <f>$I$42*$S$42</f>
        <v>0</v>
      </c>
      <c r="T97" s="13">
        <f>$I$42*$T$42</f>
        <v>0</v>
      </c>
      <c r="U97" s="13">
        <f>$I$42*$U$42</f>
        <v>0</v>
      </c>
      <c r="V97" s="13">
        <f>$I$42*$V$42</f>
        <v>0</v>
      </c>
      <c r="W97" s="13">
        <f>$I$42*$W$42</f>
        <v>0</v>
      </c>
      <c r="X97" s="13">
        <f>$I$42*$X$42</f>
        <v>0</v>
      </c>
      <c r="Y97" s="13">
        <f>$I$42*$Y$42</f>
        <v>0</v>
      </c>
      <c r="Z97" s="13">
        <f>$I$42*$Z$42</f>
        <v>0</v>
      </c>
      <c r="AA97" s="13">
        <f>$I$42*$AA$42</f>
        <v>0</v>
      </c>
      <c r="AB97" s="13">
        <f ca="1">$I$42*$AB$42</f>
        <v>0</v>
      </c>
      <c r="AC97" s="13">
        <f ca="1">$I$42*$AC$42</f>
        <v>0</v>
      </c>
      <c r="AD97" s="13">
        <f>$I$42*$AD$42</f>
        <v>0</v>
      </c>
      <c r="AE97" s="13">
        <f>$I$42*$AE$42</f>
        <v>0</v>
      </c>
      <c r="AF97" s="13">
        <f ca="1">$I$42*$AF$42</f>
        <v>0</v>
      </c>
      <c r="AG97" s="13">
        <f ca="1">$I$42*$AG$42</f>
        <v>0</v>
      </c>
      <c r="AI97" s="13">
        <f>$I$42*$AI$42</f>
        <v>0</v>
      </c>
      <c r="AJ97" s="13">
        <f>$I$42*$AJ$42</f>
        <v>0</v>
      </c>
      <c r="AK97" s="13">
        <f>$I$42*$AK$42</f>
        <v>0</v>
      </c>
      <c r="AL97" s="13">
        <f>$I$42*$AL$42</f>
        <v>0</v>
      </c>
      <c r="AM97" s="13">
        <f>$I$42*$AM$42</f>
        <v>0</v>
      </c>
      <c r="AN97" s="13">
        <f>$I$42*$AN$42</f>
        <v>0</v>
      </c>
      <c r="AO97" s="13">
        <f>$I$42*$AO$42</f>
        <v>0</v>
      </c>
      <c r="AP97" s="13">
        <f>$I$42*$AP$42</f>
        <v>0</v>
      </c>
      <c r="AQ97" s="13">
        <f>$I$42*$AQ$42</f>
        <v>0</v>
      </c>
      <c r="AR97" s="13">
        <f>$I$42*$AR$42</f>
        <v>0</v>
      </c>
      <c r="AS97" s="13">
        <f>$I$42*$AS$42</f>
        <v>0</v>
      </c>
      <c r="AT97" s="13">
        <f>$I$42*$AT$42</f>
        <v>0</v>
      </c>
      <c r="AU97" s="13">
        <f>$I$42*$AU$42</f>
        <v>0</v>
      </c>
      <c r="AV97" s="13">
        <f>$I$42*$AV$42</f>
        <v>0</v>
      </c>
      <c r="AW97" s="13">
        <f>$I$42*$AW$42</f>
        <v>0</v>
      </c>
      <c r="AX97" s="13">
        <f>$I$42*$AX$42</f>
        <v>0</v>
      </c>
      <c r="AY97" s="13">
        <f>$I$42*$AY$42</f>
        <v>0</v>
      </c>
      <c r="AZ97" s="13">
        <f>$I$42*$AZ$42</f>
        <v>0</v>
      </c>
      <c r="BA97" s="13">
        <f>$I$42*$BA$42</f>
        <v>0</v>
      </c>
      <c r="BB97" s="13">
        <f>$I$42*$BB$42</f>
        <v>0</v>
      </c>
      <c r="BC97" s="13">
        <f>$I$42*$BC$42</f>
        <v>0</v>
      </c>
      <c r="BD97" s="13">
        <f>$I$42*$BD$42</f>
        <v>0</v>
      </c>
    </row>
    <row r="98" spans="1:56" ht="11.25" customHeight="1" x14ac:dyDescent="0.25">
      <c r="A98" s="9" t="s">
        <v>40</v>
      </c>
      <c r="B98" s="9" t="s">
        <v>867</v>
      </c>
      <c r="C98" s="9" t="s">
        <v>868</v>
      </c>
      <c r="D98" s="9" t="s">
        <v>891</v>
      </c>
      <c r="E98" s="9" t="s">
        <v>892</v>
      </c>
      <c r="F98" s="9" t="s">
        <v>893</v>
      </c>
      <c r="G98" s="9" t="s">
        <v>896</v>
      </c>
      <c r="L98" s="13">
        <f>$I$43*$L$43</f>
        <v>0</v>
      </c>
      <c r="M98" s="13">
        <f>$I$43*$M$43</f>
        <v>0</v>
      </c>
      <c r="N98" s="13">
        <f ca="1">$I$43*$N$43</f>
        <v>0</v>
      </c>
      <c r="O98" s="13">
        <f>$I$43*$O$43</f>
        <v>0</v>
      </c>
      <c r="P98" s="13">
        <f>$I$43*$P$43</f>
        <v>0</v>
      </c>
      <c r="Q98" s="13">
        <f>$I$43*$Q$43</f>
        <v>0</v>
      </c>
      <c r="R98" s="13">
        <f>$I$43*$R$43</f>
        <v>0</v>
      </c>
      <c r="S98" s="13">
        <f>$I$43*$S$43</f>
        <v>0</v>
      </c>
      <c r="T98" s="13">
        <f>$I$43*$T$43</f>
        <v>0</v>
      </c>
      <c r="U98" s="13">
        <f>$I$43*$U$43</f>
        <v>0</v>
      </c>
      <c r="V98" s="13">
        <f>$I$43*$V$43</f>
        <v>0</v>
      </c>
      <c r="W98" s="13">
        <f>$I$43*$W$43</f>
        <v>0</v>
      </c>
      <c r="X98" s="13">
        <f>$I$43*$X$43</f>
        <v>0</v>
      </c>
      <c r="Y98" s="13">
        <f>$I$43*$Y$43</f>
        <v>0</v>
      </c>
      <c r="Z98" s="13">
        <f>$I$43*$Z$43</f>
        <v>0</v>
      </c>
      <c r="AA98" s="13">
        <f>$I$43*$AA$43</f>
        <v>0</v>
      </c>
      <c r="AB98" s="13">
        <f ca="1">$I$43*$AB$43</f>
        <v>0</v>
      </c>
      <c r="AC98" s="13">
        <f ca="1">$I$43*$AC$43</f>
        <v>0</v>
      </c>
      <c r="AD98" s="13">
        <f>$I$43*$AD$43</f>
        <v>0</v>
      </c>
      <c r="AE98" s="13">
        <f>$I$43*$AE$43</f>
        <v>0</v>
      </c>
      <c r="AF98" s="13">
        <f ca="1">$I$43*$AF$43</f>
        <v>0</v>
      </c>
      <c r="AG98" s="13">
        <f ca="1">$I$43*$AG$43</f>
        <v>0</v>
      </c>
      <c r="AI98" s="13">
        <f>$I$43*$AI$43</f>
        <v>0</v>
      </c>
      <c r="AJ98" s="13">
        <f>$I$43*$AJ$43</f>
        <v>0</v>
      </c>
      <c r="AK98" s="13">
        <f>$I$43*$AK$43</f>
        <v>0</v>
      </c>
      <c r="AL98" s="13">
        <f>$I$43*$AL$43</f>
        <v>0</v>
      </c>
      <c r="AM98" s="13">
        <f>$I$43*$AM$43</f>
        <v>0</v>
      </c>
      <c r="AN98" s="13">
        <f>$I$43*$AN$43</f>
        <v>0</v>
      </c>
      <c r="AO98" s="13">
        <f>$I$43*$AO$43</f>
        <v>0</v>
      </c>
      <c r="AP98" s="13">
        <f>$I$43*$AP$43</f>
        <v>0</v>
      </c>
      <c r="AQ98" s="13">
        <f>$I$43*$AQ$43</f>
        <v>0</v>
      </c>
      <c r="AR98" s="13">
        <f>$I$43*$AR$43</f>
        <v>0</v>
      </c>
      <c r="AS98" s="13">
        <f>$I$43*$AS$43</f>
        <v>0</v>
      </c>
      <c r="AT98" s="13">
        <f>$I$43*$AT$43</f>
        <v>0</v>
      </c>
      <c r="AU98" s="13">
        <f>$I$43*$AU$43</f>
        <v>0</v>
      </c>
      <c r="AV98" s="13">
        <f>$I$43*$AV$43</f>
        <v>0</v>
      </c>
      <c r="AW98" s="13">
        <f>$I$43*$AW$43</f>
        <v>0</v>
      </c>
      <c r="AX98" s="13">
        <f>$I$43*$AX$43</f>
        <v>0</v>
      </c>
      <c r="AY98" s="13">
        <f>$I$43*$AY$43</f>
        <v>0</v>
      </c>
      <c r="AZ98" s="13">
        <f>$I$43*$AZ$43</f>
        <v>0</v>
      </c>
      <c r="BA98" s="13">
        <f>$I$43*$BA$43</f>
        <v>0</v>
      </c>
      <c r="BB98" s="13">
        <f>$I$43*$BB$43</f>
        <v>0</v>
      </c>
      <c r="BC98" s="13">
        <f>$I$43*$BC$43</f>
        <v>0</v>
      </c>
      <c r="BD98" s="13">
        <f>$I$43*$BD$43</f>
        <v>0</v>
      </c>
    </row>
    <row r="99" spans="1:56" ht="11.25" customHeight="1" x14ac:dyDescent="0.25">
      <c r="A99" s="9" t="s">
        <v>40</v>
      </c>
      <c r="B99" s="9" t="s">
        <v>875</v>
      </c>
      <c r="C99" s="9" t="s">
        <v>876</v>
      </c>
      <c r="D99" s="9" t="s">
        <v>897</v>
      </c>
      <c r="E99" s="9" t="s">
        <v>898</v>
      </c>
      <c r="F99" s="9" t="s">
        <v>899</v>
      </c>
      <c r="G99" s="9" t="s">
        <v>900</v>
      </c>
      <c r="L99" s="13">
        <f>$I$44*$L$44</f>
        <v>0</v>
      </c>
      <c r="M99" s="13">
        <f>$I$44*$M$44</f>
        <v>0</v>
      </c>
      <c r="N99" s="13">
        <f ca="1">$I$44*$N$44</f>
        <v>0</v>
      </c>
      <c r="O99" s="13">
        <f>$I$44*$O$44</f>
        <v>0</v>
      </c>
      <c r="P99" s="13">
        <f>$I$44*$P$44</f>
        <v>0</v>
      </c>
      <c r="Q99" s="13">
        <f>$I$44*$Q$44</f>
        <v>0</v>
      </c>
      <c r="R99" s="13">
        <f>$I$44*$R$44</f>
        <v>0</v>
      </c>
      <c r="S99" s="13">
        <f>$I$44*$S$44</f>
        <v>0</v>
      </c>
      <c r="T99" s="13">
        <f>$I$44*$T$44</f>
        <v>0</v>
      </c>
      <c r="U99" s="13">
        <f>$I$44*$U$44</f>
        <v>0</v>
      </c>
      <c r="V99" s="13">
        <f>$I$44*$V$44</f>
        <v>0</v>
      </c>
      <c r="W99" s="13">
        <f>$I$44*$W$44</f>
        <v>0</v>
      </c>
      <c r="X99" s="13">
        <f>$I$44*$X$44</f>
        <v>0</v>
      </c>
      <c r="Y99" s="13">
        <f>$I$44*$Y$44</f>
        <v>0</v>
      </c>
      <c r="Z99" s="13">
        <f>$I$44*$Z$44</f>
        <v>0</v>
      </c>
      <c r="AA99" s="13">
        <f>$I$44*$AA$44</f>
        <v>0</v>
      </c>
      <c r="AB99" s="13">
        <f ca="1">$I$44*$AB$44</f>
        <v>0</v>
      </c>
      <c r="AC99" s="13">
        <f ca="1">$I$44*$AC$44</f>
        <v>0</v>
      </c>
      <c r="AD99" s="13">
        <f>$I$44*$AD$44</f>
        <v>0</v>
      </c>
      <c r="AE99" s="13">
        <f>$I$44*$AE$44</f>
        <v>0</v>
      </c>
      <c r="AF99" s="13">
        <f ca="1">$I$44*$AF$44</f>
        <v>0</v>
      </c>
      <c r="AG99" s="13">
        <f ca="1">$I$44*$AG$44</f>
        <v>0</v>
      </c>
      <c r="AI99" s="13">
        <f>$I$44*$AI$44</f>
        <v>0</v>
      </c>
      <c r="AJ99" s="13">
        <f>$I$44*$AJ$44</f>
        <v>0</v>
      </c>
      <c r="AK99" s="13">
        <f>$I$44*$AK$44</f>
        <v>0</v>
      </c>
      <c r="AL99" s="13">
        <f>$I$44*$AL$44</f>
        <v>0</v>
      </c>
      <c r="AM99" s="13">
        <f>$I$44*$AM$44</f>
        <v>0</v>
      </c>
      <c r="AN99" s="13">
        <f>$I$44*$AN$44</f>
        <v>0</v>
      </c>
      <c r="AO99" s="13">
        <f>$I$44*$AO$44</f>
        <v>0</v>
      </c>
      <c r="AP99" s="13">
        <f>$I$44*$AP$44</f>
        <v>0</v>
      </c>
      <c r="AQ99" s="13">
        <f>$I$44*$AQ$44</f>
        <v>0</v>
      </c>
      <c r="AR99" s="13">
        <f>$I$44*$AR$44</f>
        <v>0</v>
      </c>
      <c r="AS99" s="13">
        <f>$I$44*$AS$44</f>
        <v>0</v>
      </c>
      <c r="AT99" s="13">
        <f>$I$44*$AT$44</f>
        <v>0</v>
      </c>
      <c r="AU99" s="13">
        <f>$I$44*$AU$44</f>
        <v>0</v>
      </c>
      <c r="AV99" s="13">
        <f>$I$44*$AV$44</f>
        <v>0</v>
      </c>
      <c r="AW99" s="13">
        <f>$I$44*$AW$44</f>
        <v>0</v>
      </c>
      <c r="AX99" s="13">
        <f>$I$44*$AX$44</f>
        <v>0</v>
      </c>
      <c r="AY99" s="13">
        <f>$I$44*$AY$44</f>
        <v>0</v>
      </c>
      <c r="AZ99" s="13">
        <f>$I$44*$AZ$44</f>
        <v>0</v>
      </c>
      <c r="BA99" s="13">
        <f>$I$44*$BA$44</f>
        <v>0</v>
      </c>
      <c r="BB99" s="13">
        <f>$I$44*$BB$44</f>
        <v>0</v>
      </c>
      <c r="BC99" s="13">
        <f>$I$44*$BC$44</f>
        <v>0</v>
      </c>
      <c r="BD99" s="13">
        <f>$I$44*$BD$44</f>
        <v>0</v>
      </c>
    </row>
    <row r="100" spans="1:56" ht="11.25" customHeight="1" x14ac:dyDescent="0.25">
      <c r="A100" s="9" t="s">
        <v>40</v>
      </c>
      <c r="B100" s="9" t="s">
        <v>901</v>
      </c>
      <c r="C100" s="9" t="s">
        <v>902</v>
      </c>
      <c r="D100" s="9" t="s">
        <v>903</v>
      </c>
      <c r="E100" s="9" t="s">
        <v>904</v>
      </c>
      <c r="F100" s="9" t="s">
        <v>905</v>
      </c>
      <c r="G100" s="9" t="s">
        <v>906</v>
      </c>
      <c r="L100" s="13">
        <f>$I$45*$L$45</f>
        <v>0</v>
      </c>
      <c r="M100" s="13">
        <f>$I$45*$M$45</f>
        <v>0</v>
      </c>
      <c r="N100" s="13">
        <f ca="1">$I$45*$N$45</f>
        <v>0</v>
      </c>
      <c r="O100" s="13">
        <f>$I$45*$O$45</f>
        <v>0</v>
      </c>
      <c r="P100" s="13">
        <f>$I$45*$P$45</f>
        <v>0</v>
      </c>
      <c r="Q100" s="13">
        <f>$I$45*$Q$45</f>
        <v>0</v>
      </c>
      <c r="R100" s="13">
        <f>$I$45*$R$45</f>
        <v>0</v>
      </c>
      <c r="S100" s="13">
        <f>$I$45*$S$45</f>
        <v>0</v>
      </c>
      <c r="T100" s="13">
        <f>$I$45*$T$45</f>
        <v>0</v>
      </c>
      <c r="U100" s="13">
        <f>$I$45*$U$45</f>
        <v>0</v>
      </c>
      <c r="V100" s="13">
        <f>$I$45*$V$45</f>
        <v>0</v>
      </c>
      <c r="W100" s="13">
        <f>$I$45*$W$45</f>
        <v>0</v>
      </c>
      <c r="X100" s="13">
        <f>$I$45*$X$45</f>
        <v>0</v>
      </c>
      <c r="Y100" s="13">
        <f>$I$45*$Y$45</f>
        <v>0</v>
      </c>
      <c r="Z100" s="13">
        <f>$I$45*$Z$45</f>
        <v>0</v>
      </c>
      <c r="AA100" s="13">
        <f>$I$45*$AA$45</f>
        <v>0</v>
      </c>
      <c r="AB100" s="13">
        <f ca="1">$I$45*$AB$45</f>
        <v>0</v>
      </c>
      <c r="AC100" s="13">
        <f ca="1">$I$45*$AC$45</f>
        <v>0</v>
      </c>
      <c r="AD100" s="13">
        <f>$I$45*$AD$45</f>
        <v>0</v>
      </c>
      <c r="AE100" s="13">
        <f>$I$45*$AE$45</f>
        <v>0</v>
      </c>
      <c r="AF100" s="13">
        <f ca="1">$I$45*$AF$45</f>
        <v>0</v>
      </c>
      <c r="AG100" s="13">
        <f ca="1">$I$45*$AG$45</f>
        <v>0</v>
      </c>
      <c r="AI100" s="13">
        <f>$I$45*$AI$45</f>
        <v>0</v>
      </c>
      <c r="AJ100" s="13">
        <f>$I$45*$AJ$45</f>
        <v>0</v>
      </c>
      <c r="AK100" s="13">
        <f>$I$45*$AK$45</f>
        <v>0</v>
      </c>
      <c r="AL100" s="13">
        <f>$I$45*$AL$45</f>
        <v>0</v>
      </c>
      <c r="AM100" s="13">
        <f>$I$45*$AM$45</f>
        <v>0</v>
      </c>
      <c r="AN100" s="13">
        <f>$I$45*$AN$45</f>
        <v>0</v>
      </c>
      <c r="AO100" s="13">
        <f>$I$45*$AO$45</f>
        <v>0</v>
      </c>
      <c r="AP100" s="13">
        <f>$I$45*$AP$45</f>
        <v>0</v>
      </c>
      <c r="AQ100" s="13">
        <f>$I$45*$AQ$45</f>
        <v>0</v>
      </c>
      <c r="AR100" s="13">
        <f>$I$45*$AR$45</f>
        <v>0</v>
      </c>
      <c r="AS100" s="13">
        <f>$I$45*$AS$45</f>
        <v>0</v>
      </c>
      <c r="AT100" s="13">
        <f>$I$45*$AT$45</f>
        <v>0</v>
      </c>
      <c r="AU100" s="13">
        <f>$I$45*$AU$45</f>
        <v>0</v>
      </c>
      <c r="AV100" s="13">
        <f>$I$45*$AV$45</f>
        <v>0</v>
      </c>
      <c r="AW100" s="13">
        <f>$I$45*$AW$45</f>
        <v>0</v>
      </c>
      <c r="AX100" s="13">
        <f>$I$45*$AX$45</f>
        <v>0</v>
      </c>
      <c r="AY100" s="13">
        <f>$I$45*$AY$45</f>
        <v>0</v>
      </c>
      <c r="AZ100" s="13">
        <f>$I$45*$AZ$45</f>
        <v>0</v>
      </c>
      <c r="BA100" s="13">
        <f>$I$45*$BA$45</f>
        <v>0</v>
      </c>
      <c r="BB100" s="13">
        <f>$I$45*$BB$45</f>
        <v>0</v>
      </c>
      <c r="BC100" s="13">
        <f>$I$45*$BC$45</f>
        <v>0</v>
      </c>
      <c r="BD100" s="13">
        <f>$I$45*$BD$45</f>
        <v>0</v>
      </c>
    </row>
    <row r="101" spans="1:56" ht="11.25" customHeight="1" x14ac:dyDescent="0.25">
      <c r="A101" s="9" t="s">
        <v>40</v>
      </c>
      <c r="B101" s="9" t="s">
        <v>901</v>
      </c>
      <c r="C101" s="9" t="s">
        <v>902</v>
      </c>
      <c r="D101" s="9" t="s">
        <v>907</v>
      </c>
      <c r="E101" s="9" t="s">
        <v>908</v>
      </c>
      <c r="F101" s="9" t="s">
        <v>909</v>
      </c>
      <c r="G101" s="9" t="s">
        <v>910</v>
      </c>
      <c r="L101" s="13">
        <f>$I$46*$L$46</f>
        <v>0</v>
      </c>
      <c r="M101" s="13">
        <f>$I$46*$M$46</f>
        <v>0</v>
      </c>
      <c r="N101" s="13">
        <f ca="1">$I$46*$N$46</f>
        <v>0</v>
      </c>
      <c r="O101" s="13">
        <f>$I$46*$O$46</f>
        <v>0</v>
      </c>
      <c r="P101" s="13">
        <f>$I$46*$P$46</f>
        <v>0</v>
      </c>
      <c r="Q101" s="13">
        <f>$I$46*$Q$46</f>
        <v>0</v>
      </c>
      <c r="R101" s="13">
        <f>$I$46*$R$46</f>
        <v>0</v>
      </c>
      <c r="S101" s="13">
        <f>$I$46*$S$46</f>
        <v>0</v>
      </c>
      <c r="T101" s="13">
        <f>$I$46*$T$46</f>
        <v>0</v>
      </c>
      <c r="U101" s="13">
        <f>$I$46*$U$46</f>
        <v>0</v>
      </c>
      <c r="V101" s="13">
        <f>$I$46*$V$46</f>
        <v>0</v>
      </c>
      <c r="W101" s="13">
        <f>$I$46*$W$46</f>
        <v>0</v>
      </c>
      <c r="X101" s="13">
        <f>$I$46*$X$46</f>
        <v>0</v>
      </c>
      <c r="Y101" s="13">
        <f>$I$46*$Y$46</f>
        <v>0</v>
      </c>
      <c r="Z101" s="13">
        <f>$I$46*$Z$46</f>
        <v>0</v>
      </c>
      <c r="AA101" s="13">
        <f>$I$46*$AA$46</f>
        <v>0</v>
      </c>
      <c r="AB101" s="13">
        <f ca="1">$I$46*$AB$46</f>
        <v>0</v>
      </c>
      <c r="AC101" s="13">
        <f ca="1">$I$46*$AC$46</f>
        <v>0</v>
      </c>
      <c r="AD101" s="13">
        <f>$I$46*$AD$46</f>
        <v>0</v>
      </c>
      <c r="AE101" s="13">
        <f>$I$46*$AE$46</f>
        <v>0</v>
      </c>
      <c r="AF101" s="13">
        <f ca="1">$I$46*$AF$46</f>
        <v>0</v>
      </c>
      <c r="AG101" s="13">
        <f ca="1">$I$46*$AG$46</f>
        <v>0</v>
      </c>
      <c r="AI101" s="13">
        <f>$I$46*$AI$46</f>
        <v>0</v>
      </c>
      <c r="AJ101" s="13">
        <f>$I$46*$AJ$46</f>
        <v>0</v>
      </c>
      <c r="AK101" s="13">
        <f>$I$46*$AK$46</f>
        <v>0</v>
      </c>
      <c r="AL101" s="13">
        <f>$I$46*$AL$46</f>
        <v>0</v>
      </c>
      <c r="AM101" s="13">
        <f>$I$46*$AM$46</f>
        <v>0</v>
      </c>
      <c r="AN101" s="13">
        <f>$I$46*$AN$46</f>
        <v>0</v>
      </c>
      <c r="AO101" s="13">
        <f>$I$46*$AO$46</f>
        <v>0</v>
      </c>
      <c r="AP101" s="13">
        <f>$I$46*$AP$46</f>
        <v>0</v>
      </c>
      <c r="AQ101" s="13">
        <f>$I$46*$AQ$46</f>
        <v>0</v>
      </c>
      <c r="AR101" s="13">
        <f>$I$46*$AR$46</f>
        <v>0</v>
      </c>
      <c r="AS101" s="13">
        <f>$I$46*$AS$46</f>
        <v>0</v>
      </c>
      <c r="AT101" s="13">
        <f>$I$46*$AT$46</f>
        <v>0</v>
      </c>
      <c r="AU101" s="13">
        <f>$I$46*$AU$46</f>
        <v>0</v>
      </c>
      <c r="AV101" s="13">
        <f>$I$46*$AV$46</f>
        <v>0</v>
      </c>
      <c r="AW101" s="13">
        <f>$I$46*$AW$46</f>
        <v>0</v>
      </c>
      <c r="AX101" s="13">
        <f>$I$46*$AX$46</f>
        <v>0</v>
      </c>
      <c r="AY101" s="13">
        <f>$I$46*$AY$46</f>
        <v>0</v>
      </c>
      <c r="AZ101" s="13">
        <f>$I$46*$AZ$46</f>
        <v>0</v>
      </c>
      <c r="BA101" s="13">
        <f>$I$46*$BA$46</f>
        <v>0</v>
      </c>
      <c r="BB101" s="13">
        <f>$I$46*$BB$46</f>
        <v>0</v>
      </c>
      <c r="BC101" s="13">
        <f>$I$46*$BC$46</f>
        <v>0</v>
      </c>
      <c r="BD101" s="13">
        <f>$I$46*$BD$46</f>
        <v>0</v>
      </c>
    </row>
    <row r="102" spans="1:56" ht="11.25" customHeight="1" x14ac:dyDescent="0.25">
      <c r="A102" s="9" t="s">
        <v>40</v>
      </c>
      <c r="B102" s="9" t="s">
        <v>901</v>
      </c>
      <c r="C102" s="9" t="s">
        <v>902</v>
      </c>
      <c r="D102" s="9" t="s">
        <v>911</v>
      </c>
      <c r="E102" s="9" t="s">
        <v>912</v>
      </c>
      <c r="F102" s="9" t="s">
        <v>913</v>
      </c>
      <c r="G102" s="9" t="s">
        <v>914</v>
      </c>
      <c r="L102" s="13">
        <f>$I$47*$L$47</f>
        <v>0</v>
      </c>
      <c r="M102" s="13">
        <f>$I$47*$M$47</f>
        <v>0</v>
      </c>
      <c r="N102" s="13">
        <f ca="1">$I$47*$N$47</f>
        <v>0</v>
      </c>
      <c r="O102" s="13">
        <f>$I$47*$O$47</f>
        <v>0</v>
      </c>
      <c r="P102" s="13">
        <f>$I$47*$P$47</f>
        <v>0</v>
      </c>
      <c r="Q102" s="13">
        <f>$I$47*$Q$47</f>
        <v>0</v>
      </c>
      <c r="R102" s="13">
        <f>$I$47*$R$47</f>
        <v>0</v>
      </c>
      <c r="S102" s="13">
        <f>$I$47*$S$47</f>
        <v>0</v>
      </c>
      <c r="T102" s="13">
        <f>$I$47*$T$47</f>
        <v>0</v>
      </c>
      <c r="U102" s="13">
        <f>$I$47*$U$47</f>
        <v>0</v>
      </c>
      <c r="V102" s="13">
        <f>$I$47*$V$47</f>
        <v>0</v>
      </c>
      <c r="W102" s="13">
        <f>$I$47*$W$47</f>
        <v>0</v>
      </c>
      <c r="X102" s="13">
        <f>$I$47*$X$47</f>
        <v>0</v>
      </c>
      <c r="Y102" s="13">
        <f>$I$47*$Y$47</f>
        <v>0</v>
      </c>
      <c r="Z102" s="13">
        <f>$I$47*$Z$47</f>
        <v>0</v>
      </c>
      <c r="AA102" s="13">
        <f>$I$47*$AA$47</f>
        <v>0</v>
      </c>
      <c r="AB102" s="13">
        <f ca="1">$I$47*$AB$47</f>
        <v>0</v>
      </c>
      <c r="AC102" s="13">
        <f ca="1">$I$47*$AC$47</f>
        <v>0</v>
      </c>
      <c r="AD102" s="13">
        <f>$I$47*$AD$47</f>
        <v>0</v>
      </c>
      <c r="AE102" s="13">
        <f>$I$47*$AE$47</f>
        <v>0</v>
      </c>
      <c r="AF102" s="13">
        <f ca="1">$I$47*$AF$47</f>
        <v>0</v>
      </c>
      <c r="AG102" s="13">
        <f ca="1">$I$47*$AG$47</f>
        <v>0</v>
      </c>
      <c r="AI102" s="13">
        <f>$I$47*$AI$47</f>
        <v>0</v>
      </c>
      <c r="AJ102" s="13">
        <f>$I$47*$AJ$47</f>
        <v>0</v>
      </c>
      <c r="AK102" s="13">
        <f>$I$47*$AK$47</f>
        <v>0</v>
      </c>
      <c r="AL102" s="13">
        <f>$I$47*$AL$47</f>
        <v>0</v>
      </c>
      <c r="AM102" s="13">
        <f>$I$47*$AM$47</f>
        <v>0</v>
      </c>
      <c r="AN102" s="13">
        <f>$I$47*$AN$47</f>
        <v>0</v>
      </c>
      <c r="AO102" s="13">
        <f>$I$47*$AO$47</f>
        <v>0</v>
      </c>
      <c r="AP102" s="13">
        <f>$I$47*$AP$47</f>
        <v>0</v>
      </c>
      <c r="AQ102" s="13">
        <f>$I$47*$AQ$47</f>
        <v>0</v>
      </c>
      <c r="AR102" s="13">
        <f>$I$47*$AR$47</f>
        <v>0</v>
      </c>
      <c r="AS102" s="13">
        <f>$I$47*$AS$47</f>
        <v>0</v>
      </c>
      <c r="AT102" s="13">
        <f>$I$47*$AT$47</f>
        <v>0</v>
      </c>
      <c r="AU102" s="13">
        <f>$I$47*$AU$47</f>
        <v>0</v>
      </c>
      <c r="AV102" s="13">
        <f>$I$47*$AV$47</f>
        <v>0</v>
      </c>
      <c r="AW102" s="13">
        <f>$I$47*$AW$47</f>
        <v>0</v>
      </c>
      <c r="AX102" s="13">
        <f>$I$47*$AX$47</f>
        <v>0</v>
      </c>
      <c r="AY102" s="13">
        <f>$I$47*$AY$47</f>
        <v>0</v>
      </c>
      <c r="AZ102" s="13">
        <f>$I$47*$AZ$47</f>
        <v>0</v>
      </c>
      <c r="BA102" s="13">
        <f>$I$47*$BA$47</f>
        <v>0</v>
      </c>
      <c r="BB102" s="13">
        <f>$I$47*$BB$47</f>
        <v>0</v>
      </c>
      <c r="BC102" s="13">
        <f>$I$47*$BC$47</f>
        <v>0</v>
      </c>
      <c r="BD102" s="13">
        <f>$I$47*$BD$47</f>
        <v>0</v>
      </c>
    </row>
    <row r="103" spans="1:56" ht="11.25" customHeight="1" x14ac:dyDescent="0.25">
      <c r="A103" s="9" t="s">
        <v>33</v>
      </c>
      <c r="B103" s="9" t="s">
        <v>915</v>
      </c>
      <c r="C103" s="9" t="s">
        <v>916</v>
      </c>
      <c r="D103" s="9" t="s">
        <v>917</v>
      </c>
      <c r="E103" s="9" t="s">
        <v>918</v>
      </c>
      <c r="F103" s="9" t="s">
        <v>919</v>
      </c>
      <c r="G103" s="9" t="s">
        <v>920</v>
      </c>
      <c r="L103" s="13">
        <f>$I$48*$L$48</f>
        <v>0</v>
      </c>
      <c r="M103" s="13">
        <f>$I$48*$M$48</f>
        <v>0</v>
      </c>
      <c r="N103" s="13">
        <f ca="1">$I$48*$N$48</f>
        <v>0</v>
      </c>
      <c r="O103" s="13">
        <f>$I$48*$O$48</f>
        <v>0</v>
      </c>
      <c r="P103" s="13">
        <f>$I$48*$P$48</f>
        <v>0</v>
      </c>
      <c r="Q103" s="13">
        <f>$I$48*$Q$48</f>
        <v>0</v>
      </c>
      <c r="R103" s="13">
        <f>$I$48*$R$48</f>
        <v>0</v>
      </c>
      <c r="S103" s="13">
        <f>$I$48*$S$48</f>
        <v>0</v>
      </c>
      <c r="T103" s="13">
        <f>$I$48*$T$48</f>
        <v>0</v>
      </c>
      <c r="U103" s="13">
        <f>$I$48*$U$48</f>
        <v>0</v>
      </c>
      <c r="V103" s="13">
        <f>$I$48*$V$48</f>
        <v>0</v>
      </c>
      <c r="W103" s="13">
        <f>$I$48*$W$48</f>
        <v>0</v>
      </c>
      <c r="X103" s="13">
        <f>$I$48*$X$48</f>
        <v>0</v>
      </c>
      <c r="Y103" s="13">
        <f>$I$48*$Y$48</f>
        <v>0</v>
      </c>
      <c r="Z103" s="13">
        <f>$I$48*$Z$48</f>
        <v>0</v>
      </c>
      <c r="AA103" s="13">
        <f>$I$48*$AA$48</f>
        <v>0</v>
      </c>
      <c r="AB103" s="13">
        <f ca="1">$I$48*$AB$48</f>
        <v>0</v>
      </c>
      <c r="AC103" s="13">
        <f ca="1">$I$48*$AC$48</f>
        <v>0</v>
      </c>
      <c r="AD103" s="13">
        <f>$I$48*$AD$48</f>
        <v>0</v>
      </c>
      <c r="AE103" s="13">
        <f>$I$48*$AE$48</f>
        <v>0</v>
      </c>
      <c r="AF103" s="13">
        <f ca="1">$I$48*$AF$48</f>
        <v>0</v>
      </c>
      <c r="AG103" s="13">
        <f ca="1">$I$48*$AG$48</f>
        <v>0</v>
      </c>
      <c r="AI103" s="13">
        <f>$I$48*$AI$48</f>
        <v>0</v>
      </c>
      <c r="AJ103" s="13">
        <f>$I$48*$AJ$48</f>
        <v>0</v>
      </c>
      <c r="AK103" s="13">
        <f>$I$48*$AK$48</f>
        <v>0</v>
      </c>
      <c r="AL103" s="13">
        <f>$I$48*$AL$48</f>
        <v>0</v>
      </c>
      <c r="AM103" s="13">
        <f>$I$48*$AM$48</f>
        <v>0</v>
      </c>
      <c r="AN103" s="13">
        <f>$I$48*$AN$48</f>
        <v>0</v>
      </c>
      <c r="AO103" s="13">
        <f>$I$48*$AO$48</f>
        <v>0</v>
      </c>
      <c r="AP103" s="13">
        <f>$I$48*$AP$48</f>
        <v>0</v>
      </c>
      <c r="AQ103" s="13">
        <f>$I$48*$AQ$48</f>
        <v>0</v>
      </c>
      <c r="AR103" s="13">
        <f>$I$48*$AR$48</f>
        <v>0</v>
      </c>
      <c r="AS103" s="13">
        <f>$I$48*$AS$48</f>
        <v>0</v>
      </c>
      <c r="AT103" s="13">
        <f>$I$48*$AT$48</f>
        <v>0</v>
      </c>
      <c r="AU103" s="13">
        <f>$I$48*$AU$48</f>
        <v>0</v>
      </c>
      <c r="AV103" s="13">
        <f>$I$48*$AV$48</f>
        <v>0</v>
      </c>
      <c r="AW103" s="13">
        <f>$I$48*$AW$48</f>
        <v>0</v>
      </c>
      <c r="AX103" s="13">
        <f>$I$48*$AX$48</f>
        <v>0</v>
      </c>
      <c r="AY103" s="13">
        <f>$I$48*$AY$48</f>
        <v>0</v>
      </c>
      <c r="AZ103" s="13">
        <f>$I$48*$AZ$48</f>
        <v>0</v>
      </c>
      <c r="BA103" s="13">
        <f>$I$48*$BA$48</f>
        <v>0</v>
      </c>
      <c r="BB103" s="13">
        <f>$I$48*$BB$48</f>
        <v>0</v>
      </c>
      <c r="BC103" s="13">
        <f>$I$48*$BC$48</f>
        <v>0</v>
      </c>
      <c r="BD103" s="13">
        <f>$I$48*$BD$48</f>
        <v>0</v>
      </c>
    </row>
    <row r="104" spans="1:56" ht="11.25" customHeight="1" x14ac:dyDescent="0.25">
      <c r="A104" s="9" t="s">
        <v>33</v>
      </c>
      <c r="B104" s="9" t="s">
        <v>915</v>
      </c>
      <c r="C104" s="9" t="s">
        <v>916</v>
      </c>
      <c r="D104" s="9" t="s">
        <v>917</v>
      </c>
      <c r="E104" s="9" t="s">
        <v>918</v>
      </c>
      <c r="F104" s="9" t="s">
        <v>919</v>
      </c>
      <c r="G104" s="9" t="s">
        <v>921</v>
      </c>
      <c r="L104" s="13">
        <f>$I$49*$L$49</f>
        <v>0</v>
      </c>
      <c r="M104" s="13">
        <f>$I$49*$M$49</f>
        <v>0</v>
      </c>
      <c r="N104" s="13">
        <f ca="1">$I$49*$N$49</f>
        <v>0</v>
      </c>
      <c r="O104" s="13">
        <f>$I$49*$O$49</f>
        <v>0</v>
      </c>
      <c r="P104" s="13">
        <f>$I$49*$P$49</f>
        <v>0</v>
      </c>
      <c r="Q104" s="13">
        <f>$I$49*$Q$49</f>
        <v>0</v>
      </c>
      <c r="R104" s="13">
        <f>$I$49*$R$49</f>
        <v>0</v>
      </c>
      <c r="S104" s="13">
        <f>$I$49*$S$49</f>
        <v>0</v>
      </c>
      <c r="T104" s="13">
        <f>$I$49*$T$49</f>
        <v>0</v>
      </c>
      <c r="U104" s="13">
        <f>$I$49*$U$49</f>
        <v>0</v>
      </c>
      <c r="V104" s="13">
        <f>$I$49*$V$49</f>
        <v>0</v>
      </c>
      <c r="W104" s="13">
        <f>$I$49*$W$49</f>
        <v>0</v>
      </c>
      <c r="X104" s="13">
        <f>$I$49*$X$49</f>
        <v>0</v>
      </c>
      <c r="Y104" s="13">
        <f>$I$49*$Y$49</f>
        <v>0</v>
      </c>
      <c r="Z104" s="13">
        <f>$I$49*$Z$49</f>
        <v>0</v>
      </c>
      <c r="AA104" s="13">
        <f>$I$49*$AA$49</f>
        <v>0</v>
      </c>
      <c r="AB104" s="13">
        <f ca="1">$I$49*$AB$49</f>
        <v>0</v>
      </c>
      <c r="AC104" s="13">
        <f ca="1">$I$49*$AC$49</f>
        <v>0</v>
      </c>
      <c r="AD104" s="13">
        <f>$I$49*$AD$49</f>
        <v>0</v>
      </c>
      <c r="AE104" s="13">
        <f>$I$49*$AE$49</f>
        <v>0</v>
      </c>
      <c r="AF104" s="13">
        <f ca="1">$I$49*$AF$49</f>
        <v>0</v>
      </c>
      <c r="AG104" s="13">
        <f ca="1">$I$49*$AG$49</f>
        <v>0</v>
      </c>
      <c r="AI104" s="13">
        <f>$I$49*$AI$49</f>
        <v>0</v>
      </c>
      <c r="AJ104" s="13">
        <f>$I$49*$AJ$49</f>
        <v>0</v>
      </c>
      <c r="AK104" s="13">
        <f>$I$49*$AK$49</f>
        <v>0</v>
      </c>
      <c r="AL104" s="13">
        <f>$I$49*$AL$49</f>
        <v>0</v>
      </c>
      <c r="AM104" s="13">
        <f>$I$49*$AM$49</f>
        <v>0</v>
      </c>
      <c r="AN104" s="13">
        <f>$I$49*$AN$49</f>
        <v>0</v>
      </c>
      <c r="AO104" s="13">
        <f>$I$49*$AO$49</f>
        <v>0</v>
      </c>
      <c r="AP104" s="13">
        <f>$I$49*$AP$49</f>
        <v>0</v>
      </c>
      <c r="AQ104" s="13">
        <f>$I$49*$AQ$49</f>
        <v>0</v>
      </c>
      <c r="AR104" s="13">
        <f>$I$49*$AR$49</f>
        <v>0</v>
      </c>
      <c r="AS104" s="13">
        <f>$I$49*$AS$49</f>
        <v>0</v>
      </c>
      <c r="AT104" s="13">
        <f>$I$49*$AT$49</f>
        <v>0</v>
      </c>
      <c r="AU104" s="13">
        <f>$I$49*$AU$49</f>
        <v>0</v>
      </c>
      <c r="AV104" s="13">
        <f>$I$49*$AV$49</f>
        <v>0</v>
      </c>
      <c r="AW104" s="13">
        <f>$I$49*$AW$49</f>
        <v>0</v>
      </c>
      <c r="AX104" s="13">
        <f>$I$49*$AX$49</f>
        <v>0</v>
      </c>
      <c r="AY104" s="13">
        <f>$I$49*$AY$49</f>
        <v>0</v>
      </c>
      <c r="AZ104" s="13">
        <f>$I$49*$AZ$49</f>
        <v>0</v>
      </c>
      <c r="BA104" s="13">
        <f>$I$49*$BA$49</f>
        <v>0</v>
      </c>
      <c r="BB104" s="13">
        <f>$I$49*$BB$49</f>
        <v>0</v>
      </c>
      <c r="BC104" s="13">
        <f>$I$49*$BC$49</f>
        <v>0</v>
      </c>
      <c r="BD104" s="13">
        <f>$I$49*$BD$49</f>
        <v>0</v>
      </c>
    </row>
    <row r="105" spans="1:56" ht="11.25" customHeight="1" x14ac:dyDescent="0.25">
      <c r="A105" s="9" t="s">
        <v>33</v>
      </c>
      <c r="B105" s="9" t="s">
        <v>915</v>
      </c>
      <c r="C105" s="9" t="s">
        <v>916</v>
      </c>
      <c r="D105" s="9" t="s">
        <v>917</v>
      </c>
      <c r="E105" s="9" t="s">
        <v>918</v>
      </c>
      <c r="F105" s="9" t="s">
        <v>919</v>
      </c>
      <c r="G105" s="9" t="s">
        <v>922</v>
      </c>
      <c r="L105" s="13">
        <f>$I$50*$L$50</f>
        <v>0</v>
      </c>
      <c r="M105" s="13">
        <f>$I$50*$M$50</f>
        <v>0</v>
      </c>
      <c r="N105" s="13">
        <f ca="1">$I$50*$N$50</f>
        <v>0</v>
      </c>
      <c r="O105" s="13">
        <f>$I$50*$O$50</f>
        <v>0</v>
      </c>
      <c r="P105" s="13">
        <f>$I$50*$P$50</f>
        <v>0</v>
      </c>
      <c r="Q105" s="13">
        <f>$I$50*$Q$50</f>
        <v>0</v>
      </c>
      <c r="R105" s="13">
        <f>$I$50*$R$50</f>
        <v>0</v>
      </c>
      <c r="S105" s="13">
        <f>$I$50*$S$50</f>
        <v>0</v>
      </c>
      <c r="T105" s="13">
        <f>$I$50*$T$50</f>
        <v>0</v>
      </c>
      <c r="U105" s="13">
        <f>$I$50*$U$50</f>
        <v>0</v>
      </c>
      <c r="V105" s="13">
        <f>$I$50*$V$50</f>
        <v>0</v>
      </c>
      <c r="W105" s="13">
        <f>$I$50*$W$50</f>
        <v>0</v>
      </c>
      <c r="X105" s="13">
        <f>$I$50*$X$50</f>
        <v>0</v>
      </c>
      <c r="Y105" s="13">
        <f>$I$50*$Y$50</f>
        <v>0</v>
      </c>
      <c r="Z105" s="13">
        <f>$I$50*$Z$50</f>
        <v>0</v>
      </c>
      <c r="AA105" s="13">
        <f>$I$50*$AA$50</f>
        <v>0</v>
      </c>
      <c r="AB105" s="13">
        <f ca="1">$I$50*$AB$50</f>
        <v>0</v>
      </c>
      <c r="AC105" s="13">
        <f ca="1">$I$50*$AC$50</f>
        <v>0</v>
      </c>
      <c r="AD105" s="13">
        <f>$I$50*$AD$50</f>
        <v>0</v>
      </c>
      <c r="AE105" s="13">
        <f>$I$50*$AE$50</f>
        <v>0</v>
      </c>
      <c r="AF105" s="13">
        <f ca="1">$I$50*$AF$50</f>
        <v>0</v>
      </c>
      <c r="AG105" s="13">
        <f ca="1">$I$50*$AG$50</f>
        <v>0</v>
      </c>
      <c r="AI105" s="13">
        <f>$I$50*$AI$50</f>
        <v>0</v>
      </c>
      <c r="AJ105" s="13">
        <f>$I$50*$AJ$50</f>
        <v>0</v>
      </c>
      <c r="AK105" s="13">
        <f>$I$50*$AK$50</f>
        <v>0</v>
      </c>
      <c r="AL105" s="13">
        <f>$I$50*$AL$50</f>
        <v>0</v>
      </c>
      <c r="AM105" s="13">
        <f>$I$50*$AM$50</f>
        <v>0</v>
      </c>
      <c r="AN105" s="13">
        <f>$I$50*$AN$50</f>
        <v>0</v>
      </c>
      <c r="AO105" s="13">
        <f>$I$50*$AO$50</f>
        <v>0</v>
      </c>
      <c r="AP105" s="13">
        <f>$I$50*$AP$50</f>
        <v>0</v>
      </c>
      <c r="AQ105" s="13">
        <f>$I$50*$AQ$50</f>
        <v>0</v>
      </c>
      <c r="AR105" s="13">
        <f>$I$50*$AR$50</f>
        <v>0</v>
      </c>
      <c r="AS105" s="13">
        <f>$I$50*$AS$50</f>
        <v>0</v>
      </c>
      <c r="AT105" s="13">
        <f>$I$50*$AT$50</f>
        <v>0</v>
      </c>
      <c r="AU105" s="13">
        <f>$I$50*$AU$50</f>
        <v>0</v>
      </c>
      <c r="AV105" s="13">
        <f>$I$50*$AV$50</f>
        <v>0</v>
      </c>
      <c r="AW105" s="13">
        <f>$I$50*$AW$50</f>
        <v>0</v>
      </c>
      <c r="AX105" s="13">
        <f>$I$50*$AX$50</f>
        <v>0</v>
      </c>
      <c r="AY105" s="13">
        <f>$I$50*$AY$50</f>
        <v>0</v>
      </c>
      <c r="AZ105" s="13">
        <f>$I$50*$AZ$50</f>
        <v>0</v>
      </c>
      <c r="BA105" s="13">
        <f>$I$50*$BA$50</f>
        <v>0</v>
      </c>
      <c r="BB105" s="13">
        <f>$I$50*$BB$50</f>
        <v>0</v>
      </c>
      <c r="BC105" s="13">
        <f>$I$50*$BC$50</f>
        <v>0</v>
      </c>
      <c r="BD105" s="13">
        <f>$I$50*$BD$50</f>
        <v>0</v>
      </c>
    </row>
    <row r="106" spans="1:56" ht="11.25" customHeight="1" x14ac:dyDescent="0.25">
      <c r="A106" s="9" t="s">
        <v>33</v>
      </c>
      <c r="B106" s="9" t="s">
        <v>923</v>
      </c>
      <c r="C106" s="9" t="s">
        <v>924</v>
      </c>
      <c r="D106" s="9" t="s">
        <v>925</v>
      </c>
      <c r="E106" s="9" t="s">
        <v>926</v>
      </c>
      <c r="F106" s="9" t="s">
        <v>927</v>
      </c>
      <c r="G106" s="9" t="s">
        <v>928</v>
      </c>
      <c r="L106" s="13">
        <f>$I$51*$L$51</f>
        <v>0</v>
      </c>
      <c r="M106" s="13">
        <f>$I$51*$M$51</f>
        <v>22507.035252905411</v>
      </c>
      <c r="N106" s="13">
        <f ca="1">$I$51*$N$51</f>
        <v>0</v>
      </c>
      <c r="O106" s="13">
        <f>$I$51*$O$51</f>
        <v>0</v>
      </c>
      <c r="P106" s="13">
        <f>$I$51*$P$51</f>
        <v>0</v>
      </c>
      <c r="Q106" s="13">
        <f>$I$51*$Q$51</f>
        <v>1824217.3265043299</v>
      </c>
      <c r="R106" s="13">
        <f>$I$51*$R$51</f>
        <v>287857.97546771745</v>
      </c>
      <c r="S106" s="13">
        <f>$I$51*$S$51</f>
        <v>0</v>
      </c>
      <c r="T106" s="13">
        <f>$I$51*$T$51</f>
        <v>0</v>
      </c>
      <c r="U106" s="13">
        <f>$I$51*$U$51</f>
        <v>0</v>
      </c>
      <c r="V106" s="13">
        <f>$I$51*$V$51</f>
        <v>0</v>
      </c>
      <c r="W106" s="13">
        <f>$I$51*$W$51</f>
        <v>0</v>
      </c>
      <c r="X106" s="13">
        <f>$I$51*$X$51</f>
        <v>1419460.7907877418</v>
      </c>
      <c r="Y106" s="13">
        <f>$I$51*$Y$51</f>
        <v>0</v>
      </c>
      <c r="Z106" s="13">
        <f>$I$51*$Z$51</f>
        <v>0</v>
      </c>
      <c r="AA106" s="13">
        <f>$I$51*$AA$51</f>
        <v>3581322.0283530536</v>
      </c>
      <c r="AB106" s="13">
        <f ca="1">$I$51*$AB$51</f>
        <v>0</v>
      </c>
      <c r="AC106" s="13">
        <f ca="1">$I$51*$AC$51</f>
        <v>0</v>
      </c>
      <c r="AD106" s="13">
        <f>$I$51*$AD$51</f>
        <v>440291.59835354844</v>
      </c>
      <c r="AE106" s="13">
        <f>$I$51*$AE$51</f>
        <v>12084.58126603818</v>
      </c>
      <c r="AF106" s="13">
        <f ca="1">$I$51*$AF$51</f>
        <v>0</v>
      </c>
      <c r="AG106" s="13">
        <f ca="1">$I$51*$AG$51</f>
        <v>0</v>
      </c>
      <c r="AI106" s="13">
        <f>$I$51*$AI$51</f>
        <v>0</v>
      </c>
      <c r="AJ106" s="13">
        <f>$I$51*$AJ$51</f>
        <v>18262.142745501285</v>
      </c>
      <c r="AK106" s="13">
        <f>$I$51*$AK$51</f>
        <v>0</v>
      </c>
      <c r="AL106" s="13">
        <f>$I$51*$AL$51</f>
        <v>0</v>
      </c>
      <c r="AM106" s="13">
        <f>$I$51*$AM$51</f>
        <v>0</v>
      </c>
      <c r="AN106" s="13">
        <f>$I$51*$AN$51</f>
        <v>1142288.9490250507</v>
      </c>
      <c r="AO106" s="13">
        <f>$I$51*$AO$51</f>
        <v>177672.10552009678</v>
      </c>
      <c r="AP106" s="13">
        <f>$I$51*$AP$51</f>
        <v>0</v>
      </c>
      <c r="AQ106" s="13">
        <f>$I$51*$AQ$51</f>
        <v>0</v>
      </c>
      <c r="AR106" s="13">
        <f>$I$51*$AR$51</f>
        <v>0</v>
      </c>
      <c r="AS106" s="13">
        <f>$I$51*$AS$51</f>
        <v>0</v>
      </c>
      <c r="AT106" s="13">
        <f>$I$51*$AT$51</f>
        <v>0</v>
      </c>
      <c r="AU106" s="13">
        <f>$I$51*$AU$51</f>
        <v>1234154.86617708</v>
      </c>
      <c r="AV106" s="13">
        <f>$I$51*$AV$51</f>
        <v>0</v>
      </c>
      <c r="AW106" s="13">
        <f>$I$51*$AW$51</f>
        <v>0</v>
      </c>
      <c r="AX106" s="13">
        <f>$I$51*$AX$51</f>
        <v>3012675.2118756287</v>
      </c>
      <c r="AY106" s="13">
        <f>$I$51*$AY$51</f>
        <v>0</v>
      </c>
      <c r="AZ106" s="13">
        <f>$I$51*$AZ$51</f>
        <v>0</v>
      </c>
      <c r="BA106" s="13">
        <f>$I$51*$BA$51</f>
        <v>533218.26275391167</v>
      </c>
      <c r="BB106" s="13">
        <f>$I$51*$BB$51</f>
        <v>0</v>
      </c>
      <c r="BC106" s="13">
        <f>$I$51*$BC$51</f>
        <v>0</v>
      </c>
      <c r="BD106" s="13">
        <f>$I$51*$BD$51</f>
        <v>0</v>
      </c>
    </row>
    <row r="107" spans="1:56" ht="11.25" customHeight="1" x14ac:dyDescent="0.25">
      <c r="A107" s="9" t="s">
        <v>33</v>
      </c>
      <c r="B107" s="9" t="s">
        <v>929</v>
      </c>
      <c r="C107" s="9" t="s">
        <v>930</v>
      </c>
      <c r="D107" s="9" t="s">
        <v>931</v>
      </c>
      <c r="E107" s="9" t="s">
        <v>932</v>
      </c>
      <c r="F107" s="9" t="s">
        <v>933</v>
      </c>
      <c r="G107" s="9" t="s">
        <v>934</v>
      </c>
      <c r="L107" s="13">
        <f>$I$52*$L$52</f>
        <v>0</v>
      </c>
      <c r="M107" s="13">
        <f>$I$52*$M$52</f>
        <v>0</v>
      </c>
      <c r="N107" s="13">
        <f ca="1">$I$52*$N$52</f>
        <v>0</v>
      </c>
      <c r="O107" s="13">
        <f>$I$52*$O$52</f>
        <v>0</v>
      </c>
      <c r="P107" s="13">
        <f>$I$52*$P$52</f>
        <v>0</v>
      </c>
      <c r="Q107" s="13">
        <f>$I$52*$Q$52</f>
        <v>0</v>
      </c>
      <c r="R107" s="13">
        <f>$I$52*$R$52</f>
        <v>0</v>
      </c>
      <c r="S107" s="13">
        <f>$I$52*$S$52</f>
        <v>0</v>
      </c>
      <c r="T107" s="13">
        <f>$I$52*$T$52</f>
        <v>0</v>
      </c>
      <c r="U107" s="13">
        <f>$I$52*$U$52</f>
        <v>0</v>
      </c>
      <c r="V107" s="13">
        <f>$I$52*$V$52</f>
        <v>0</v>
      </c>
      <c r="W107" s="13">
        <f>$I$52*$W$52</f>
        <v>0</v>
      </c>
      <c r="X107" s="13">
        <f>$I$52*$X$52</f>
        <v>0</v>
      </c>
      <c r="Y107" s="13">
        <f>$I$52*$Y$52</f>
        <v>0</v>
      </c>
      <c r="Z107" s="13">
        <f>$I$52*$Z$52</f>
        <v>0</v>
      </c>
      <c r="AA107" s="13">
        <f>$I$52*$AA$52</f>
        <v>0</v>
      </c>
      <c r="AB107" s="13">
        <f ca="1">$I$52*$AB$52</f>
        <v>0</v>
      </c>
      <c r="AC107" s="13">
        <f ca="1">$I$52*$AC$52</f>
        <v>0</v>
      </c>
      <c r="AD107" s="13">
        <f>$I$52*$AD$52</f>
        <v>0</v>
      </c>
      <c r="AE107" s="13">
        <f>$I$52*$AE$52</f>
        <v>0</v>
      </c>
      <c r="AF107" s="13">
        <f ca="1">$I$52*$AF$52</f>
        <v>0</v>
      </c>
      <c r="AG107" s="13">
        <f ca="1">$I$52*$AG$52</f>
        <v>0</v>
      </c>
      <c r="AI107" s="13">
        <f>$I$52*$AI$52</f>
        <v>0</v>
      </c>
      <c r="AJ107" s="13">
        <f>$I$52*$AJ$52</f>
        <v>0</v>
      </c>
      <c r="AK107" s="13">
        <f>$I$52*$AK$52</f>
        <v>0</v>
      </c>
      <c r="AL107" s="13">
        <f>$I$52*$AL$52</f>
        <v>0</v>
      </c>
      <c r="AM107" s="13">
        <f>$I$52*$AM$52</f>
        <v>0</v>
      </c>
      <c r="AN107" s="13">
        <f>$I$52*$AN$52</f>
        <v>0</v>
      </c>
      <c r="AO107" s="13">
        <f>$I$52*$AO$52</f>
        <v>0</v>
      </c>
      <c r="AP107" s="13">
        <f>$I$52*$AP$52</f>
        <v>0</v>
      </c>
      <c r="AQ107" s="13">
        <f>$I$52*$AQ$52</f>
        <v>0</v>
      </c>
      <c r="AR107" s="13">
        <f>$I$52*$AR$52</f>
        <v>0</v>
      </c>
      <c r="AS107" s="13">
        <f>$I$52*$AS$52</f>
        <v>0</v>
      </c>
      <c r="AT107" s="13">
        <f>$I$52*$AT$52</f>
        <v>0</v>
      </c>
      <c r="AU107" s="13">
        <f>$I$52*$AU$52</f>
        <v>0</v>
      </c>
      <c r="AV107" s="13">
        <f>$I$52*$AV$52</f>
        <v>0</v>
      </c>
      <c r="AW107" s="13">
        <f>$I$52*$AW$52</f>
        <v>0</v>
      </c>
      <c r="AX107" s="13">
        <f>$I$52*$AX$52</f>
        <v>0</v>
      </c>
      <c r="AY107" s="13">
        <f>$I$52*$AY$52</f>
        <v>0</v>
      </c>
      <c r="AZ107" s="13">
        <f>$I$52*$AZ$52</f>
        <v>0</v>
      </c>
      <c r="BA107" s="13">
        <f>$I$52*$BA$52</f>
        <v>0</v>
      </c>
      <c r="BB107" s="13">
        <f>$I$52*$BB$52</f>
        <v>0</v>
      </c>
      <c r="BC107" s="13">
        <f>$I$52*$BC$52</f>
        <v>0</v>
      </c>
      <c r="BD107" s="13">
        <f>$I$52*$BD$52</f>
        <v>0</v>
      </c>
    </row>
    <row r="108" spans="1:56" ht="11.25" customHeight="1" x14ac:dyDescent="0.25">
      <c r="A108" s="9" t="s">
        <v>43</v>
      </c>
      <c r="B108" s="9" t="s">
        <v>935</v>
      </c>
      <c r="C108" s="9" t="s">
        <v>936</v>
      </c>
      <c r="D108" s="9" t="s">
        <v>937</v>
      </c>
      <c r="E108" s="9" t="s">
        <v>938</v>
      </c>
      <c r="F108" s="9" t="s">
        <v>939</v>
      </c>
      <c r="G108" s="9" t="s">
        <v>940</v>
      </c>
      <c r="L108" s="13">
        <f>$I$53*$L$53</f>
        <v>0</v>
      </c>
      <c r="M108" s="13">
        <f>$I$53*$M$53</f>
        <v>2876.5792898279401</v>
      </c>
      <c r="N108" s="13">
        <f ca="1">$I$53*$N$53</f>
        <v>0</v>
      </c>
      <c r="O108" s="13">
        <f>$I$53*$O$53</f>
        <v>0</v>
      </c>
      <c r="P108" s="13">
        <f>$I$53*$P$53</f>
        <v>0</v>
      </c>
      <c r="Q108" s="13">
        <f>$I$53*$Q$53</f>
        <v>233149.57845859573</v>
      </c>
      <c r="R108" s="13">
        <f>$I$53*$R$53</f>
        <v>36790.553768530823</v>
      </c>
      <c r="S108" s="13">
        <f>$I$53*$S$53</f>
        <v>0</v>
      </c>
      <c r="T108" s="13">
        <f>$I$53*$T$53</f>
        <v>0</v>
      </c>
      <c r="U108" s="13">
        <f>$I$53*$U$53</f>
        <v>0</v>
      </c>
      <c r="V108" s="13">
        <f>$I$53*$V$53</f>
        <v>0</v>
      </c>
      <c r="W108" s="13">
        <f>$I$53*$W$53</f>
        <v>0</v>
      </c>
      <c r="X108" s="13">
        <f>$I$53*$X$53</f>
        <v>181418.45283579562</v>
      </c>
      <c r="Y108" s="13">
        <f>$I$53*$Y$53</f>
        <v>0</v>
      </c>
      <c r="Z108" s="13">
        <f>$I$53*$Z$53</f>
        <v>0</v>
      </c>
      <c r="AA108" s="13">
        <f>$I$53*$AA$53</f>
        <v>457721.62620286108</v>
      </c>
      <c r="AB108" s="13">
        <f ca="1">$I$53*$AB$53</f>
        <v>0</v>
      </c>
      <c r="AC108" s="13">
        <f ca="1">$I$53*$AC$53</f>
        <v>0</v>
      </c>
      <c r="AD108" s="13">
        <f>$I$53*$AD$53</f>
        <v>56272.791110751183</v>
      </c>
      <c r="AE108" s="13">
        <f>$I$53*$AE$53</f>
        <v>1544.506231296755</v>
      </c>
      <c r="AF108" s="13">
        <f ca="1">$I$53*$AF$53</f>
        <v>0</v>
      </c>
      <c r="AG108" s="13">
        <f ca="1">$I$53*$AG$53</f>
        <v>0</v>
      </c>
      <c r="AI108" s="13">
        <f>$I$53*$AI$53</f>
        <v>0</v>
      </c>
      <c r="AJ108" s="13">
        <f>$I$53*$AJ$53</f>
        <v>2334.0480440581014</v>
      </c>
      <c r="AK108" s="13">
        <f>$I$53*$AK$53</f>
        <v>0</v>
      </c>
      <c r="AL108" s="13">
        <f>$I$53*$AL$53</f>
        <v>0</v>
      </c>
      <c r="AM108" s="13">
        <f>$I$53*$AM$53</f>
        <v>0</v>
      </c>
      <c r="AN108" s="13">
        <f>$I$53*$AN$53</f>
        <v>145993.67250471693</v>
      </c>
      <c r="AO108" s="13">
        <f>$I$53*$AO$53</f>
        <v>22707.917474526515</v>
      </c>
      <c r="AP108" s="13">
        <f>$I$53*$AP$53</f>
        <v>0</v>
      </c>
      <c r="AQ108" s="13">
        <f>$I$53*$AQ$53</f>
        <v>0</v>
      </c>
      <c r="AR108" s="13">
        <f>$I$53*$AR$53</f>
        <v>0</v>
      </c>
      <c r="AS108" s="13">
        <f>$I$53*$AS$53</f>
        <v>0</v>
      </c>
      <c r="AT108" s="13">
        <f>$I$53*$AT$53</f>
        <v>0</v>
      </c>
      <c r="AU108" s="13">
        <f>$I$53*$AU$53</f>
        <v>157734.87216745163</v>
      </c>
      <c r="AV108" s="13">
        <f>$I$53*$AV$53</f>
        <v>0</v>
      </c>
      <c r="AW108" s="13">
        <f>$I$53*$AW$53</f>
        <v>0</v>
      </c>
      <c r="AX108" s="13">
        <f>$I$53*$AX$53</f>
        <v>385044.01064288314</v>
      </c>
      <c r="AY108" s="13">
        <f>$I$53*$AY$53</f>
        <v>0</v>
      </c>
      <c r="AZ108" s="13">
        <f>$I$53*$AZ$53</f>
        <v>0</v>
      </c>
      <c r="BA108" s="13">
        <f>$I$53*$BA$53</f>
        <v>68149.562763844136</v>
      </c>
      <c r="BB108" s="13">
        <f>$I$53*$BB$53</f>
        <v>0</v>
      </c>
      <c r="BC108" s="13">
        <f>$I$53*$BC$53</f>
        <v>0</v>
      </c>
      <c r="BD108" s="13">
        <f>$I$53*$BD$53</f>
        <v>0</v>
      </c>
    </row>
    <row r="109" spans="1:56" ht="11.25" customHeight="1" x14ac:dyDescent="0.25">
      <c r="A109" s="9" t="s">
        <v>43</v>
      </c>
      <c r="B109" s="9" t="s">
        <v>935</v>
      </c>
      <c r="C109" s="9" t="s">
        <v>936</v>
      </c>
      <c r="D109" s="9" t="s">
        <v>941</v>
      </c>
      <c r="E109" s="9" t="s">
        <v>942</v>
      </c>
      <c r="F109" s="9" t="s">
        <v>943</v>
      </c>
      <c r="G109" s="9" t="s">
        <v>944</v>
      </c>
      <c r="L109" s="13">
        <f>$I$54*$L$54</f>
        <v>0</v>
      </c>
      <c r="M109" s="13">
        <f>$I$54*$M$54</f>
        <v>0</v>
      </c>
      <c r="N109" s="13">
        <f ca="1">$I$54*$N$54</f>
        <v>0</v>
      </c>
      <c r="O109" s="13">
        <f>$I$54*$O$54</f>
        <v>0</v>
      </c>
      <c r="P109" s="13">
        <f>$I$54*$P$54</f>
        <v>0</v>
      </c>
      <c r="Q109" s="13">
        <f>$I$54*$Q$54</f>
        <v>0</v>
      </c>
      <c r="R109" s="13">
        <f>$I$54*$R$54</f>
        <v>0</v>
      </c>
      <c r="S109" s="13">
        <f>$I$54*$S$54</f>
        <v>0</v>
      </c>
      <c r="T109" s="13">
        <f>$I$54*$T$54</f>
        <v>0</v>
      </c>
      <c r="U109" s="13">
        <f>$I$54*$U$54</f>
        <v>0</v>
      </c>
      <c r="V109" s="13">
        <f>$I$54*$V$54</f>
        <v>0</v>
      </c>
      <c r="W109" s="13">
        <f>$I$54*$W$54</f>
        <v>0</v>
      </c>
      <c r="X109" s="13">
        <f>$I$54*$X$54</f>
        <v>0</v>
      </c>
      <c r="Y109" s="13">
        <f>$I$54*$Y$54</f>
        <v>0</v>
      </c>
      <c r="Z109" s="13">
        <f>$I$54*$Z$54</f>
        <v>0</v>
      </c>
      <c r="AA109" s="13">
        <f>$I$54*$AA$54</f>
        <v>0</v>
      </c>
      <c r="AB109" s="13">
        <f ca="1">$I$54*$AB$54</f>
        <v>0</v>
      </c>
      <c r="AC109" s="13">
        <f ca="1">$I$54*$AC$54</f>
        <v>0</v>
      </c>
      <c r="AD109" s="13">
        <f>$I$54*$AD$54</f>
        <v>0</v>
      </c>
      <c r="AE109" s="13">
        <f>$I$54*$AE$54</f>
        <v>0</v>
      </c>
      <c r="AF109" s="13">
        <f ca="1">$I$54*$AF$54</f>
        <v>0</v>
      </c>
      <c r="AG109" s="13">
        <f ca="1">$I$54*$AG$54</f>
        <v>0</v>
      </c>
      <c r="AI109" s="13">
        <f>$I$54*$AI$54</f>
        <v>0</v>
      </c>
      <c r="AJ109" s="13">
        <f>$I$54*$AJ$54</f>
        <v>0</v>
      </c>
      <c r="AK109" s="13">
        <f>$I$54*$AK$54</f>
        <v>0</v>
      </c>
      <c r="AL109" s="13">
        <f>$I$54*$AL$54</f>
        <v>0</v>
      </c>
      <c r="AM109" s="13">
        <f>$I$54*$AM$54</f>
        <v>0</v>
      </c>
      <c r="AN109" s="13">
        <f>$I$54*$AN$54</f>
        <v>0</v>
      </c>
      <c r="AO109" s="13">
        <f>$I$54*$AO$54</f>
        <v>0</v>
      </c>
      <c r="AP109" s="13">
        <f>$I$54*$AP$54</f>
        <v>0</v>
      </c>
      <c r="AQ109" s="13">
        <f>$I$54*$AQ$54</f>
        <v>0</v>
      </c>
      <c r="AR109" s="13">
        <f>$I$54*$AR$54</f>
        <v>0</v>
      </c>
      <c r="AS109" s="13">
        <f>$I$54*$AS$54</f>
        <v>0</v>
      </c>
      <c r="AT109" s="13">
        <f>$I$54*$AT$54</f>
        <v>0</v>
      </c>
      <c r="AU109" s="13">
        <f>$I$54*$AU$54</f>
        <v>0</v>
      </c>
      <c r="AV109" s="13">
        <f>$I$54*$AV$54</f>
        <v>0</v>
      </c>
      <c r="AW109" s="13">
        <f>$I$54*$AW$54</f>
        <v>0</v>
      </c>
      <c r="AX109" s="13">
        <f>$I$54*$AX$54</f>
        <v>0</v>
      </c>
      <c r="AY109" s="13">
        <f>$I$54*$AY$54</f>
        <v>0</v>
      </c>
      <c r="AZ109" s="13">
        <f>$I$54*$AZ$54</f>
        <v>0</v>
      </c>
      <c r="BA109" s="13">
        <f>$I$54*$BA$54</f>
        <v>0</v>
      </c>
      <c r="BB109" s="13">
        <f>$I$54*$BB$54</f>
        <v>0</v>
      </c>
      <c r="BC109" s="13">
        <f>$I$54*$BC$54</f>
        <v>0</v>
      </c>
      <c r="BD109" s="13">
        <f>$I$54*$BD$54</f>
        <v>0</v>
      </c>
    </row>
  </sheetData>
  <mergeCells count="93">
    <mergeCell ref="T3:Z3"/>
    <mergeCell ref="A1:A4"/>
    <mergeCell ref="B1:B4"/>
    <mergeCell ref="C1:C4"/>
    <mergeCell ref="D1:D4"/>
    <mergeCell ref="E1:E4"/>
    <mergeCell ref="F1:F4"/>
    <mergeCell ref="AB3:AC3"/>
    <mergeCell ref="AD3:AG3"/>
    <mergeCell ref="A5:A17"/>
    <mergeCell ref="B5:B8"/>
    <mergeCell ref="C5:C8"/>
    <mergeCell ref="D5:D8"/>
    <mergeCell ref="E5:E7"/>
    <mergeCell ref="F5:F7"/>
    <mergeCell ref="B9:B11"/>
    <mergeCell ref="G1:G4"/>
    <mergeCell ref="H1:H4"/>
    <mergeCell ref="I1:I4"/>
    <mergeCell ref="J1:J4"/>
    <mergeCell ref="L1:AG1"/>
    <mergeCell ref="L2:AG2"/>
    <mergeCell ref="L3:S3"/>
    <mergeCell ref="C9:C11"/>
    <mergeCell ref="D9:D11"/>
    <mergeCell ref="E9:E11"/>
    <mergeCell ref="F9:F11"/>
    <mergeCell ref="B13:B17"/>
    <mergeCell ref="C13:C17"/>
    <mergeCell ref="D13:D17"/>
    <mergeCell ref="E13:E15"/>
    <mergeCell ref="F13:F15"/>
    <mergeCell ref="E16:E17"/>
    <mergeCell ref="F16:F17"/>
    <mergeCell ref="A18:A19"/>
    <mergeCell ref="B18:B19"/>
    <mergeCell ref="C18:C19"/>
    <mergeCell ref="D18:D19"/>
    <mergeCell ref="A33:A47"/>
    <mergeCell ref="B33:B35"/>
    <mergeCell ref="C33:C35"/>
    <mergeCell ref="D33:D35"/>
    <mergeCell ref="B37:B39"/>
    <mergeCell ref="C37:C39"/>
    <mergeCell ref="D37:D39"/>
    <mergeCell ref="B45:B47"/>
    <mergeCell ref="C45:C47"/>
    <mergeCell ref="A20:A32"/>
    <mergeCell ref="B20:B22"/>
    <mergeCell ref="C20:C22"/>
    <mergeCell ref="E33:E35"/>
    <mergeCell ref="F20:F22"/>
    <mergeCell ref="B23:B27"/>
    <mergeCell ref="C23:C27"/>
    <mergeCell ref="B28:B32"/>
    <mergeCell ref="C28:C32"/>
    <mergeCell ref="F33:F35"/>
    <mergeCell ref="D20:D22"/>
    <mergeCell ref="E20:E22"/>
    <mergeCell ref="E37:E39"/>
    <mergeCell ref="F37:F39"/>
    <mergeCell ref="C41:C43"/>
    <mergeCell ref="D41:D43"/>
    <mergeCell ref="E41:E43"/>
    <mergeCell ref="F41:F43"/>
    <mergeCell ref="A53:A54"/>
    <mergeCell ref="B53:B54"/>
    <mergeCell ref="C53:C54"/>
    <mergeCell ref="AI1:BD1"/>
    <mergeCell ref="AI2:BD2"/>
    <mergeCell ref="AI3:AP3"/>
    <mergeCell ref="AQ3:AW3"/>
    <mergeCell ref="AY3:AZ3"/>
    <mergeCell ref="BA3:BD3"/>
    <mergeCell ref="A48:A52"/>
    <mergeCell ref="B48:B50"/>
    <mergeCell ref="C48:C50"/>
    <mergeCell ref="D48:D50"/>
    <mergeCell ref="E48:E50"/>
    <mergeCell ref="F48:F50"/>
    <mergeCell ref="B41:B43"/>
    <mergeCell ref="AY58:AZ58"/>
    <mergeCell ref="BA58:BD58"/>
    <mergeCell ref="L56:AG56"/>
    <mergeCell ref="AI56:BD56"/>
    <mergeCell ref="L57:AG57"/>
    <mergeCell ref="AI57:BD57"/>
    <mergeCell ref="L58:S58"/>
    <mergeCell ref="T58:Z58"/>
    <mergeCell ref="AB58:AC58"/>
    <mergeCell ref="AD58:AG58"/>
    <mergeCell ref="AI58:AP58"/>
    <mergeCell ref="AQ58:AW58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D116-6F83-4F96-9602-1A28576DE98B}">
  <sheetPr codeName="Planilha24"/>
  <dimension ref="A1:AH89"/>
  <sheetViews>
    <sheetView showGridLines="0" topLeftCell="K1" workbookViewId="0">
      <selection activeCell="V45" sqref="V45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10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10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8" t="s">
        <v>72</v>
      </c>
      <c r="B1" s="108" t="s">
        <v>73</v>
      </c>
      <c r="C1" s="108" t="s">
        <v>74</v>
      </c>
      <c r="D1" s="108" t="s">
        <v>75</v>
      </c>
      <c r="E1" s="108" t="s">
        <v>76</v>
      </c>
      <c r="F1" s="108" t="s">
        <v>15</v>
      </c>
      <c r="G1" s="108" t="s">
        <v>78</v>
      </c>
      <c r="H1" s="108" t="s">
        <v>79</v>
      </c>
      <c r="I1" s="108" t="s">
        <v>565</v>
      </c>
      <c r="J1" s="91"/>
      <c r="L1" s="106" t="s">
        <v>945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X1" s="106" t="s">
        <v>946</v>
      </c>
      <c r="Y1" s="106"/>
      <c r="Z1" s="106"/>
      <c r="AA1" s="106"/>
      <c r="AB1" s="106"/>
      <c r="AC1" s="106"/>
      <c r="AD1" s="106"/>
      <c r="AE1" s="106"/>
      <c r="AF1" s="106"/>
      <c r="AG1" s="106"/>
      <c r="AH1" s="106"/>
    </row>
    <row r="2" spans="1:34" ht="11.2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  <c r="J2" s="91"/>
      <c r="L2" s="106" t="s">
        <v>492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X2" s="106" t="s">
        <v>492</v>
      </c>
      <c r="Y2" s="106"/>
      <c r="Z2" s="106"/>
      <c r="AA2" s="106"/>
      <c r="AB2" s="106"/>
      <c r="AC2" s="106"/>
      <c r="AD2" s="106"/>
      <c r="AE2" s="106"/>
      <c r="AF2" s="106"/>
      <c r="AG2" s="106"/>
      <c r="AH2" s="106"/>
    </row>
    <row r="3" spans="1:34" ht="11.2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91"/>
      <c r="L3" s="106" t="s">
        <v>465</v>
      </c>
      <c r="M3" s="106"/>
      <c r="N3" s="106"/>
      <c r="O3" s="106"/>
      <c r="P3" s="106"/>
      <c r="Q3" s="24" t="s">
        <v>496</v>
      </c>
      <c r="R3" s="106" t="s">
        <v>474</v>
      </c>
      <c r="S3" s="106"/>
      <c r="T3" s="106"/>
      <c r="U3" s="24" t="s">
        <v>484</v>
      </c>
      <c r="V3" s="24" t="s">
        <v>487</v>
      </c>
      <c r="X3" s="106" t="s">
        <v>465</v>
      </c>
      <c r="Y3" s="106"/>
      <c r="Z3" s="106"/>
      <c r="AA3" s="106"/>
      <c r="AB3" s="106"/>
      <c r="AC3" s="24" t="s">
        <v>496</v>
      </c>
      <c r="AD3" s="106" t="s">
        <v>474</v>
      </c>
      <c r="AE3" s="106"/>
      <c r="AF3" s="106"/>
      <c r="AG3" s="24" t="s">
        <v>484</v>
      </c>
      <c r="AH3" s="24" t="s">
        <v>487</v>
      </c>
    </row>
    <row r="4" spans="1:34" ht="11.2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  <c r="J4" s="91"/>
      <c r="L4" s="24" t="s">
        <v>467</v>
      </c>
      <c r="M4" s="24" t="s">
        <v>493</v>
      </c>
      <c r="N4" s="24" t="s">
        <v>494</v>
      </c>
      <c r="O4" s="24" t="s">
        <v>553</v>
      </c>
      <c r="P4" s="24" t="s">
        <v>495</v>
      </c>
      <c r="Q4" s="24" t="s">
        <v>497</v>
      </c>
      <c r="R4" s="24" t="s">
        <v>498</v>
      </c>
      <c r="S4" s="24" t="s">
        <v>499</v>
      </c>
      <c r="T4" s="24" t="s">
        <v>500</v>
      </c>
      <c r="U4" s="24" t="s">
        <v>485</v>
      </c>
      <c r="V4" s="24" t="s">
        <v>501</v>
      </c>
      <c r="X4" s="24" t="s">
        <v>467</v>
      </c>
      <c r="Y4" s="24" t="s">
        <v>493</v>
      </c>
      <c r="Z4" s="24" t="s">
        <v>494</v>
      </c>
      <c r="AA4" s="24" t="s">
        <v>553</v>
      </c>
      <c r="AB4" s="24" t="s">
        <v>495</v>
      </c>
      <c r="AC4" s="24" t="s">
        <v>497</v>
      </c>
      <c r="AD4" s="24" t="s">
        <v>498</v>
      </c>
      <c r="AE4" s="24" t="s">
        <v>499</v>
      </c>
      <c r="AF4" s="24" t="s">
        <v>500</v>
      </c>
      <c r="AG4" s="24" t="s">
        <v>485</v>
      </c>
      <c r="AH4" s="24" t="s">
        <v>501</v>
      </c>
    </row>
    <row r="5" spans="1:34" ht="11.25" customHeight="1" x14ac:dyDescent="0.25">
      <c r="A5" s="109" t="s">
        <v>35</v>
      </c>
      <c r="B5" s="109" t="s">
        <v>81</v>
      </c>
      <c r="C5" s="109" t="s">
        <v>25</v>
      </c>
      <c r="D5" s="109" t="s">
        <v>25</v>
      </c>
      <c r="E5" s="109" t="s">
        <v>25</v>
      </c>
      <c r="F5" s="109" t="s">
        <v>25</v>
      </c>
      <c r="G5" s="23" t="s">
        <v>83</v>
      </c>
      <c r="H5" s="23" t="s">
        <v>82</v>
      </c>
      <c r="I5" s="23">
        <f>'MERCADO TE'!$U$2</f>
        <v>3293.4549999999999</v>
      </c>
      <c r="J5" s="15"/>
      <c r="L5" s="20">
        <f>('TE BE'!$L$5+'TE BF'!$L$5+'TE CVA'!$L$5)*1</f>
        <v>0</v>
      </c>
      <c r="M5" s="20">
        <f>('TE BE'!$M$5+'TE BF'!$M$5+'TE CVA'!$M$5)*1</f>
        <v>37.332906947733456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-16.460184444410494</v>
      </c>
      <c r="Q5" s="20">
        <f>('TE BE'!$R$5+'TE BF'!$R$5+'TE CVA'!$R$5)*1</f>
        <v>177.63428902428956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4.8757308417399479</v>
      </c>
      <c r="X5" s="20">
        <v>0</v>
      </c>
      <c r="Y5" s="20">
        <v>6.9608527694091098</v>
      </c>
      <c r="Z5" s="20">
        <v>0</v>
      </c>
      <c r="AA5" s="20">
        <v>0</v>
      </c>
      <c r="AB5" s="20">
        <v>0</v>
      </c>
      <c r="AC5" s="20">
        <v>242.28967836235799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09"/>
      <c r="B6" s="109"/>
      <c r="C6" s="109"/>
      <c r="D6" s="109"/>
      <c r="E6" s="109"/>
      <c r="F6" s="109"/>
      <c r="G6" s="23" t="s">
        <v>84</v>
      </c>
      <c r="H6" s="23" t="s">
        <v>82</v>
      </c>
      <c r="I6" s="23">
        <f>'MERCADO TE'!$U$3</f>
        <v>43158.441999999995</v>
      </c>
      <c r="J6" s="15"/>
      <c r="L6" s="20">
        <f>('TE BE'!$L$6+'TE BF'!$L$6+'TE CVA'!$L$6)*1</f>
        <v>0</v>
      </c>
      <c r="M6" s="20">
        <f>('TE BE'!$M$6+'TE BF'!$M$6+'TE CVA'!$M$6)*1</f>
        <v>37.332906947733456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-16.460184444410494</v>
      </c>
      <c r="Q6" s="20">
        <f>('TE BE'!$R$6+'TE BF'!$R$6+'TE CVA'!$R$6)*1</f>
        <v>177.63428902428956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4.8757308417399479</v>
      </c>
      <c r="X6" s="20">
        <v>0</v>
      </c>
      <c r="Y6" s="20">
        <v>6.9608527694091098</v>
      </c>
      <c r="Z6" s="20">
        <v>0</v>
      </c>
      <c r="AA6" s="20">
        <v>0</v>
      </c>
      <c r="AB6" s="20">
        <v>0</v>
      </c>
      <c r="AC6" s="20">
        <v>242.28967836235799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09"/>
      <c r="B7" s="22" t="s">
        <v>85</v>
      </c>
      <c r="C7" s="22" t="s">
        <v>25</v>
      </c>
      <c r="D7" s="22" t="s">
        <v>25</v>
      </c>
      <c r="E7" s="22" t="s">
        <v>86</v>
      </c>
      <c r="F7" s="22" t="s">
        <v>25</v>
      </c>
      <c r="G7" s="23" t="s">
        <v>87</v>
      </c>
      <c r="H7" s="23" t="s">
        <v>82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37.332906947733456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-16.460184444410498</v>
      </c>
      <c r="Q7" s="20">
        <f>('TE BE'!$R$7+'TE BF'!$R$7+'TE CVA'!$R$7)*1</f>
        <v>177.72759284321643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4.8757308417399479</v>
      </c>
      <c r="X7" s="20">
        <v>0</v>
      </c>
      <c r="Y7" s="20">
        <v>6.9608527694091098</v>
      </c>
      <c r="Z7" s="20">
        <v>0</v>
      </c>
      <c r="AA7" s="20">
        <v>0</v>
      </c>
      <c r="AB7" s="20">
        <v>0</v>
      </c>
      <c r="AC7" s="20">
        <v>241.71841085230699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09"/>
      <c r="B8" s="22" t="s">
        <v>91</v>
      </c>
      <c r="C8" s="22" t="s">
        <v>25</v>
      </c>
      <c r="D8" s="22" t="s">
        <v>25</v>
      </c>
      <c r="E8" s="22" t="s">
        <v>86</v>
      </c>
      <c r="F8" s="22" t="s">
        <v>25</v>
      </c>
      <c r="G8" s="23" t="s">
        <v>87</v>
      </c>
      <c r="H8" s="23" t="s">
        <v>82</v>
      </c>
      <c r="I8" s="23">
        <f>'MERCADO TE'!$U$5</f>
        <v>13846.997000000001</v>
      </c>
      <c r="J8" s="15"/>
      <c r="L8" s="20">
        <f>('TE BE'!$L$8+'TE BF'!$L$8+'TE CVA'!$L$8)*1</f>
        <v>0</v>
      </c>
      <c r="M8" s="20">
        <f>('TE BE'!$M$8+'TE BF'!$M$8+'TE CVA'!$M$8)*1</f>
        <v>37.332906947733456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-16.460184444410498</v>
      </c>
      <c r="Q8" s="20">
        <f>('TE BE'!$R$8+'TE BF'!$R$8+'TE CVA'!$R$8)*1</f>
        <v>177.72759284321643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4.8757308417399479</v>
      </c>
      <c r="X8" s="20">
        <v>0</v>
      </c>
      <c r="Y8" s="20">
        <v>6.9608527694091098</v>
      </c>
      <c r="Z8" s="20">
        <v>0</v>
      </c>
      <c r="AA8" s="20">
        <v>0</v>
      </c>
      <c r="AB8" s="20">
        <v>0</v>
      </c>
      <c r="AC8" s="20">
        <v>241.71841085230699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09"/>
      <c r="B9" s="22" t="s">
        <v>85</v>
      </c>
      <c r="C9" s="22" t="s">
        <v>25</v>
      </c>
      <c r="D9" s="22" t="s">
        <v>25</v>
      </c>
      <c r="E9" s="22" t="s">
        <v>25</v>
      </c>
      <c r="F9" s="22" t="s">
        <v>25</v>
      </c>
      <c r="G9" s="23" t="s">
        <v>87</v>
      </c>
      <c r="H9" s="23" t="s">
        <v>82</v>
      </c>
      <c r="I9" s="23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-16.460184444410498</v>
      </c>
      <c r="Q9" s="20">
        <f>('TE BE'!$R$9+'TE BF'!$R$9+'TE CVA'!$R$9)*1</f>
        <v>177.72759284321643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6.9608527694091098</v>
      </c>
      <c r="Z9" s="20">
        <v>0</v>
      </c>
      <c r="AA9" s="20">
        <v>0</v>
      </c>
      <c r="AB9" s="20">
        <v>0</v>
      </c>
      <c r="AC9" s="20">
        <v>241.71841085230699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09" t="s">
        <v>22</v>
      </c>
      <c r="B10" s="109" t="s">
        <v>81</v>
      </c>
      <c r="C10" s="109" t="s">
        <v>24</v>
      </c>
      <c r="D10" s="109" t="s">
        <v>24</v>
      </c>
      <c r="E10" s="109" t="s">
        <v>25</v>
      </c>
      <c r="F10" s="109" t="s">
        <v>25</v>
      </c>
      <c r="G10" s="23" t="s">
        <v>83</v>
      </c>
      <c r="H10" s="23" t="s">
        <v>82</v>
      </c>
      <c r="I10" s="23">
        <f>'MERCADO TE'!$U$7</f>
        <v>0</v>
      </c>
      <c r="J10" s="15"/>
      <c r="L10" s="20">
        <f>('TE BE'!$L$10+'TE BF'!$L$10+'TE CVA'!$L$10)*1</f>
        <v>0</v>
      </c>
      <c r="M10" s="20">
        <f>('TE BE'!$M$10+'TE BF'!$M$10+'TE CVA'!$M$10)*1</f>
        <v>37.332906947733456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-16.460184444410494</v>
      </c>
      <c r="Q10" s="20">
        <f>('TE BE'!$R$10+'TE BF'!$R$10+'TE CVA'!$R$10)*1</f>
        <v>177.63428902428956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4.8757308417399479</v>
      </c>
      <c r="X10" s="20">
        <v>0</v>
      </c>
      <c r="Y10" s="20">
        <v>6.9608527694091098</v>
      </c>
      <c r="Z10" s="20">
        <v>0</v>
      </c>
      <c r="AA10" s="20">
        <v>0</v>
      </c>
      <c r="AB10" s="20">
        <v>0</v>
      </c>
      <c r="AC10" s="20">
        <v>242.28967836235799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09"/>
      <c r="B11" s="109"/>
      <c r="C11" s="109"/>
      <c r="D11" s="109"/>
      <c r="E11" s="109"/>
      <c r="F11" s="109"/>
      <c r="G11" s="23" t="s">
        <v>95</v>
      </c>
      <c r="H11" s="23" t="s">
        <v>82</v>
      </c>
      <c r="I11" s="23">
        <f>'MERCADO TE'!$U$8</f>
        <v>0</v>
      </c>
      <c r="J11" s="15"/>
      <c r="L11" s="20">
        <f>('TE BE'!$L$11+'TE BF'!$L$11+'TE CVA'!$L$11)*1</f>
        <v>0</v>
      </c>
      <c r="M11" s="20">
        <f>('TE BE'!$M$11+'TE BF'!$M$11+'TE CVA'!$M$11)*1</f>
        <v>37.332906947733456</v>
      </c>
      <c r="N11" s="20">
        <f>('TE BE'!$N$11+'TE BF'!$N$11+'TE CVA'!$N$11)*1</f>
        <v>0</v>
      </c>
      <c r="O11" s="20">
        <f>('TE BE'!$O$11+'TE BF'!$O$11+'TE CVA'!$O$11)*1</f>
        <v>0</v>
      </c>
      <c r="P11" s="20">
        <f>('TE BE'!$P$11+'TE BF'!$P$11+'TE CVA'!$P$11)*1</f>
        <v>-16.460184444410494</v>
      </c>
      <c r="Q11" s="20">
        <f>('TE BE'!$R$11+'TE BF'!$R$11+'TE CVA'!$R$11)*1</f>
        <v>177.63428902428956</v>
      </c>
      <c r="R11" s="20">
        <f>('TE BE'!$T$11+'TE BF'!$T$11+'TE CVA'!$T$11)*1</f>
        <v>0</v>
      </c>
      <c r="S11" s="20">
        <f>('TE BE'!$U$11+'TE BF'!$U$11+'TE CVA'!$U$11)*1</f>
        <v>0</v>
      </c>
      <c r="T11" s="20">
        <f>('TE BE'!$V$11+'TE BF'!$V$11+'TE CVA'!$V$11)*1</f>
        <v>0</v>
      </c>
      <c r="U11" s="20">
        <f>('TE BE'!$X$11+'TE BF'!$X$11+'TE CVA'!$X$11)*1</f>
        <v>0</v>
      </c>
      <c r="V11" s="20">
        <f>('TE BE'!$Z$11+'TE BF'!$Z$11+'TE CVA'!$Z$11)*1</f>
        <v>4.8757308417399479</v>
      </c>
      <c r="X11" s="20">
        <v>0</v>
      </c>
      <c r="Y11" s="20">
        <v>6.9608527694091098</v>
      </c>
      <c r="Z11" s="20">
        <v>0</v>
      </c>
      <c r="AA11" s="20">
        <v>0</v>
      </c>
      <c r="AB11" s="20">
        <v>0</v>
      </c>
      <c r="AC11" s="20">
        <v>242.28967836235799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09"/>
      <c r="B12" s="109"/>
      <c r="C12" s="109"/>
      <c r="D12" s="109"/>
      <c r="E12" s="109"/>
      <c r="F12" s="109"/>
      <c r="G12" s="23" t="s">
        <v>84</v>
      </c>
      <c r="H12" s="23" t="s">
        <v>82</v>
      </c>
      <c r="I12" s="23">
        <f>'MERCADO TE'!$U$9</f>
        <v>0</v>
      </c>
      <c r="J12" s="15"/>
      <c r="L12" s="20">
        <f>('TE BE'!$L$12+'TE BF'!$L$12+'TE CVA'!$L$12)*1</f>
        <v>0</v>
      </c>
      <c r="M12" s="20">
        <f>('TE BE'!$M$12+'TE BF'!$M$12+'TE CVA'!$M$12)*1</f>
        <v>37.332906947733456</v>
      </c>
      <c r="N12" s="20">
        <f>('TE BE'!$N$12+'TE BF'!$N$12+'TE CVA'!$N$12)*1</f>
        <v>0</v>
      </c>
      <c r="O12" s="20">
        <f>('TE BE'!$O$12+'TE BF'!$O$12+'TE CVA'!$O$12)*1</f>
        <v>0</v>
      </c>
      <c r="P12" s="20">
        <f>('TE BE'!$P$12+'TE BF'!$P$12+'TE CVA'!$P$12)*1</f>
        <v>-16.460184444410494</v>
      </c>
      <c r="Q12" s="20">
        <f>('TE BE'!$R$12+'TE BF'!$R$12+'TE CVA'!$R$12)*1</f>
        <v>177.63428902428956</v>
      </c>
      <c r="R12" s="20">
        <f>('TE BE'!$T$12+'TE BF'!$T$12+'TE CVA'!$T$12)*1</f>
        <v>0</v>
      </c>
      <c r="S12" s="20">
        <f>('TE BE'!$U$12+'TE BF'!$U$12+'TE CVA'!$U$12)*1</f>
        <v>0</v>
      </c>
      <c r="T12" s="20">
        <f>('TE BE'!$V$12+'TE BF'!$V$12+'TE CVA'!$V$12)*1</f>
        <v>0</v>
      </c>
      <c r="U12" s="20">
        <f>('TE BE'!$X$12+'TE BF'!$X$12+'TE CVA'!$X$12)*1</f>
        <v>0</v>
      </c>
      <c r="V12" s="20">
        <f>('TE BE'!$Z$12+'TE BF'!$Z$12+'TE CVA'!$Z$12)*1</f>
        <v>4.8757308417399479</v>
      </c>
      <c r="X12" s="20">
        <v>0</v>
      </c>
      <c r="Y12" s="20">
        <v>6.9608527694091098</v>
      </c>
      <c r="Z12" s="20">
        <v>0</v>
      </c>
      <c r="AA12" s="20">
        <v>0</v>
      </c>
      <c r="AB12" s="20">
        <v>0</v>
      </c>
      <c r="AC12" s="20">
        <v>242.28967836235799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09"/>
      <c r="B13" s="109" t="s">
        <v>96</v>
      </c>
      <c r="C13" s="109" t="s">
        <v>24</v>
      </c>
      <c r="D13" s="22" t="s">
        <v>24</v>
      </c>
      <c r="E13" s="22" t="s">
        <v>25</v>
      </c>
      <c r="F13" s="22" t="s">
        <v>25</v>
      </c>
      <c r="G13" s="23" t="s">
        <v>87</v>
      </c>
      <c r="H13" s="23" t="s">
        <v>82</v>
      </c>
      <c r="I13" s="23">
        <f>'MERCADO TE'!$U$10</f>
        <v>33611.357000000004</v>
      </c>
      <c r="J13" s="15"/>
      <c r="L13" s="20">
        <f>('TE BE'!$L$13+'TE BF'!$L$13+'TE CVA'!$L$13)*1</f>
        <v>0</v>
      </c>
      <c r="M13" s="20">
        <f>('TE BE'!$M$13+'TE BF'!$M$13+'TE CVA'!$M$13)*1</f>
        <v>37.332906947733456</v>
      </c>
      <c r="N13" s="20">
        <f>('TE BE'!$N$13+'TE BF'!$N$13+'TE CVA'!$N$13)*1</f>
        <v>0</v>
      </c>
      <c r="O13" s="20">
        <f>('TE BE'!$O$13+'TE BF'!$O$13+'TE CVA'!$O$13)*1</f>
        <v>0</v>
      </c>
      <c r="P13" s="20">
        <f>('TE BE'!$P$13+'TE BF'!$P$13+'TE CVA'!$P$13)*1</f>
        <v>-16.460184444410494</v>
      </c>
      <c r="Q13" s="20">
        <f>('TE BE'!$R$13+'TE BF'!$R$13+'TE CVA'!$R$13)*1</f>
        <v>177.63428902428956</v>
      </c>
      <c r="R13" s="20">
        <f>('TE BE'!$T$13+'TE BF'!$T$13+'TE CVA'!$T$13)*1</f>
        <v>0</v>
      </c>
      <c r="S13" s="20">
        <f>('TE BE'!$U$13+'TE BF'!$U$13+'TE CVA'!$U$13)*1</f>
        <v>0</v>
      </c>
      <c r="T13" s="20">
        <f>('TE BE'!$V$13+'TE BF'!$V$13+'TE CVA'!$V$13)*1</f>
        <v>0</v>
      </c>
      <c r="U13" s="20">
        <f>('TE BE'!$X$13+'TE BF'!$X$13+'TE CVA'!$X$13)*1</f>
        <v>0</v>
      </c>
      <c r="V13" s="20">
        <f>('TE BE'!$Z$13+'TE BF'!$Z$13+'TE CVA'!$Z$13)*1</f>
        <v>4.8757308417399479</v>
      </c>
      <c r="X13" s="20">
        <v>0</v>
      </c>
      <c r="Y13" s="20">
        <v>6.9608527694091098</v>
      </c>
      <c r="Z13" s="20">
        <v>0</v>
      </c>
      <c r="AA13" s="20">
        <v>0</v>
      </c>
      <c r="AB13" s="20">
        <v>0</v>
      </c>
      <c r="AC13" s="20">
        <v>242.28967836235799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09"/>
      <c r="B14" s="109"/>
      <c r="C14" s="109"/>
      <c r="D14" s="22" t="s">
        <v>29</v>
      </c>
      <c r="E14" s="22" t="s">
        <v>25</v>
      </c>
      <c r="F14" s="22" t="s">
        <v>25</v>
      </c>
      <c r="G14" s="23" t="s">
        <v>87</v>
      </c>
      <c r="H14" s="23" t="s">
        <v>82</v>
      </c>
      <c r="I14" s="23">
        <f>'MERCADO TE'!$U$11</f>
        <v>174.63</v>
      </c>
      <c r="J14" s="15"/>
      <c r="L14" s="20">
        <f>('TE BE'!$L$14+'TE BF'!$L$14+'TE CVA'!$L$14)*(1 - 0.65)</f>
        <v>0</v>
      </c>
      <c r="M14" s="20">
        <f>('TE BE'!$M$14+'TE BF'!$M$14+'TE CVA'!$M$14)*(1 - 0.65)</f>
        <v>13.066517431706709</v>
      </c>
      <c r="N14" s="20">
        <f>('TE BE'!$N$14+'TE BF'!$N$14+'TE CVA'!$N$14)*(1 - 0.65)</f>
        <v>0</v>
      </c>
      <c r="O14" s="20">
        <f>('TE BE'!$O$14+'TE BF'!$O$14+'TE CVA'!$O$14)*(1 - 0.65)</f>
        <v>0</v>
      </c>
      <c r="P14" s="20">
        <f>('TE BE'!$P$14+'TE BF'!$P$14+'TE CVA'!$P$14)*(1 - 0.65)</f>
        <v>-5.7610645555436726</v>
      </c>
      <c r="Q14" s="20">
        <f>('TE BE'!$R$14+'TE BF'!$R$14+'TE CVA'!$R$14)*(1 - 0.65)</f>
        <v>62.172001158501338</v>
      </c>
      <c r="R14" s="20">
        <f>('TE BE'!$T$14+'TE BF'!$T$14+'TE CVA'!$T$14)*(1 - 0.65)</f>
        <v>0</v>
      </c>
      <c r="S14" s="20">
        <f>('TE BE'!$U$14+'TE BF'!$U$14+'TE CVA'!$U$14)*(1 - 0.65)</f>
        <v>0</v>
      </c>
      <c r="T14" s="20">
        <f>('TE BE'!$V$14+'TE BF'!$V$14+'TE CVA'!$V$14)*(1 - 0.65)</f>
        <v>0</v>
      </c>
      <c r="U14" s="20">
        <f>('TE BE'!$X$14+'TE BF'!$X$14+'TE CVA'!$X$14)*(1 - 0.65)</f>
        <v>0</v>
      </c>
      <c r="V14" s="20">
        <f>('TE BE'!$Z$14+'TE BF'!$Z$14+'TE CVA'!$Z$14)*(1 - 0.65)</f>
        <v>1.7065057946089817</v>
      </c>
      <c r="X14" s="20">
        <v>0</v>
      </c>
      <c r="Y14" s="20">
        <v>2.4362984692931899</v>
      </c>
      <c r="Z14" s="20">
        <v>0</v>
      </c>
      <c r="AA14" s="20">
        <v>0</v>
      </c>
      <c r="AB14" s="20">
        <v>0</v>
      </c>
      <c r="AC14" s="20">
        <v>84.801387426825201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09"/>
      <c r="B15" s="109"/>
      <c r="C15" s="109"/>
      <c r="D15" s="22" t="s">
        <v>30</v>
      </c>
      <c r="E15" s="22" t="s">
        <v>25</v>
      </c>
      <c r="F15" s="22" t="s">
        <v>25</v>
      </c>
      <c r="G15" s="23" t="s">
        <v>87</v>
      </c>
      <c r="H15" s="23" t="s">
        <v>82</v>
      </c>
      <c r="I15" s="23">
        <f>'MERCADO TE'!$U$12</f>
        <v>381.96100000000001</v>
      </c>
      <c r="J15" s="15"/>
      <c r="L15" s="20">
        <f>('TE BE'!$L$15+'TE BF'!$L$15+'TE CVA'!$L$15)*(1 - 0.4)</f>
        <v>0</v>
      </c>
      <c r="M15" s="20">
        <f>('TE BE'!$M$15+'TE BF'!$M$15+'TE CVA'!$M$15)*(1 - 0.4)</f>
        <v>22.399744168640073</v>
      </c>
      <c r="N15" s="20">
        <f>('TE BE'!$N$15+'TE BF'!$N$15+'TE CVA'!$N$15)*(1 - 0.4)</f>
        <v>0</v>
      </c>
      <c r="O15" s="20">
        <f>('TE BE'!$O$15+'TE BF'!$O$15+'TE CVA'!$O$15)*(1 - 0.4)</f>
        <v>0</v>
      </c>
      <c r="P15" s="20">
        <f>('TE BE'!$P$15+'TE BF'!$P$15+'TE CVA'!$P$15)*(1 - 0.4)</f>
        <v>-9.8761106666462961</v>
      </c>
      <c r="Q15" s="20">
        <f>('TE BE'!$R$15+'TE BF'!$R$15+'TE CVA'!$R$15)*(1 - 0.4)</f>
        <v>106.58057341457373</v>
      </c>
      <c r="R15" s="20">
        <f>('TE BE'!$T$15+'TE BF'!$T$15+'TE CVA'!$T$15)*(1 - 0.4)</f>
        <v>0</v>
      </c>
      <c r="S15" s="20">
        <f>('TE BE'!$U$15+'TE BF'!$U$15+'TE CVA'!$U$15)*(1 - 0.4)</f>
        <v>0</v>
      </c>
      <c r="T15" s="20">
        <f>('TE BE'!$V$15+'TE BF'!$V$15+'TE CVA'!$V$15)*(1 - 0.4)</f>
        <v>0</v>
      </c>
      <c r="U15" s="20">
        <f>('TE BE'!$X$15+'TE BF'!$X$15+'TE CVA'!$X$15)*(1 - 0.4)</f>
        <v>0</v>
      </c>
      <c r="V15" s="20">
        <f>('TE BE'!$Z$15+'TE BF'!$Z$15+'TE CVA'!$Z$15)*(1 - 0.4)</f>
        <v>2.9254385050439686</v>
      </c>
      <c r="X15" s="20">
        <v>0</v>
      </c>
      <c r="Y15" s="20">
        <v>4.1765116616454696</v>
      </c>
      <c r="Z15" s="20">
        <v>0</v>
      </c>
      <c r="AA15" s="20">
        <v>0</v>
      </c>
      <c r="AB15" s="20">
        <v>0</v>
      </c>
      <c r="AC15" s="20">
        <v>145.373807017415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09"/>
      <c r="B16" s="109"/>
      <c r="C16" s="109"/>
      <c r="D16" s="22" t="s">
        <v>31</v>
      </c>
      <c r="E16" s="22" t="s">
        <v>25</v>
      </c>
      <c r="F16" s="22" t="s">
        <v>25</v>
      </c>
      <c r="G16" s="23" t="s">
        <v>87</v>
      </c>
      <c r="H16" s="23" t="s">
        <v>82</v>
      </c>
      <c r="I16" s="23">
        <f>'MERCADO TE'!$U$13</f>
        <v>465.60300000000001</v>
      </c>
      <c r="J16" s="15"/>
      <c r="L16" s="20">
        <f>('TE BE'!$L$16+'TE BF'!$L$16+'TE CVA'!$L$16)*(1 - 0.1)</f>
        <v>0</v>
      </c>
      <c r="M16" s="20">
        <f>('TE BE'!$M$16+'TE BF'!$M$16+'TE CVA'!$M$16)*(1 - 0.1)</f>
        <v>33.599616252960111</v>
      </c>
      <c r="N16" s="20">
        <f>('TE BE'!$N$16+'TE BF'!$N$16+'TE CVA'!$N$16)*(1 - 0.1)</f>
        <v>0</v>
      </c>
      <c r="O16" s="20">
        <f>('TE BE'!$O$16+'TE BF'!$O$16+'TE CVA'!$O$16)*(1 - 0.1)</f>
        <v>0</v>
      </c>
      <c r="P16" s="20">
        <f>('TE BE'!$P$16+'TE BF'!$P$16+'TE CVA'!$P$16)*(1 - 0.1)</f>
        <v>-14.814165999969445</v>
      </c>
      <c r="Q16" s="20">
        <f>('TE BE'!$R$16+'TE BF'!$R$16+'TE CVA'!$R$16)*(1 - 0.1)</f>
        <v>159.8708601218606</v>
      </c>
      <c r="R16" s="20">
        <f>('TE BE'!$T$16+'TE BF'!$T$16+'TE CVA'!$T$16)*(1 - 0.1)</f>
        <v>0</v>
      </c>
      <c r="S16" s="20">
        <f>('TE BE'!$U$16+'TE BF'!$U$16+'TE CVA'!$U$16)*(1 - 0.1)</f>
        <v>0</v>
      </c>
      <c r="T16" s="20">
        <f>('TE BE'!$V$16+'TE BF'!$V$16+'TE CVA'!$V$16)*(1 - 0.1)</f>
        <v>0</v>
      </c>
      <c r="U16" s="20">
        <f>('TE BE'!$X$16+'TE BF'!$X$16+'TE CVA'!$X$16)*(1 - 0.1)</f>
        <v>0</v>
      </c>
      <c r="V16" s="20">
        <f>('TE BE'!$Z$16+'TE BF'!$Z$16+'TE CVA'!$Z$16)*(1 - 0.1)</f>
        <v>4.3881577575659536</v>
      </c>
      <c r="X16" s="20">
        <v>0</v>
      </c>
      <c r="Y16" s="20">
        <v>6.2647674924682004</v>
      </c>
      <c r="Z16" s="20">
        <v>0</v>
      </c>
      <c r="AA16" s="20">
        <v>0</v>
      </c>
      <c r="AB16" s="20">
        <v>0</v>
      </c>
      <c r="AC16" s="20">
        <v>218.06071052612199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09"/>
      <c r="B17" s="109"/>
      <c r="C17" s="109"/>
      <c r="D17" s="22" t="s">
        <v>32</v>
      </c>
      <c r="E17" s="22" t="s">
        <v>25</v>
      </c>
      <c r="F17" s="22" t="s">
        <v>25</v>
      </c>
      <c r="G17" s="23" t="s">
        <v>87</v>
      </c>
      <c r="H17" s="23" t="s">
        <v>82</v>
      </c>
      <c r="I17" s="23">
        <f>'MERCADO TE'!$U$14</f>
        <v>317.14700000000005</v>
      </c>
      <c r="J17" s="15"/>
      <c r="L17" s="20">
        <f>('TE BE'!$L$17+'TE BF'!$L$17+'TE CVA'!$L$17)*1</f>
        <v>0</v>
      </c>
      <c r="M17" s="20">
        <f>('TE BE'!$M$17+'TE BF'!$M$17+'TE CVA'!$M$17)*1</f>
        <v>37.332906947733456</v>
      </c>
      <c r="N17" s="20">
        <f>('TE BE'!$N$17+'TE BF'!$N$17+'TE CVA'!$N$17)*1</f>
        <v>0</v>
      </c>
      <c r="O17" s="20">
        <f>('TE BE'!$O$17+'TE BF'!$O$17+'TE CVA'!$O$17)*1</f>
        <v>0</v>
      </c>
      <c r="P17" s="20">
        <f>('TE BE'!$P$17+'TE BF'!$P$17+'TE CVA'!$P$17)*1</f>
        <v>-16.460184444410494</v>
      </c>
      <c r="Q17" s="20">
        <f>('TE BE'!$R$17+'TE BF'!$R$17+'TE CVA'!$R$17)*1</f>
        <v>177.63428902428956</v>
      </c>
      <c r="R17" s="20">
        <f>('TE BE'!$T$17+'TE BF'!$T$17+'TE CVA'!$T$17)*1</f>
        <v>0</v>
      </c>
      <c r="S17" s="20">
        <f>('TE BE'!$U$17+'TE BF'!$U$17+'TE CVA'!$U$17)*1</f>
        <v>0</v>
      </c>
      <c r="T17" s="20">
        <f>('TE BE'!$V$17+'TE BF'!$V$17+'TE CVA'!$V$17)*1</f>
        <v>0</v>
      </c>
      <c r="U17" s="20">
        <f>('TE BE'!$X$17+'TE BF'!$X$17+'TE CVA'!$X$17)*1</f>
        <v>0</v>
      </c>
      <c r="V17" s="20">
        <f>('TE BE'!$Z$17+'TE BF'!$Z$17+'TE CVA'!$Z$17)*1</f>
        <v>4.8757308417399479</v>
      </c>
      <c r="X17" s="20">
        <v>0</v>
      </c>
      <c r="Y17" s="20">
        <v>6.9608527694091098</v>
      </c>
      <c r="Z17" s="20">
        <v>0</v>
      </c>
      <c r="AA17" s="20">
        <v>0</v>
      </c>
      <c r="AB17" s="20">
        <v>0</v>
      </c>
      <c r="AC17" s="20">
        <v>242.28967836235799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09"/>
      <c r="B18" s="109" t="s">
        <v>98</v>
      </c>
      <c r="C18" s="109" t="s">
        <v>24</v>
      </c>
      <c r="D18" s="22" t="s">
        <v>24</v>
      </c>
      <c r="E18" s="22" t="s">
        <v>25</v>
      </c>
      <c r="F18" s="22" t="s">
        <v>25</v>
      </c>
      <c r="G18" s="23" t="s">
        <v>87</v>
      </c>
      <c r="H18" s="23" t="s">
        <v>82</v>
      </c>
      <c r="I18" s="23">
        <f>'MERCADO TE'!$U$15</f>
        <v>0</v>
      </c>
      <c r="J18" s="15"/>
      <c r="L18" s="20">
        <f>('TE BE'!$L$18+'TE BF'!$L$18+'TE CVA'!$L$18)*1</f>
        <v>0</v>
      </c>
      <c r="M18" s="20">
        <f>('TE BE'!$M$18+'TE BF'!$M$18+'TE CVA'!$M$18)*1</f>
        <v>37.332906947733456</v>
      </c>
      <c r="N18" s="20">
        <f>('TE BE'!$N$18+'TE BF'!$N$18+'TE CVA'!$N$18)*1</f>
        <v>0</v>
      </c>
      <c r="O18" s="20">
        <f>('TE BE'!$O$18+'TE BF'!$O$18+'TE CVA'!$O$18)*1</f>
        <v>0</v>
      </c>
      <c r="P18" s="20">
        <f>('TE BE'!$P$18+'TE BF'!$P$18+'TE CVA'!$P$18)*1</f>
        <v>-16.460184444410494</v>
      </c>
      <c r="Q18" s="20">
        <f>('TE BE'!$R$18+'TE BF'!$R$18+'TE CVA'!$R$18)*1</f>
        <v>177.63428902428956</v>
      </c>
      <c r="R18" s="20">
        <f>('TE BE'!$T$18+'TE BF'!$T$18+'TE CVA'!$T$18)*1</f>
        <v>0</v>
      </c>
      <c r="S18" s="20">
        <f>('TE BE'!$U$18+'TE BF'!$U$18+'TE CVA'!$U$18)*1</f>
        <v>0</v>
      </c>
      <c r="T18" s="20">
        <f>('TE BE'!$V$18+'TE BF'!$V$18+'TE CVA'!$V$18)*1</f>
        <v>0</v>
      </c>
      <c r="U18" s="20">
        <f>('TE BE'!$X$18+'TE BF'!$X$18+'TE CVA'!$X$18)*1</f>
        <v>0</v>
      </c>
      <c r="V18" s="20">
        <f>('TE BE'!$Z$18+'TE BF'!$Z$18+'TE CVA'!$Z$18)*1</f>
        <v>4.8757308417399479</v>
      </c>
      <c r="X18" s="20">
        <v>0</v>
      </c>
      <c r="Y18" s="20">
        <v>6.9608527694091098</v>
      </c>
      <c r="Z18" s="20">
        <v>0</v>
      </c>
      <c r="AA18" s="20">
        <v>0</v>
      </c>
      <c r="AB18" s="20">
        <v>0</v>
      </c>
      <c r="AC18" s="20">
        <v>242.28967836235799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09"/>
      <c r="B19" s="109"/>
      <c r="C19" s="109"/>
      <c r="D19" s="22" t="s">
        <v>29</v>
      </c>
      <c r="E19" s="22" t="s">
        <v>25</v>
      </c>
      <c r="F19" s="22" t="s">
        <v>25</v>
      </c>
      <c r="G19" s="23" t="s">
        <v>87</v>
      </c>
      <c r="H19" s="23" t="s">
        <v>82</v>
      </c>
      <c r="I19" s="23">
        <f>'MERCADO TE'!$U$16</f>
        <v>0</v>
      </c>
      <c r="J19" s="15"/>
      <c r="L19" s="20">
        <f>('TE BE'!$L$19+'TE BF'!$L$19+'TE CVA'!$L$19)*(1 - 0.65)</f>
        <v>0</v>
      </c>
      <c r="M19" s="20">
        <f>('TE BE'!$M$19+'TE BF'!$M$19+'TE CVA'!$M$19)*(1 - 0.65)</f>
        <v>13.066517431706709</v>
      </c>
      <c r="N19" s="20">
        <f>('TE BE'!$N$19+'TE BF'!$N$19+'TE CVA'!$N$19)*(1 - 0.65)</f>
        <v>0</v>
      </c>
      <c r="O19" s="20">
        <f>('TE BE'!$O$19+'TE BF'!$O$19+'TE CVA'!$O$19)*(1 - 0.65)</f>
        <v>0</v>
      </c>
      <c r="P19" s="20">
        <f>('TE BE'!$P$19+'TE BF'!$P$19+'TE CVA'!$P$19)*(1 - 0.65)</f>
        <v>-5.7610645555436726</v>
      </c>
      <c r="Q19" s="20">
        <f>('TE BE'!$R$19+'TE BF'!$R$19+'TE CVA'!$R$19)*(1 - 0.65)</f>
        <v>62.172001158501338</v>
      </c>
      <c r="R19" s="20">
        <f>('TE BE'!$T$19+'TE BF'!$T$19+'TE CVA'!$T$19)*(1 - 0.65)</f>
        <v>0</v>
      </c>
      <c r="S19" s="20">
        <f>('TE BE'!$U$19+'TE BF'!$U$19+'TE CVA'!$U$19)*(1 - 0.65)</f>
        <v>0</v>
      </c>
      <c r="T19" s="20">
        <f>('TE BE'!$V$19+'TE BF'!$V$19+'TE CVA'!$V$19)*(1 - 0.65)</f>
        <v>0</v>
      </c>
      <c r="U19" s="20">
        <f>('TE BE'!$X$19+'TE BF'!$X$19+'TE CVA'!$X$19)*(1 - 0.65)</f>
        <v>0</v>
      </c>
      <c r="V19" s="20">
        <f>('TE BE'!$Z$19+'TE BF'!$Z$19+'TE CVA'!$Z$19)*(1 - 0.65)</f>
        <v>1.7065057946089817</v>
      </c>
      <c r="X19" s="20">
        <v>0</v>
      </c>
      <c r="Y19" s="20">
        <v>2.4362984692931899</v>
      </c>
      <c r="Z19" s="20">
        <v>0</v>
      </c>
      <c r="AA19" s="20">
        <v>0</v>
      </c>
      <c r="AB19" s="20">
        <v>0</v>
      </c>
      <c r="AC19" s="20">
        <v>84.801387426825201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09"/>
      <c r="B20" s="109"/>
      <c r="C20" s="109"/>
      <c r="D20" s="22" t="s">
        <v>30</v>
      </c>
      <c r="E20" s="22" t="s">
        <v>25</v>
      </c>
      <c r="F20" s="22" t="s">
        <v>25</v>
      </c>
      <c r="G20" s="23" t="s">
        <v>87</v>
      </c>
      <c r="H20" s="23" t="s">
        <v>82</v>
      </c>
      <c r="I20" s="23">
        <f>'MERCADO TE'!$U$17</f>
        <v>0</v>
      </c>
      <c r="J20" s="15"/>
      <c r="L20" s="20">
        <f>('TE BE'!$L$20+'TE BF'!$L$20+'TE CVA'!$L$20)*(1 - 0.4)</f>
        <v>0</v>
      </c>
      <c r="M20" s="20">
        <f>('TE BE'!$M$20+'TE BF'!$M$20+'TE CVA'!$M$20)*(1 - 0.4)</f>
        <v>22.399744168640073</v>
      </c>
      <c r="N20" s="20">
        <f>('TE BE'!$N$20+'TE BF'!$N$20+'TE CVA'!$N$20)*(1 - 0.4)</f>
        <v>0</v>
      </c>
      <c r="O20" s="20">
        <f>('TE BE'!$O$20+'TE BF'!$O$20+'TE CVA'!$O$20)*(1 - 0.4)</f>
        <v>0</v>
      </c>
      <c r="P20" s="20">
        <f>('TE BE'!$P$20+'TE BF'!$P$20+'TE CVA'!$P$20)*(1 - 0.4)</f>
        <v>-9.8761106666462961</v>
      </c>
      <c r="Q20" s="20">
        <f>('TE BE'!$R$20+'TE BF'!$R$20+'TE CVA'!$R$20)*(1 - 0.4)</f>
        <v>106.58057341457373</v>
      </c>
      <c r="R20" s="20">
        <f>('TE BE'!$T$20+'TE BF'!$T$20+'TE CVA'!$T$20)*(1 - 0.4)</f>
        <v>0</v>
      </c>
      <c r="S20" s="20">
        <f>('TE BE'!$U$20+'TE BF'!$U$20+'TE CVA'!$U$20)*(1 - 0.4)</f>
        <v>0</v>
      </c>
      <c r="T20" s="20">
        <f>('TE BE'!$V$20+'TE BF'!$V$20+'TE CVA'!$V$20)*(1 - 0.4)</f>
        <v>0</v>
      </c>
      <c r="U20" s="20">
        <f>('TE BE'!$X$20+'TE BF'!$X$20+'TE CVA'!$X$20)*(1 - 0.4)</f>
        <v>0</v>
      </c>
      <c r="V20" s="20">
        <f>('TE BE'!$Z$20+'TE BF'!$Z$20+'TE CVA'!$Z$20)*(1 - 0.4)</f>
        <v>2.9254385050439686</v>
      </c>
      <c r="X20" s="20">
        <v>0</v>
      </c>
      <c r="Y20" s="20">
        <v>4.1765116616454696</v>
      </c>
      <c r="Z20" s="20">
        <v>0</v>
      </c>
      <c r="AA20" s="20">
        <v>0</v>
      </c>
      <c r="AB20" s="20">
        <v>0</v>
      </c>
      <c r="AC20" s="20">
        <v>145.373807017415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09"/>
      <c r="B21" s="109"/>
      <c r="C21" s="109"/>
      <c r="D21" s="22" t="s">
        <v>31</v>
      </c>
      <c r="E21" s="22" t="s">
        <v>25</v>
      </c>
      <c r="F21" s="22" t="s">
        <v>25</v>
      </c>
      <c r="G21" s="23" t="s">
        <v>87</v>
      </c>
      <c r="H21" s="23" t="s">
        <v>82</v>
      </c>
      <c r="I21" s="23">
        <f>'MERCADO TE'!$U$18</f>
        <v>0</v>
      </c>
      <c r="J21" s="15"/>
      <c r="L21" s="20">
        <f>('TE BE'!$L$21+'TE BF'!$L$21+'TE CVA'!$L$21)*(1 - 0.1)</f>
        <v>0</v>
      </c>
      <c r="M21" s="20">
        <f>('TE BE'!$M$21+'TE BF'!$M$21+'TE CVA'!$M$21)*(1 - 0.1)</f>
        <v>33.599616252960111</v>
      </c>
      <c r="N21" s="20">
        <f>('TE BE'!$N$21+'TE BF'!$N$21+'TE CVA'!$N$21)*(1 - 0.1)</f>
        <v>0</v>
      </c>
      <c r="O21" s="20">
        <f>('TE BE'!$O$21+'TE BF'!$O$21+'TE CVA'!$O$21)*(1 - 0.1)</f>
        <v>0</v>
      </c>
      <c r="P21" s="20">
        <f>('TE BE'!$P$21+'TE BF'!$P$21+'TE CVA'!$P$21)*(1 - 0.1)</f>
        <v>-14.814165999969445</v>
      </c>
      <c r="Q21" s="20">
        <f>('TE BE'!$R$21+'TE BF'!$R$21+'TE CVA'!$R$21)*(1 - 0.1)</f>
        <v>159.8708601218606</v>
      </c>
      <c r="R21" s="20">
        <f>('TE BE'!$T$21+'TE BF'!$T$21+'TE CVA'!$T$21)*(1 - 0.1)</f>
        <v>0</v>
      </c>
      <c r="S21" s="20">
        <f>('TE BE'!$U$21+'TE BF'!$U$21+'TE CVA'!$U$21)*(1 - 0.1)</f>
        <v>0</v>
      </c>
      <c r="T21" s="20">
        <f>('TE BE'!$V$21+'TE BF'!$V$21+'TE CVA'!$V$21)*(1 - 0.1)</f>
        <v>0</v>
      </c>
      <c r="U21" s="20">
        <f>('TE BE'!$X$21+'TE BF'!$X$21+'TE CVA'!$X$21)*(1 - 0.1)</f>
        <v>0</v>
      </c>
      <c r="V21" s="20">
        <f>('TE BE'!$Z$21+'TE BF'!$Z$21+'TE CVA'!$Z$21)*(1 - 0.1)</f>
        <v>4.3881577575659536</v>
      </c>
      <c r="X21" s="20">
        <v>0</v>
      </c>
      <c r="Y21" s="20">
        <v>6.2647674924682004</v>
      </c>
      <c r="Z21" s="20">
        <v>0</v>
      </c>
      <c r="AA21" s="20">
        <v>0</v>
      </c>
      <c r="AB21" s="20">
        <v>0</v>
      </c>
      <c r="AC21" s="20">
        <v>218.06071052612199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09"/>
      <c r="B22" s="109"/>
      <c r="C22" s="109"/>
      <c r="D22" s="22" t="s">
        <v>32</v>
      </c>
      <c r="E22" s="22" t="s">
        <v>25</v>
      </c>
      <c r="F22" s="22" t="s">
        <v>25</v>
      </c>
      <c r="G22" s="23" t="s">
        <v>87</v>
      </c>
      <c r="H22" s="23" t="s">
        <v>82</v>
      </c>
      <c r="I22" s="23">
        <f>'MERCADO TE'!$U$19</f>
        <v>0</v>
      </c>
      <c r="J22" s="15"/>
      <c r="L22" s="20">
        <f>('TE BE'!$L$22+'TE BF'!$L$22+'TE CVA'!$L$22)*1</f>
        <v>0</v>
      </c>
      <c r="M22" s="20">
        <f>('TE BE'!$M$22+'TE BF'!$M$22+'TE CVA'!$M$22)*1</f>
        <v>37.332906947733456</v>
      </c>
      <c r="N22" s="20">
        <f>('TE BE'!$N$22+'TE BF'!$N$22+'TE CVA'!$N$22)*1</f>
        <v>0</v>
      </c>
      <c r="O22" s="20">
        <f>('TE BE'!$O$22+'TE BF'!$O$22+'TE CVA'!$O$22)*1</f>
        <v>0</v>
      </c>
      <c r="P22" s="20">
        <f>('TE BE'!$P$22+'TE BF'!$P$22+'TE CVA'!$P$22)*1</f>
        <v>-16.460184444410494</v>
      </c>
      <c r="Q22" s="20">
        <f>('TE BE'!$R$22+'TE BF'!$R$22+'TE CVA'!$R$22)*1</f>
        <v>177.63428902428956</v>
      </c>
      <c r="R22" s="20">
        <f>('TE BE'!$T$22+'TE BF'!$T$22+'TE CVA'!$T$22)*1</f>
        <v>0</v>
      </c>
      <c r="S22" s="20">
        <f>('TE BE'!$U$22+'TE BF'!$U$22+'TE CVA'!$U$22)*1</f>
        <v>0</v>
      </c>
      <c r="T22" s="20">
        <f>('TE BE'!$V$22+'TE BF'!$V$22+'TE CVA'!$V$22)*1</f>
        <v>0</v>
      </c>
      <c r="U22" s="20">
        <f>('TE BE'!$X$22+'TE BF'!$X$22+'TE CVA'!$X$22)*1</f>
        <v>0</v>
      </c>
      <c r="V22" s="20">
        <f>('TE BE'!$Z$22+'TE BF'!$Z$22+'TE CVA'!$Z$22)*1</f>
        <v>4.8757308417399479</v>
      </c>
      <c r="X22" s="20">
        <v>0</v>
      </c>
      <c r="Y22" s="20">
        <v>6.9608527694091098</v>
      </c>
      <c r="Z22" s="20">
        <v>0</v>
      </c>
      <c r="AA22" s="20">
        <v>0</v>
      </c>
      <c r="AB22" s="20">
        <v>0</v>
      </c>
      <c r="AC22" s="20">
        <v>242.28967836235799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09" t="s">
        <v>40</v>
      </c>
      <c r="B23" s="109" t="s">
        <v>81</v>
      </c>
      <c r="C23" s="109" t="s">
        <v>41</v>
      </c>
      <c r="D23" s="109" t="s">
        <v>25</v>
      </c>
      <c r="E23" s="109" t="s">
        <v>25</v>
      </c>
      <c r="F23" s="109" t="s">
        <v>25</v>
      </c>
      <c r="G23" s="23" t="s">
        <v>83</v>
      </c>
      <c r="H23" s="23" t="s">
        <v>82</v>
      </c>
      <c r="I23" s="23">
        <f>'MERCADO TE'!$U$20</f>
        <v>0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35.092932530869447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-15.472573377745864</v>
      </c>
      <c r="Q23" s="20">
        <f>('TE BE'!$R$23+'TE BF'!$R$23+'TE CVA'!$R$23)*(1 - CUSTOS!$M$38)</f>
        <v>166.97623168283218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4.583186991235551</v>
      </c>
      <c r="X23" s="20">
        <v>0</v>
      </c>
      <c r="Y23" s="20">
        <v>6.1255504370800198</v>
      </c>
      <c r="Z23" s="20">
        <v>0</v>
      </c>
      <c r="AA23" s="20">
        <v>0</v>
      </c>
      <c r="AB23" s="20">
        <v>0</v>
      </c>
      <c r="AC23" s="20">
        <v>213.21491695887499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09"/>
      <c r="B24" s="109"/>
      <c r="C24" s="109"/>
      <c r="D24" s="109"/>
      <c r="E24" s="109"/>
      <c r="F24" s="109"/>
      <c r="G24" s="23" t="s">
        <v>95</v>
      </c>
      <c r="H24" s="23" t="s">
        <v>82</v>
      </c>
      <c r="I24" s="23">
        <f>'MERCADO TE'!$U$21</f>
        <v>0</v>
      </c>
      <c r="J24" s="15"/>
      <c r="L24" s="20">
        <f>('TE BE'!$L$24+'TE BF'!$L$24+'TE CVA'!$L$24)*(1 - CUSTOS!$M$38)</f>
        <v>0</v>
      </c>
      <c r="M24" s="20">
        <f>('TE BE'!$M$24+'TE BF'!$M$24+'TE CVA'!$M$24)*(1 - CUSTOS!$M$38)</f>
        <v>35.092932530869447</v>
      </c>
      <c r="N24" s="20">
        <f>('TE BE'!$N$24+'TE BF'!$N$24+'TE CVA'!$N$24)*(1 - CUSTOS!$M$38)</f>
        <v>0</v>
      </c>
      <c r="O24" s="20">
        <f>('TE BE'!$O$24+'TE BF'!$O$24+'TE CVA'!$O$24)*(1 - CUSTOS!$M$38)</f>
        <v>0</v>
      </c>
      <c r="P24" s="20">
        <f>('TE BE'!$P$24+'TE BF'!$P$24+'TE CVA'!$P$24)*(1 - CUSTOS!$M$38)</f>
        <v>-15.472573377745864</v>
      </c>
      <c r="Q24" s="20">
        <f>('TE BE'!$R$24+'TE BF'!$R$24+'TE CVA'!$R$24)*(1 - CUSTOS!$M$38)</f>
        <v>166.97623168283218</v>
      </c>
      <c r="R24" s="20">
        <f>('TE BE'!$T$24+'TE BF'!$T$24+'TE CVA'!$T$24)*(1 - CUSTOS!$M$38)</f>
        <v>0</v>
      </c>
      <c r="S24" s="20">
        <f>('TE BE'!$U$24+'TE BF'!$U$24+'TE CVA'!$U$24)*(1 - CUSTOS!$M$38)</f>
        <v>0</v>
      </c>
      <c r="T24" s="20">
        <f>('TE BE'!$V$24+'TE BF'!$V$24+'TE CVA'!$V$24)*(1 - CUSTOS!$M$38)</f>
        <v>0</v>
      </c>
      <c r="U24" s="20">
        <f>('TE BE'!$X$24+'TE BF'!$X$24+'TE CVA'!$X$24)*(1 - CUSTOS!$M$38)</f>
        <v>0</v>
      </c>
      <c r="V24" s="20">
        <f>('TE BE'!$Z$24+'TE BF'!$Z$24+'TE CVA'!$Z$24)*(1 - CUSTOS!$M$38)</f>
        <v>4.583186991235551</v>
      </c>
      <c r="X24" s="20">
        <v>0</v>
      </c>
      <c r="Y24" s="20">
        <v>6.1255504370800198</v>
      </c>
      <c r="Z24" s="20">
        <v>0</v>
      </c>
      <c r="AA24" s="20">
        <v>0</v>
      </c>
      <c r="AB24" s="20">
        <v>0</v>
      </c>
      <c r="AC24" s="20">
        <v>213.21491695887499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09"/>
      <c r="B25" s="109"/>
      <c r="C25" s="109"/>
      <c r="D25" s="109"/>
      <c r="E25" s="109"/>
      <c r="F25" s="109"/>
      <c r="G25" s="23" t="s">
        <v>84</v>
      </c>
      <c r="H25" s="23" t="s">
        <v>82</v>
      </c>
      <c r="I25" s="23">
        <f>'MERCADO TE'!$U$22</f>
        <v>0</v>
      </c>
      <c r="J25" s="15"/>
      <c r="L25" s="20">
        <f>('TE BE'!$L$25+'TE BF'!$L$25+'TE CVA'!$L$25)*(1 - CUSTOS!$M$38)</f>
        <v>0</v>
      </c>
      <c r="M25" s="20">
        <f>('TE BE'!$M$25+'TE BF'!$M$25+'TE CVA'!$M$25)*(1 - CUSTOS!$M$38)</f>
        <v>35.092932530869447</v>
      </c>
      <c r="N25" s="20">
        <f>('TE BE'!$N$25+'TE BF'!$N$25+'TE CVA'!$N$25)*(1 - CUSTOS!$M$38)</f>
        <v>0</v>
      </c>
      <c r="O25" s="20">
        <f>('TE BE'!$O$25+'TE BF'!$O$25+'TE CVA'!$O$25)*(1 - CUSTOS!$M$38)</f>
        <v>0</v>
      </c>
      <c r="P25" s="20">
        <f>('TE BE'!$P$25+'TE BF'!$P$25+'TE CVA'!$P$25)*(1 - CUSTOS!$M$38)</f>
        <v>-15.472573377745864</v>
      </c>
      <c r="Q25" s="20">
        <f>('TE BE'!$R$25+'TE BF'!$R$25+'TE CVA'!$R$25)*(1 - CUSTOS!$M$38)</f>
        <v>166.97623168283218</v>
      </c>
      <c r="R25" s="20">
        <f>('TE BE'!$T$25+'TE BF'!$T$25+'TE CVA'!$T$25)*(1 - CUSTOS!$M$38)</f>
        <v>0</v>
      </c>
      <c r="S25" s="20">
        <f>('TE BE'!$U$25+'TE BF'!$U$25+'TE CVA'!$U$25)*(1 - CUSTOS!$M$38)</f>
        <v>0</v>
      </c>
      <c r="T25" s="20">
        <f>('TE BE'!$V$25+'TE BF'!$V$25+'TE CVA'!$V$25)*(1 - CUSTOS!$M$38)</f>
        <v>0</v>
      </c>
      <c r="U25" s="20">
        <f>('TE BE'!$X$25+'TE BF'!$X$25+'TE CVA'!$X$25)*(1 - CUSTOS!$M$38)</f>
        <v>0</v>
      </c>
      <c r="V25" s="20">
        <f>('TE BE'!$Z$25+'TE BF'!$Z$25+'TE CVA'!$Z$25)*(1 - CUSTOS!$M$38)</f>
        <v>4.583186991235551</v>
      </c>
      <c r="X25" s="20">
        <v>0</v>
      </c>
      <c r="Y25" s="20">
        <v>6.1255504370800198</v>
      </c>
      <c r="Z25" s="20">
        <v>0</v>
      </c>
      <c r="AA25" s="20">
        <v>0</v>
      </c>
      <c r="AB25" s="20">
        <v>0</v>
      </c>
      <c r="AC25" s="20">
        <v>213.21491695887499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09"/>
      <c r="B26" s="22" t="s">
        <v>96</v>
      </c>
      <c r="C26" s="22" t="s">
        <v>41</v>
      </c>
      <c r="D26" s="22" t="s">
        <v>25</v>
      </c>
      <c r="E26" s="22" t="s">
        <v>25</v>
      </c>
      <c r="F26" s="22" t="s">
        <v>25</v>
      </c>
      <c r="G26" s="23" t="s">
        <v>87</v>
      </c>
      <c r="H26" s="23" t="s">
        <v>82</v>
      </c>
      <c r="I26" s="23">
        <f>'MERCADO TE'!$U$23</f>
        <v>28155.339999999997</v>
      </c>
      <c r="J26" s="15"/>
      <c r="L26" s="20">
        <f>('TE BE'!$L$26+'TE BF'!$L$26+'TE CVA'!$L$26)*(1 - CUSTOS!$M$38)</f>
        <v>0</v>
      </c>
      <c r="M26" s="20">
        <f>('TE BE'!$M$26+'TE BF'!$M$26+'TE CVA'!$M$26)*(1 - CUSTOS!$M$38)</f>
        <v>35.092932530869447</v>
      </c>
      <c r="N26" s="20">
        <f>('TE BE'!$N$26+'TE BF'!$N$26+'TE CVA'!$N$26)*(1 - CUSTOS!$M$38)</f>
        <v>0</v>
      </c>
      <c r="O26" s="20">
        <f>('TE BE'!$O$26+'TE BF'!$O$26+'TE CVA'!$O$26)*(1 - CUSTOS!$M$38)</f>
        <v>0</v>
      </c>
      <c r="P26" s="20">
        <f>('TE BE'!$P$26+'TE BF'!$P$26+'TE CVA'!$P$26)*(1 - CUSTOS!$M$38)</f>
        <v>-15.472573377745864</v>
      </c>
      <c r="Q26" s="20">
        <f>('TE BE'!$R$26+'TE BF'!$R$26+'TE CVA'!$R$26)*(1 - CUSTOS!$M$38)</f>
        <v>166.97623168283218</v>
      </c>
      <c r="R26" s="20">
        <f>('TE BE'!$T$26+'TE BF'!$T$26+'TE CVA'!$T$26)*(1 - CUSTOS!$M$38)</f>
        <v>0</v>
      </c>
      <c r="S26" s="20">
        <f>('TE BE'!$U$26+'TE BF'!$U$26+'TE CVA'!$U$26)*(1 - CUSTOS!$M$38)</f>
        <v>0</v>
      </c>
      <c r="T26" s="20">
        <f>('TE BE'!$V$26+'TE BF'!$V$26+'TE CVA'!$V$26)*(1 - CUSTOS!$M$38)</f>
        <v>0</v>
      </c>
      <c r="U26" s="20">
        <f>('TE BE'!$X$26+'TE BF'!$X$26+'TE CVA'!$X$26)*(1 - CUSTOS!$M$38)</f>
        <v>0</v>
      </c>
      <c r="V26" s="20">
        <f>('TE BE'!$Z$26+'TE BF'!$Z$26+'TE CVA'!$Z$26)*(1 - CUSTOS!$M$38)</f>
        <v>4.583186991235551</v>
      </c>
      <c r="X26" s="20">
        <v>0</v>
      </c>
      <c r="Y26" s="20">
        <v>6.1255504370800198</v>
      </c>
      <c r="Z26" s="20">
        <v>0</v>
      </c>
      <c r="AA26" s="20">
        <v>0</v>
      </c>
      <c r="AB26" s="20">
        <v>0</v>
      </c>
      <c r="AC26" s="20">
        <v>213.21491695887499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09"/>
      <c r="B27" s="109" t="s">
        <v>81</v>
      </c>
      <c r="C27" s="109" t="s">
        <v>41</v>
      </c>
      <c r="D27" s="109" t="s">
        <v>100</v>
      </c>
      <c r="E27" s="109" t="s">
        <v>25</v>
      </c>
      <c r="F27" s="109" t="s">
        <v>25</v>
      </c>
      <c r="G27" s="23" t="s">
        <v>83</v>
      </c>
      <c r="H27" s="23" t="s">
        <v>82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35.092932530869447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-15.472573377745864</v>
      </c>
      <c r="Q27" s="20">
        <f>('TE BE'!$R$27+'TE BF'!$R$27+'TE CVA'!$R$27)*(1 - CUSTOS!$M$39)</f>
        <v>166.97623168283218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4.583186991235551</v>
      </c>
      <c r="X27" s="20">
        <v>0</v>
      </c>
      <c r="Y27" s="20">
        <v>6.1255504370800198</v>
      </c>
      <c r="Z27" s="20">
        <v>0</v>
      </c>
      <c r="AA27" s="20">
        <v>0</v>
      </c>
      <c r="AB27" s="20">
        <v>0</v>
      </c>
      <c r="AC27" s="20">
        <v>213.21491695887499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09"/>
      <c r="B28" s="109"/>
      <c r="C28" s="109"/>
      <c r="D28" s="109"/>
      <c r="E28" s="109"/>
      <c r="F28" s="109"/>
      <c r="G28" s="23" t="s">
        <v>95</v>
      </c>
      <c r="H28" s="23" t="s">
        <v>82</v>
      </c>
      <c r="I28" s="23">
        <f>'MERCADO TE'!$U$25</f>
        <v>0</v>
      </c>
      <c r="J28" s="15"/>
      <c r="L28" s="20">
        <f>('TE BE'!$L$28+'TE BF'!$L$28+'TE CVA'!$L$28)*(1 - CUSTOS!$M$39)</f>
        <v>0</v>
      </c>
      <c r="M28" s="20">
        <f>('TE BE'!$M$28+'TE BF'!$M$28+'TE CVA'!$M$28)*(1 - CUSTOS!$M$39)</f>
        <v>35.092932530869447</v>
      </c>
      <c r="N28" s="20">
        <f>('TE BE'!$N$28+'TE BF'!$N$28+'TE CVA'!$N$28)*(1 - CUSTOS!$M$39)</f>
        <v>0</v>
      </c>
      <c r="O28" s="20">
        <f>('TE BE'!$O$28+'TE BF'!$O$28+'TE CVA'!$O$28)*(1 - CUSTOS!$M$39)</f>
        <v>0</v>
      </c>
      <c r="P28" s="20">
        <f>('TE BE'!$P$28+'TE BF'!$P$28+'TE CVA'!$P$28)*(1 - CUSTOS!$M$39)</f>
        <v>-15.472573377745864</v>
      </c>
      <c r="Q28" s="20">
        <f>('TE BE'!$R$28+'TE BF'!$R$28+'TE CVA'!$R$28)*(1 - CUSTOS!$M$39)</f>
        <v>166.97623168283218</v>
      </c>
      <c r="R28" s="20">
        <f>('TE BE'!$T$28+'TE BF'!$T$28+'TE CVA'!$T$28)*(1 - CUSTOS!$M$39)</f>
        <v>0</v>
      </c>
      <c r="S28" s="20">
        <f>('TE BE'!$U$28+'TE BF'!$U$28+'TE CVA'!$U$28)*(1 - CUSTOS!$M$39)</f>
        <v>0</v>
      </c>
      <c r="T28" s="20">
        <f>('TE BE'!$V$28+'TE BF'!$V$28+'TE CVA'!$V$28)*(1 - CUSTOS!$M$39)</f>
        <v>0</v>
      </c>
      <c r="U28" s="20">
        <f>('TE BE'!$X$28+'TE BF'!$X$28+'TE CVA'!$X$28)*(1 - CUSTOS!$M$39)</f>
        <v>0</v>
      </c>
      <c r="V28" s="20">
        <f>('TE BE'!$Z$28+'TE BF'!$Z$28+'TE CVA'!$Z$28)*(1 - CUSTOS!$M$39)</f>
        <v>4.583186991235551</v>
      </c>
      <c r="X28" s="20">
        <v>0</v>
      </c>
      <c r="Y28" s="20">
        <v>6.1255504370800198</v>
      </c>
      <c r="Z28" s="20">
        <v>0</v>
      </c>
      <c r="AA28" s="20">
        <v>0</v>
      </c>
      <c r="AB28" s="20">
        <v>0</v>
      </c>
      <c r="AC28" s="20">
        <v>213.21491695887499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09"/>
      <c r="B29" s="109"/>
      <c r="C29" s="109"/>
      <c r="D29" s="109"/>
      <c r="E29" s="109"/>
      <c r="F29" s="109"/>
      <c r="G29" s="23" t="s">
        <v>84</v>
      </c>
      <c r="H29" s="23" t="s">
        <v>82</v>
      </c>
      <c r="I29" s="23">
        <f>'MERCADO TE'!$U$26</f>
        <v>0</v>
      </c>
      <c r="J29" s="15"/>
      <c r="L29" s="20">
        <f>('TE BE'!$L$29+'TE BF'!$L$29+'TE CVA'!$L$29)*(1 - CUSTOS!$M$39)</f>
        <v>0</v>
      </c>
      <c r="M29" s="20">
        <f>('TE BE'!$M$29+'TE BF'!$M$29+'TE CVA'!$M$29)*(1 - CUSTOS!$M$39)</f>
        <v>35.092932530869447</v>
      </c>
      <c r="N29" s="20">
        <f>('TE BE'!$N$29+'TE BF'!$N$29+'TE CVA'!$N$29)*(1 - CUSTOS!$M$39)</f>
        <v>0</v>
      </c>
      <c r="O29" s="20">
        <f>('TE BE'!$O$29+'TE BF'!$O$29+'TE CVA'!$O$29)*(1 - CUSTOS!$M$39)</f>
        <v>0</v>
      </c>
      <c r="P29" s="20">
        <f>('TE BE'!$P$29+'TE BF'!$P$29+'TE CVA'!$P$29)*(1 - CUSTOS!$M$39)</f>
        <v>-15.472573377745864</v>
      </c>
      <c r="Q29" s="20">
        <f>('TE BE'!$R$29+'TE BF'!$R$29+'TE CVA'!$R$29)*(1 - CUSTOS!$M$39)</f>
        <v>166.97623168283218</v>
      </c>
      <c r="R29" s="20">
        <f>('TE BE'!$T$29+'TE BF'!$T$29+'TE CVA'!$T$29)*(1 - CUSTOS!$M$39)</f>
        <v>0</v>
      </c>
      <c r="S29" s="20">
        <f>('TE BE'!$U$29+'TE BF'!$U$29+'TE CVA'!$U$29)*(1 - CUSTOS!$M$39)</f>
        <v>0</v>
      </c>
      <c r="T29" s="20">
        <f>('TE BE'!$V$29+'TE BF'!$V$29+'TE CVA'!$V$29)*(1 - CUSTOS!$M$39)</f>
        <v>0</v>
      </c>
      <c r="U29" s="20">
        <f>('TE BE'!$X$29+'TE BF'!$X$29+'TE CVA'!$X$29)*(1 - CUSTOS!$M$39)</f>
        <v>0</v>
      </c>
      <c r="V29" s="20">
        <f>('TE BE'!$Z$29+'TE BF'!$Z$29+'TE CVA'!$Z$29)*(1 - CUSTOS!$M$39)</f>
        <v>4.583186991235551</v>
      </c>
      <c r="X29" s="20">
        <v>0</v>
      </c>
      <c r="Y29" s="20">
        <v>6.1255504370800198</v>
      </c>
      <c r="Z29" s="20">
        <v>0</v>
      </c>
      <c r="AA29" s="20">
        <v>0</v>
      </c>
      <c r="AB29" s="20">
        <v>0</v>
      </c>
      <c r="AC29" s="20">
        <v>213.21491695887499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09"/>
      <c r="B30" s="22" t="s">
        <v>96</v>
      </c>
      <c r="C30" s="22" t="s">
        <v>41</v>
      </c>
      <c r="D30" s="22" t="s">
        <v>100</v>
      </c>
      <c r="E30" s="22" t="s">
        <v>25</v>
      </c>
      <c r="F30" s="22" t="s">
        <v>25</v>
      </c>
      <c r="G30" s="23" t="s">
        <v>87</v>
      </c>
      <c r="H30" s="23" t="s">
        <v>82</v>
      </c>
      <c r="I30" s="23">
        <f>'MERCADO TE'!$U$27</f>
        <v>0</v>
      </c>
      <c r="J30" s="15"/>
      <c r="L30" s="20">
        <f>('TE BE'!$L$30+'TE BF'!$L$30+'TE CVA'!$L$30)*(1 - CUSTOS!$M$39)</f>
        <v>0</v>
      </c>
      <c r="M30" s="20">
        <f>('TE BE'!$M$30+'TE BF'!$M$30+'TE CVA'!$M$30)*(1 - CUSTOS!$M$39)</f>
        <v>35.092932530869447</v>
      </c>
      <c r="N30" s="20">
        <f>('TE BE'!$N$30+'TE BF'!$N$30+'TE CVA'!$N$30)*(1 - CUSTOS!$M$39)</f>
        <v>0</v>
      </c>
      <c r="O30" s="20">
        <f>('TE BE'!$O$30+'TE BF'!$O$30+'TE CVA'!$O$30)*(1 - CUSTOS!$M$39)</f>
        <v>0</v>
      </c>
      <c r="P30" s="20">
        <f>('TE BE'!$P$30+'TE BF'!$P$30+'TE CVA'!$P$30)*(1 - CUSTOS!$M$39)</f>
        <v>-15.472573377745864</v>
      </c>
      <c r="Q30" s="20">
        <f>('TE BE'!$R$30+'TE BF'!$R$30+'TE CVA'!$R$30)*(1 - CUSTOS!$M$39)</f>
        <v>166.97623168283218</v>
      </c>
      <c r="R30" s="20">
        <f>('TE BE'!$T$30+'TE BF'!$T$30+'TE CVA'!$T$30)*(1 - CUSTOS!$M$39)</f>
        <v>0</v>
      </c>
      <c r="S30" s="20">
        <f>('TE BE'!$U$30+'TE BF'!$U$30+'TE CVA'!$U$30)*(1 - CUSTOS!$M$39)</f>
        <v>0</v>
      </c>
      <c r="T30" s="20">
        <f>('TE BE'!$V$30+'TE BF'!$V$30+'TE CVA'!$V$30)*(1 - CUSTOS!$M$39)</f>
        <v>0</v>
      </c>
      <c r="U30" s="20">
        <f>('TE BE'!$X$30+'TE BF'!$X$30+'TE CVA'!$X$30)*(1 - CUSTOS!$M$39)</f>
        <v>0</v>
      </c>
      <c r="V30" s="20">
        <f>('TE BE'!$Z$30+'TE BF'!$Z$30+'TE CVA'!$Z$30)*(1 - CUSTOS!$M$39)</f>
        <v>4.583186991235551</v>
      </c>
      <c r="X30" s="20">
        <v>0</v>
      </c>
      <c r="Y30" s="20">
        <v>6.1255504370800198</v>
      </c>
      <c r="Z30" s="20">
        <v>0</v>
      </c>
      <c r="AA30" s="20">
        <v>0</v>
      </c>
      <c r="AB30" s="20">
        <v>0</v>
      </c>
      <c r="AC30" s="20">
        <v>213.21491695887499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09"/>
      <c r="B31" s="109" t="s">
        <v>81</v>
      </c>
      <c r="C31" s="109" t="s">
        <v>41</v>
      </c>
      <c r="D31" s="109" t="s">
        <v>101</v>
      </c>
      <c r="E31" s="109" t="s">
        <v>25</v>
      </c>
      <c r="F31" s="109" t="s">
        <v>25</v>
      </c>
      <c r="G31" s="23" t="s">
        <v>83</v>
      </c>
      <c r="H31" s="23" t="s">
        <v>82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34.346274391914783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-15.143369688857655</v>
      </c>
      <c r="Q31" s="20">
        <f>('TE BE'!$R$31+'TE BF'!$R$31+'TE CVA'!$R$31)*(1 - CUSTOS!$M$40)</f>
        <v>163.4235459023464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4.4856723744007523</v>
      </c>
      <c r="X31" s="20">
        <v>0</v>
      </c>
      <c r="Y31" s="20">
        <v>5.8471163263036603</v>
      </c>
      <c r="Z31" s="20">
        <v>0</v>
      </c>
      <c r="AA31" s="20">
        <v>0</v>
      </c>
      <c r="AB31" s="20">
        <v>0</v>
      </c>
      <c r="AC31" s="20">
        <v>203.52332982438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09"/>
      <c r="B32" s="109"/>
      <c r="C32" s="109"/>
      <c r="D32" s="109"/>
      <c r="E32" s="109"/>
      <c r="F32" s="109"/>
      <c r="G32" s="23" t="s">
        <v>95</v>
      </c>
      <c r="H32" s="23" t="s">
        <v>82</v>
      </c>
      <c r="I32" s="23">
        <f>'MERCADO TE'!$U$29</f>
        <v>0</v>
      </c>
      <c r="J32" s="15"/>
      <c r="L32" s="20">
        <f>('TE BE'!$L$32+'TE BF'!$L$32+'TE CVA'!$L$32)*(1 - CUSTOS!$M$40)</f>
        <v>0</v>
      </c>
      <c r="M32" s="20">
        <f>('TE BE'!$M$32+'TE BF'!$M$32+'TE CVA'!$M$32)*(1 - CUSTOS!$M$40)</f>
        <v>34.346274391914783</v>
      </c>
      <c r="N32" s="20">
        <f>('TE BE'!$N$32+'TE BF'!$N$32+'TE CVA'!$N$32)*(1 - CUSTOS!$M$40)</f>
        <v>0</v>
      </c>
      <c r="O32" s="20">
        <f>('TE BE'!$O$32+'TE BF'!$O$32+'TE CVA'!$O$32)*(1 - CUSTOS!$M$40)</f>
        <v>0</v>
      </c>
      <c r="P32" s="20">
        <f>('TE BE'!$P$32+'TE BF'!$P$32+'TE CVA'!$P$32)*(1 - CUSTOS!$M$40)</f>
        <v>-15.143369688857655</v>
      </c>
      <c r="Q32" s="20">
        <f>('TE BE'!$R$32+'TE BF'!$R$32+'TE CVA'!$R$32)*(1 - CUSTOS!$M$40)</f>
        <v>163.4235459023464</v>
      </c>
      <c r="R32" s="20">
        <f>('TE BE'!$T$32+'TE BF'!$T$32+'TE CVA'!$T$32)*(1 - CUSTOS!$M$40)</f>
        <v>0</v>
      </c>
      <c r="S32" s="20">
        <f>('TE BE'!$U$32+'TE BF'!$U$32+'TE CVA'!$U$32)*(1 - CUSTOS!$M$40)</f>
        <v>0</v>
      </c>
      <c r="T32" s="20">
        <f>('TE BE'!$V$32+'TE BF'!$V$32+'TE CVA'!$V$32)*(1 - CUSTOS!$M$40)</f>
        <v>0</v>
      </c>
      <c r="U32" s="20">
        <f>('TE BE'!$X$32+'TE BF'!$X$32+'TE CVA'!$X$32)*(1 - CUSTOS!$M$40)</f>
        <v>0</v>
      </c>
      <c r="V32" s="20">
        <f>('TE BE'!$Z$32+'TE BF'!$Z$32+'TE CVA'!$Z$32)*(1 - CUSTOS!$M$40)</f>
        <v>4.4856723744007523</v>
      </c>
      <c r="X32" s="20">
        <v>0</v>
      </c>
      <c r="Y32" s="20">
        <v>5.8471163263036603</v>
      </c>
      <c r="Z32" s="20">
        <v>0</v>
      </c>
      <c r="AA32" s="20">
        <v>0</v>
      </c>
      <c r="AB32" s="20">
        <v>0</v>
      </c>
      <c r="AC32" s="20">
        <v>203.52332982438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09"/>
      <c r="B33" s="109"/>
      <c r="C33" s="109"/>
      <c r="D33" s="109"/>
      <c r="E33" s="109"/>
      <c r="F33" s="109"/>
      <c r="G33" s="23" t="s">
        <v>84</v>
      </c>
      <c r="H33" s="23" t="s">
        <v>82</v>
      </c>
      <c r="I33" s="23">
        <f>'MERCADO TE'!$U$30</f>
        <v>0</v>
      </c>
      <c r="J33" s="15"/>
      <c r="L33" s="20">
        <f>('TE BE'!$L$33+'TE BF'!$L$33+'TE CVA'!$L$33)*(1 - CUSTOS!$M$40)</f>
        <v>0</v>
      </c>
      <c r="M33" s="20">
        <f>('TE BE'!$M$33+'TE BF'!$M$33+'TE CVA'!$M$33)*(1 - CUSTOS!$M$40)</f>
        <v>34.346274391914783</v>
      </c>
      <c r="N33" s="20">
        <f>('TE BE'!$N$33+'TE BF'!$N$33+'TE CVA'!$N$33)*(1 - CUSTOS!$M$40)</f>
        <v>0</v>
      </c>
      <c r="O33" s="20">
        <f>('TE BE'!$O$33+'TE BF'!$O$33+'TE CVA'!$O$33)*(1 - CUSTOS!$M$40)</f>
        <v>0</v>
      </c>
      <c r="P33" s="20">
        <f>('TE BE'!$P$33+'TE BF'!$P$33+'TE CVA'!$P$33)*(1 - CUSTOS!$M$40)</f>
        <v>-15.143369688857655</v>
      </c>
      <c r="Q33" s="20">
        <f>('TE BE'!$R$33+'TE BF'!$R$33+'TE CVA'!$R$33)*(1 - CUSTOS!$M$40)</f>
        <v>163.4235459023464</v>
      </c>
      <c r="R33" s="20">
        <f>('TE BE'!$T$33+'TE BF'!$T$33+'TE CVA'!$T$33)*(1 - CUSTOS!$M$40)</f>
        <v>0</v>
      </c>
      <c r="S33" s="20">
        <f>('TE BE'!$U$33+'TE BF'!$U$33+'TE CVA'!$U$33)*(1 - CUSTOS!$M$40)</f>
        <v>0</v>
      </c>
      <c r="T33" s="20">
        <f>('TE BE'!$V$33+'TE BF'!$V$33+'TE CVA'!$V$33)*(1 - CUSTOS!$M$40)</f>
        <v>0</v>
      </c>
      <c r="U33" s="20">
        <f>('TE BE'!$X$33+'TE BF'!$X$33+'TE CVA'!$X$33)*(1 - CUSTOS!$M$40)</f>
        <v>0</v>
      </c>
      <c r="V33" s="20">
        <f>('TE BE'!$Z$33+'TE BF'!$Z$33+'TE CVA'!$Z$33)*(1 - CUSTOS!$M$40)</f>
        <v>4.4856723744007523</v>
      </c>
      <c r="X33" s="20">
        <v>0</v>
      </c>
      <c r="Y33" s="20">
        <v>5.8471163263036603</v>
      </c>
      <c r="Z33" s="20">
        <v>0</v>
      </c>
      <c r="AA33" s="20">
        <v>0</v>
      </c>
      <c r="AB33" s="20">
        <v>0</v>
      </c>
      <c r="AC33" s="20">
        <v>203.52332982438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09"/>
      <c r="B34" s="22" t="s">
        <v>96</v>
      </c>
      <c r="C34" s="22" t="s">
        <v>41</v>
      </c>
      <c r="D34" s="22" t="s">
        <v>101</v>
      </c>
      <c r="E34" s="22" t="s">
        <v>25</v>
      </c>
      <c r="F34" s="22" t="s">
        <v>25</v>
      </c>
      <c r="G34" s="23" t="s">
        <v>87</v>
      </c>
      <c r="H34" s="23" t="s">
        <v>82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34.346274391914783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-15.143369688857655</v>
      </c>
      <c r="Q34" s="20">
        <f>('TE BE'!$R$34+'TE BF'!$R$34+'TE CVA'!$R$34)*(1 - CUSTOS!$M$40)</f>
        <v>163.4235459023464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4.4856723744007523</v>
      </c>
      <c r="X34" s="20">
        <v>0</v>
      </c>
      <c r="Y34" s="20">
        <v>5.8471163263036603</v>
      </c>
      <c r="Z34" s="20">
        <v>0</v>
      </c>
      <c r="AA34" s="20">
        <v>0</v>
      </c>
      <c r="AB34" s="20">
        <v>0</v>
      </c>
      <c r="AC34" s="20">
        <v>203.52332982438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09"/>
      <c r="B35" s="109" t="s">
        <v>98</v>
      </c>
      <c r="C35" s="109" t="s">
        <v>41</v>
      </c>
      <c r="D35" s="22" t="s">
        <v>25</v>
      </c>
      <c r="E35" s="22" t="s">
        <v>25</v>
      </c>
      <c r="F35" s="22" t="s">
        <v>25</v>
      </c>
      <c r="G35" s="23" t="s">
        <v>87</v>
      </c>
      <c r="H35" s="23" t="s">
        <v>82</v>
      </c>
      <c r="I35" s="23">
        <f>'MERCADO TE'!$U$32</f>
        <v>0</v>
      </c>
      <c r="J35" s="15"/>
      <c r="L35" s="20">
        <f>('TE BE'!$L$35+'TE BF'!$L$35+'TE CVA'!$L$35)*(1 - CUSTOS!$M$38)</f>
        <v>0</v>
      </c>
      <c r="M35" s="20">
        <f>('TE BE'!$M$35+'TE BF'!$M$35+'TE CVA'!$M$35)*(1 - CUSTOS!$M$38)</f>
        <v>35.092932530869447</v>
      </c>
      <c r="N35" s="20">
        <f>('TE BE'!$N$35+'TE BF'!$N$35+'TE CVA'!$N$35)*(1 - CUSTOS!$M$38)</f>
        <v>0</v>
      </c>
      <c r="O35" s="20">
        <f>('TE BE'!$O$35+'TE BF'!$O$35+'TE CVA'!$O$35)*(1 - CUSTOS!$M$38)</f>
        <v>0</v>
      </c>
      <c r="P35" s="20">
        <f>('TE BE'!$P$35+'TE BF'!$P$35+'TE CVA'!$P$35)*(1 - CUSTOS!$M$38)</f>
        <v>-15.472573377745864</v>
      </c>
      <c r="Q35" s="20">
        <f>('TE BE'!$R$35+'TE BF'!$R$35+'TE CVA'!$R$35)*(1 - CUSTOS!$M$38)</f>
        <v>166.97623168283218</v>
      </c>
      <c r="R35" s="20">
        <f>('TE BE'!$T$35+'TE BF'!$T$35+'TE CVA'!$T$35)*(1 - CUSTOS!$M$38)</f>
        <v>0</v>
      </c>
      <c r="S35" s="20">
        <f>('TE BE'!$U$35+'TE BF'!$U$35+'TE CVA'!$U$35)*(1 - CUSTOS!$M$38)</f>
        <v>0</v>
      </c>
      <c r="T35" s="20">
        <f>('TE BE'!$V$35+'TE BF'!$V$35+'TE CVA'!$V$35)*(1 - CUSTOS!$M$38)</f>
        <v>0</v>
      </c>
      <c r="U35" s="20">
        <f>('TE BE'!$X$35+'TE BF'!$X$35+'TE CVA'!$X$35)*(1 - CUSTOS!$M$38)</f>
        <v>0</v>
      </c>
      <c r="V35" s="20">
        <f>('TE BE'!$Z$35+'TE BF'!$Z$35+'TE CVA'!$Z$35)*(1 - CUSTOS!$M$38)</f>
        <v>4.583186991235551</v>
      </c>
      <c r="X35" s="20">
        <v>0</v>
      </c>
      <c r="Y35" s="20">
        <v>6.1255504370800198</v>
      </c>
      <c r="Z35" s="20">
        <v>0</v>
      </c>
      <c r="AA35" s="20">
        <v>0</v>
      </c>
      <c r="AB35" s="20">
        <v>0</v>
      </c>
      <c r="AC35" s="20">
        <v>213.21491695887499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09"/>
      <c r="B36" s="109"/>
      <c r="C36" s="109"/>
      <c r="D36" s="22" t="s">
        <v>100</v>
      </c>
      <c r="E36" s="22" t="s">
        <v>25</v>
      </c>
      <c r="F36" s="22" t="s">
        <v>25</v>
      </c>
      <c r="G36" s="23" t="s">
        <v>87</v>
      </c>
      <c r="H36" s="23" t="s">
        <v>82</v>
      </c>
      <c r="I36" s="23">
        <f>'MERCADO TE'!$U$33</f>
        <v>0</v>
      </c>
      <c r="J36" s="15"/>
      <c r="L36" s="20">
        <f>('TE BE'!$L$36+'TE BF'!$L$36+'TE CVA'!$L$36)*(1 - CUSTOS!$M$39)</f>
        <v>0</v>
      </c>
      <c r="M36" s="20">
        <f>('TE BE'!$M$36+'TE BF'!$M$36+'TE CVA'!$M$36)*(1 - CUSTOS!$M$39)</f>
        <v>35.092932530869447</v>
      </c>
      <c r="N36" s="20">
        <f>('TE BE'!$N$36+'TE BF'!$N$36+'TE CVA'!$N$36)*(1 - CUSTOS!$M$39)</f>
        <v>0</v>
      </c>
      <c r="O36" s="20">
        <f>('TE BE'!$O$36+'TE BF'!$O$36+'TE CVA'!$O$36)*(1 - CUSTOS!$M$39)</f>
        <v>0</v>
      </c>
      <c r="P36" s="20">
        <f>('TE BE'!$P$36+'TE BF'!$P$36+'TE CVA'!$P$36)*(1 - CUSTOS!$M$39)</f>
        <v>-15.472573377745864</v>
      </c>
      <c r="Q36" s="20">
        <f>('TE BE'!$R$36+'TE BF'!$R$36+'TE CVA'!$R$36)*(1 - CUSTOS!$M$39)</f>
        <v>166.97623168283218</v>
      </c>
      <c r="R36" s="20">
        <f>('TE BE'!$T$36+'TE BF'!$T$36+'TE CVA'!$T$36)*(1 - CUSTOS!$M$39)</f>
        <v>0</v>
      </c>
      <c r="S36" s="20">
        <f>('TE BE'!$U$36+'TE BF'!$U$36+'TE CVA'!$U$36)*(1 - CUSTOS!$M$39)</f>
        <v>0</v>
      </c>
      <c r="T36" s="20">
        <f>('TE BE'!$V$36+'TE BF'!$V$36+'TE CVA'!$V$36)*(1 - CUSTOS!$M$39)</f>
        <v>0</v>
      </c>
      <c r="U36" s="20">
        <f>('TE BE'!$X$36+'TE BF'!$X$36+'TE CVA'!$X$36)*(1 - CUSTOS!$M$39)</f>
        <v>0</v>
      </c>
      <c r="V36" s="20">
        <f>('TE BE'!$Z$36+'TE BF'!$Z$36+'TE CVA'!$Z$36)*(1 - CUSTOS!$M$39)</f>
        <v>4.583186991235551</v>
      </c>
      <c r="X36" s="20">
        <v>0</v>
      </c>
      <c r="Y36" s="20">
        <v>6.1255504370800198</v>
      </c>
      <c r="Z36" s="20">
        <v>0</v>
      </c>
      <c r="AA36" s="20">
        <v>0</v>
      </c>
      <c r="AB36" s="20">
        <v>0</v>
      </c>
      <c r="AC36" s="20">
        <v>213.21491695887499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09"/>
      <c r="B37" s="109"/>
      <c r="C37" s="109"/>
      <c r="D37" s="22" t="s">
        <v>101</v>
      </c>
      <c r="E37" s="22" t="s">
        <v>25</v>
      </c>
      <c r="F37" s="22" t="s">
        <v>25</v>
      </c>
      <c r="G37" s="23" t="s">
        <v>87</v>
      </c>
      <c r="H37" s="23" t="s">
        <v>82</v>
      </c>
      <c r="I37" s="23">
        <f>'MERCADO TE'!$U$34</f>
        <v>0</v>
      </c>
      <c r="J37" s="15"/>
      <c r="L37" s="20">
        <f>('TE BE'!$L$37+'TE BF'!$L$37+'TE CVA'!$L$37)*(1 - CUSTOS!$M$40)</f>
        <v>0</v>
      </c>
      <c r="M37" s="20">
        <f>('TE BE'!$M$37+'TE BF'!$M$37+'TE CVA'!$M$37)*(1 - CUSTOS!$M$40)</f>
        <v>34.346274391914783</v>
      </c>
      <c r="N37" s="20">
        <f>('TE BE'!$N$37+'TE BF'!$N$37+'TE CVA'!$N$37)*(1 - CUSTOS!$M$40)</f>
        <v>0</v>
      </c>
      <c r="O37" s="20">
        <f>('TE BE'!$O$37+'TE BF'!$O$37+'TE CVA'!$O$37)*(1 - CUSTOS!$M$40)</f>
        <v>0</v>
      </c>
      <c r="P37" s="20">
        <f>('TE BE'!$P$37+'TE BF'!$P$37+'TE CVA'!$P$37)*(1 - CUSTOS!$M$40)</f>
        <v>-15.143369688857655</v>
      </c>
      <c r="Q37" s="20">
        <f>('TE BE'!$R$37+'TE BF'!$R$37+'TE CVA'!$R$37)*(1 - CUSTOS!$M$40)</f>
        <v>163.4235459023464</v>
      </c>
      <c r="R37" s="20">
        <f>('TE BE'!$T$37+'TE BF'!$T$37+'TE CVA'!$T$37)*(1 - CUSTOS!$M$40)</f>
        <v>0</v>
      </c>
      <c r="S37" s="20">
        <f>('TE BE'!$U$37+'TE BF'!$U$37+'TE CVA'!$U$37)*(1 - CUSTOS!$M$40)</f>
        <v>0</v>
      </c>
      <c r="T37" s="20">
        <f>('TE BE'!$V$37+'TE BF'!$V$37+'TE CVA'!$V$37)*(1 - CUSTOS!$M$40)</f>
        <v>0</v>
      </c>
      <c r="U37" s="20">
        <f>('TE BE'!$X$37+'TE BF'!$X$37+'TE CVA'!$X$37)*(1 - CUSTOS!$M$40)</f>
        <v>0</v>
      </c>
      <c r="V37" s="20">
        <f>('TE BE'!$Z$37+'TE BF'!$Z$37+'TE CVA'!$Z$37)*(1 - CUSTOS!$M$40)</f>
        <v>4.4856723744007523</v>
      </c>
      <c r="X37" s="20">
        <v>0</v>
      </c>
      <c r="Y37" s="20">
        <v>5.8471163263036603</v>
      </c>
      <c r="Z37" s="20">
        <v>0</v>
      </c>
      <c r="AA37" s="20">
        <v>0</v>
      </c>
      <c r="AB37" s="20">
        <v>0</v>
      </c>
      <c r="AC37" s="20">
        <v>203.52332982438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09" t="s">
        <v>33</v>
      </c>
      <c r="B38" s="109" t="s">
        <v>81</v>
      </c>
      <c r="C38" s="109" t="s">
        <v>25</v>
      </c>
      <c r="D38" s="109" t="s">
        <v>25</v>
      </c>
      <c r="E38" s="109" t="s">
        <v>25</v>
      </c>
      <c r="F38" s="109" t="s">
        <v>25</v>
      </c>
      <c r="G38" s="23" t="s">
        <v>83</v>
      </c>
      <c r="H38" s="23" t="s">
        <v>82</v>
      </c>
      <c r="I38" s="23">
        <f>'MERCADO TE'!$U$35</f>
        <v>0</v>
      </c>
      <c r="J38" s="15"/>
      <c r="L38" s="20">
        <f>('TE BE'!$L$38+'TE BF'!$L$38+'TE CVA'!$L$38)*1</f>
        <v>0</v>
      </c>
      <c r="M38" s="20">
        <f>('TE BE'!$M$38+'TE BF'!$M$38+'TE CVA'!$M$38)*1</f>
        <v>37.332906947733456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-16.460184444410494</v>
      </c>
      <c r="Q38" s="20">
        <f>('TE BE'!$R$38+'TE BF'!$R$38+'TE CVA'!$R$38)*1</f>
        <v>177.63428902428956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4.8757308417399479</v>
      </c>
      <c r="X38" s="20">
        <v>0</v>
      </c>
      <c r="Y38" s="20">
        <v>6.9608527694091098</v>
      </c>
      <c r="Z38" s="20">
        <v>0</v>
      </c>
      <c r="AA38" s="20">
        <v>0</v>
      </c>
      <c r="AB38" s="20">
        <v>0</v>
      </c>
      <c r="AC38" s="20">
        <v>242.28967836235799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09"/>
      <c r="B39" s="109"/>
      <c r="C39" s="109"/>
      <c r="D39" s="109"/>
      <c r="E39" s="109"/>
      <c r="F39" s="109"/>
      <c r="G39" s="23" t="s">
        <v>95</v>
      </c>
      <c r="H39" s="23" t="s">
        <v>82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37.332906947733456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-16.460184444410494</v>
      </c>
      <c r="Q39" s="20">
        <f>('TE BE'!$R$39+'TE BF'!$R$39+'TE CVA'!$R$39)*1</f>
        <v>177.63428902428956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4.8757308417399479</v>
      </c>
      <c r="X39" s="20">
        <v>0</v>
      </c>
      <c r="Y39" s="20">
        <v>6.9608527694091098</v>
      </c>
      <c r="Z39" s="20">
        <v>0</v>
      </c>
      <c r="AA39" s="20">
        <v>0</v>
      </c>
      <c r="AB39" s="20">
        <v>0</v>
      </c>
      <c r="AC39" s="20">
        <v>242.28967836235799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09"/>
      <c r="B40" s="109"/>
      <c r="C40" s="109"/>
      <c r="D40" s="109"/>
      <c r="E40" s="109"/>
      <c r="F40" s="109"/>
      <c r="G40" s="23" t="s">
        <v>84</v>
      </c>
      <c r="H40" s="23" t="s">
        <v>82</v>
      </c>
      <c r="I40" s="23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37.332906947733456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-16.460184444410494</v>
      </c>
      <c r="Q40" s="20">
        <f>('TE BE'!$R$40+'TE BF'!$R$40+'TE CVA'!$R$40)*1</f>
        <v>177.63428902428956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4.8757308417399479</v>
      </c>
      <c r="X40" s="20">
        <v>0</v>
      </c>
      <c r="Y40" s="20">
        <v>6.9608527694091098</v>
      </c>
      <c r="Z40" s="20">
        <v>0</v>
      </c>
      <c r="AA40" s="20">
        <v>0</v>
      </c>
      <c r="AB40" s="20">
        <v>0</v>
      </c>
      <c r="AC40" s="20">
        <v>242.28967836235799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09"/>
      <c r="B41" s="22" t="s">
        <v>96</v>
      </c>
      <c r="C41" s="22" t="s">
        <v>25</v>
      </c>
      <c r="D41" s="22" t="s">
        <v>25</v>
      </c>
      <c r="E41" s="22" t="s">
        <v>25</v>
      </c>
      <c r="F41" s="22" t="s">
        <v>25</v>
      </c>
      <c r="G41" s="23" t="s">
        <v>87</v>
      </c>
      <c r="H41" s="23" t="s">
        <v>82</v>
      </c>
      <c r="I41" s="23">
        <f>'MERCADO TE'!$U$38</f>
        <v>19569.288999999997</v>
      </c>
      <c r="J41" s="15"/>
      <c r="L41" s="20">
        <f>('TE BE'!$L$41+'TE BF'!$L$41+'TE CVA'!$L$41)*1</f>
        <v>0</v>
      </c>
      <c r="M41" s="20">
        <f>('TE BE'!$M$41+'TE BF'!$M$41+'TE CVA'!$M$41)*1</f>
        <v>37.332906947733456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-16.460184444410494</v>
      </c>
      <c r="Q41" s="20">
        <f>('TE BE'!$R$41+'TE BF'!$R$41+'TE CVA'!$R$41)*1</f>
        <v>177.63428902428956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4.8757308417399479</v>
      </c>
      <c r="X41" s="20">
        <v>0</v>
      </c>
      <c r="Y41" s="20">
        <v>6.9608527694091098</v>
      </c>
      <c r="Z41" s="20">
        <v>0</v>
      </c>
      <c r="AA41" s="20">
        <v>0</v>
      </c>
      <c r="AB41" s="20">
        <v>0</v>
      </c>
      <c r="AC41" s="20">
        <v>242.28967836235799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2" spans="1:34" ht="11.25" customHeight="1" x14ac:dyDescent="0.25">
      <c r="A42" s="109"/>
      <c r="B42" s="22" t="s">
        <v>98</v>
      </c>
      <c r="C42" s="22" t="s">
        <v>25</v>
      </c>
      <c r="D42" s="22" t="s">
        <v>25</v>
      </c>
      <c r="E42" s="22" t="s">
        <v>25</v>
      </c>
      <c r="F42" s="22" t="s">
        <v>25</v>
      </c>
      <c r="G42" s="23" t="s">
        <v>87</v>
      </c>
      <c r="H42" s="23" t="s">
        <v>82</v>
      </c>
      <c r="I42" s="23">
        <f>'MERCADO TE'!$U$39</f>
        <v>0</v>
      </c>
      <c r="J42" s="15"/>
      <c r="L42" s="20">
        <f>('TE BE'!$L$42+'TE BF'!$L$42+'TE CVA'!$L$42)*1</f>
        <v>0</v>
      </c>
      <c r="M42" s="20">
        <f>('TE BE'!$M$42+'TE BF'!$M$42+'TE CVA'!$M$42)*1</f>
        <v>37.332906947733456</v>
      </c>
      <c r="N42" s="20">
        <f>('TE BE'!$N$42+'TE BF'!$N$42+'TE CVA'!$N$42)*1</f>
        <v>0</v>
      </c>
      <c r="O42" s="20">
        <f>('TE BE'!$O$42+'TE BF'!$O$42+'TE CVA'!$O$42)*1</f>
        <v>0</v>
      </c>
      <c r="P42" s="20">
        <f>('TE BE'!$P$42+'TE BF'!$P$42+'TE CVA'!$P$42)*1</f>
        <v>-16.460184444410494</v>
      </c>
      <c r="Q42" s="20">
        <f>('TE BE'!$R$42+'TE BF'!$R$42+'TE CVA'!$R$42)*1</f>
        <v>177.63428902428956</v>
      </c>
      <c r="R42" s="20">
        <f>('TE BE'!$T$42+'TE BF'!$T$42+'TE CVA'!$T$42)*1</f>
        <v>0</v>
      </c>
      <c r="S42" s="20">
        <f>('TE BE'!$U$42+'TE BF'!$U$42+'TE CVA'!$U$42)*1</f>
        <v>0</v>
      </c>
      <c r="T42" s="20">
        <f>('TE BE'!$V$42+'TE BF'!$V$42+'TE CVA'!$V$42)*1</f>
        <v>0</v>
      </c>
      <c r="U42" s="20">
        <f>('TE BE'!$X$42+'TE BF'!$X$42+'TE CVA'!$X$42)*1</f>
        <v>0</v>
      </c>
      <c r="V42" s="20">
        <f>('TE BE'!$Z$42+'TE BF'!$Z$42+'TE CVA'!$Z$42)*1</f>
        <v>4.8757308417399479</v>
      </c>
      <c r="X42" s="20">
        <v>0</v>
      </c>
      <c r="Y42" s="20">
        <v>6.9608527694091098</v>
      </c>
      <c r="Z42" s="20">
        <v>0</v>
      </c>
      <c r="AA42" s="20">
        <v>0</v>
      </c>
      <c r="AB42" s="20">
        <v>0</v>
      </c>
      <c r="AC42" s="20">
        <v>242.28967836235799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</row>
    <row r="43" spans="1:34" ht="11.25" customHeight="1" x14ac:dyDescent="0.25">
      <c r="A43" s="109" t="s">
        <v>43</v>
      </c>
      <c r="B43" s="109" t="s">
        <v>96</v>
      </c>
      <c r="C43" s="109" t="s">
        <v>44</v>
      </c>
      <c r="D43" s="22" t="s">
        <v>45</v>
      </c>
      <c r="E43" s="22" t="s">
        <v>25</v>
      </c>
      <c r="F43" s="22" t="s">
        <v>25</v>
      </c>
      <c r="G43" s="23" t="s">
        <v>87</v>
      </c>
      <c r="H43" s="23" t="s">
        <v>82</v>
      </c>
      <c r="I43" s="23">
        <f>'MERCADO TE'!$U$40</f>
        <v>4547.4760000000006</v>
      </c>
      <c r="J43" s="15"/>
      <c r="L43" s="20">
        <f>('TE BE'!$L$43+'TE BF'!$L$43+'TE CVA'!$L$43)*1</f>
        <v>0</v>
      </c>
      <c r="M43" s="20">
        <f>('TE BE'!$M$43+'TE BF'!$M$43+'TE CVA'!$M$43)*1</f>
        <v>20.533098821253404</v>
      </c>
      <c r="N43" s="20">
        <f>('TE BE'!$N$43+'TE BF'!$N$43+'TE CVA'!$N$43)*1</f>
        <v>0</v>
      </c>
      <c r="O43" s="20">
        <f>('TE BE'!$O$43+'TE BF'!$O$43+'TE CVA'!$O$43)*1</f>
        <v>0</v>
      </c>
      <c r="P43" s="20">
        <f>('TE BE'!$P$43+'TE BF'!$P$43+'TE CVA'!$P$43)*1</f>
        <v>-9.0531014444257725</v>
      </c>
      <c r="Q43" s="20">
        <f>('TE BE'!$R$43+'TE BF'!$R$43+'TE CVA'!$R$43)*1</f>
        <v>97.698858963359271</v>
      </c>
      <c r="R43" s="20">
        <f>('TE BE'!$T$43+'TE BF'!$T$43+'TE CVA'!$T$43)*1</f>
        <v>0</v>
      </c>
      <c r="S43" s="20">
        <f>('TE BE'!$U$43+'TE BF'!$U$43+'TE CVA'!$U$43)*1</f>
        <v>0</v>
      </c>
      <c r="T43" s="20">
        <f>('TE BE'!$V$43+'TE BF'!$V$43+'TE CVA'!$V$43)*1</f>
        <v>0</v>
      </c>
      <c r="U43" s="20">
        <f>('TE BE'!$X$43+'TE BF'!$X$43+'TE CVA'!$X$43)*1</f>
        <v>0</v>
      </c>
      <c r="V43" s="20">
        <f>('TE BE'!$Z$43+'TE BF'!$Z$43+'TE CVA'!$Z$43)*1</f>
        <v>2.6816519629569711</v>
      </c>
      <c r="X43" s="20">
        <v>0</v>
      </c>
      <c r="Y43" s="20">
        <v>3.82846902317501</v>
      </c>
      <c r="Z43" s="20">
        <v>0</v>
      </c>
      <c r="AA43" s="20">
        <v>0</v>
      </c>
      <c r="AB43" s="20">
        <v>0</v>
      </c>
      <c r="AC43" s="20">
        <v>133.25932309929701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</row>
    <row r="44" spans="1:34" ht="11.25" customHeight="1" x14ac:dyDescent="0.25">
      <c r="A44" s="109"/>
      <c r="B44" s="109"/>
      <c r="C44" s="109"/>
      <c r="D44" s="23" t="s">
        <v>102</v>
      </c>
      <c r="E44" s="23" t="s">
        <v>25</v>
      </c>
      <c r="F44" s="23" t="s">
        <v>25</v>
      </c>
      <c r="G44" s="23" t="s">
        <v>87</v>
      </c>
      <c r="H44" s="23" t="s">
        <v>82</v>
      </c>
      <c r="I44" s="23">
        <f>'MERCADO TE'!$U$41</f>
        <v>0</v>
      </c>
      <c r="J44" s="15"/>
      <c r="L44" s="20">
        <f>('TE BE'!$L$44+'TE BF'!$L$44+'TE CVA'!$L$44)*1</f>
        <v>0</v>
      </c>
      <c r="M44" s="20">
        <f>('TE BE'!$M$44+'TE BF'!$M$44+'TE CVA'!$M$44)*1</f>
        <v>22.399744168640069</v>
      </c>
      <c r="N44" s="20">
        <f>('TE BE'!$N$44+'TE BF'!$N$44+'TE CVA'!$N$44)*1</f>
        <v>0</v>
      </c>
      <c r="O44" s="20">
        <f>('TE BE'!$O$44+'TE BF'!$O$44+'TE CVA'!$O$44)*1</f>
        <v>0</v>
      </c>
      <c r="P44" s="20">
        <f>('TE BE'!$P$44+'TE BF'!$P$44+'TE CVA'!$P$44)*1</f>
        <v>-9.8761106666462961</v>
      </c>
      <c r="Q44" s="20">
        <f>('TE BE'!$R$44+'TE BF'!$R$44+'TE CVA'!$R$44)*1</f>
        <v>106.58057341457373</v>
      </c>
      <c r="R44" s="20">
        <f>('TE BE'!$T$44+'TE BF'!$T$44+'TE CVA'!$T$44)*1</f>
        <v>0</v>
      </c>
      <c r="S44" s="20">
        <f>('TE BE'!$U$44+'TE BF'!$U$44+'TE CVA'!$U$44)*1</f>
        <v>0</v>
      </c>
      <c r="T44" s="20">
        <f>('TE BE'!$V$44+'TE BF'!$V$44+'TE CVA'!$V$44)*1</f>
        <v>0</v>
      </c>
      <c r="U44" s="20">
        <f>('TE BE'!$X$44+'TE BF'!$X$44+'TE CVA'!$X$44)*1</f>
        <v>0</v>
      </c>
      <c r="V44" s="20">
        <f>('TE BE'!$Z$44+'TE BF'!$Z$44+'TE CVA'!$Z$44)*1</f>
        <v>2.9254385050439686</v>
      </c>
      <c r="X44" s="20">
        <v>0</v>
      </c>
      <c r="Y44" s="20">
        <v>4.1765116616454696</v>
      </c>
      <c r="Z44" s="20">
        <v>0</v>
      </c>
      <c r="AA44" s="20">
        <v>0</v>
      </c>
      <c r="AB44" s="20">
        <v>0</v>
      </c>
      <c r="AC44" s="20">
        <v>145.373807017415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</row>
    <row r="46" spans="1:34" ht="11.25" customHeight="1" x14ac:dyDescent="0.25">
      <c r="L46" s="106" t="s">
        <v>945</v>
      </c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X46" s="106" t="s">
        <v>946</v>
      </c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</row>
    <row r="47" spans="1:34" ht="11.25" customHeight="1" x14ac:dyDescent="0.25">
      <c r="L47" s="106" t="s">
        <v>492</v>
      </c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X47" s="106" t="s">
        <v>492</v>
      </c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</row>
    <row r="48" spans="1:34" ht="11.25" customHeight="1" x14ac:dyDescent="0.25">
      <c r="L48" s="106" t="s">
        <v>465</v>
      </c>
      <c r="M48" s="106"/>
      <c r="N48" s="106"/>
      <c r="O48" s="106"/>
      <c r="P48" s="106"/>
      <c r="Q48" s="24" t="s">
        <v>496</v>
      </c>
      <c r="R48" s="106" t="s">
        <v>474</v>
      </c>
      <c r="S48" s="106"/>
      <c r="T48" s="106"/>
      <c r="U48" s="24" t="s">
        <v>484</v>
      </c>
      <c r="V48" s="24" t="s">
        <v>487</v>
      </c>
      <c r="X48" s="106" t="s">
        <v>465</v>
      </c>
      <c r="Y48" s="106"/>
      <c r="Z48" s="106"/>
      <c r="AA48" s="106"/>
      <c r="AB48" s="106"/>
      <c r="AC48" s="24" t="s">
        <v>496</v>
      </c>
      <c r="AD48" s="106" t="s">
        <v>474</v>
      </c>
      <c r="AE48" s="106"/>
      <c r="AF48" s="106"/>
      <c r="AG48" s="24" t="s">
        <v>484</v>
      </c>
      <c r="AH48" s="24" t="s">
        <v>487</v>
      </c>
    </row>
    <row r="49" spans="1:34" ht="11.25" customHeight="1" x14ac:dyDescent="0.25">
      <c r="L49" s="24" t="s">
        <v>467</v>
      </c>
      <c r="M49" s="24" t="s">
        <v>493</v>
      </c>
      <c r="N49" s="24" t="s">
        <v>494</v>
      </c>
      <c r="O49" s="24" t="s">
        <v>553</v>
      </c>
      <c r="P49" s="24" t="s">
        <v>495</v>
      </c>
      <c r="Q49" s="24" t="s">
        <v>497</v>
      </c>
      <c r="R49" s="24" t="s">
        <v>498</v>
      </c>
      <c r="S49" s="24" t="s">
        <v>499</v>
      </c>
      <c r="T49" s="24" t="s">
        <v>500</v>
      </c>
      <c r="U49" s="24" t="s">
        <v>485</v>
      </c>
      <c r="V49" s="24" t="s">
        <v>501</v>
      </c>
      <c r="X49" s="24" t="s">
        <v>467</v>
      </c>
      <c r="Y49" s="24" t="s">
        <v>493</v>
      </c>
      <c r="Z49" s="24" t="s">
        <v>494</v>
      </c>
      <c r="AA49" s="24" t="s">
        <v>553</v>
      </c>
      <c r="AB49" s="24" t="s">
        <v>495</v>
      </c>
      <c r="AC49" s="24" t="s">
        <v>497</v>
      </c>
      <c r="AD49" s="24" t="s">
        <v>498</v>
      </c>
      <c r="AE49" s="24" t="s">
        <v>499</v>
      </c>
      <c r="AF49" s="24" t="s">
        <v>500</v>
      </c>
      <c r="AG49" s="24" t="s">
        <v>485</v>
      </c>
      <c r="AH49" s="24" t="s">
        <v>501</v>
      </c>
    </row>
    <row r="50" spans="1:34" ht="11.25" customHeight="1" x14ac:dyDescent="0.25">
      <c r="A50" s="9" t="s">
        <v>35</v>
      </c>
      <c r="B50" s="9" t="s">
        <v>947</v>
      </c>
      <c r="C50" s="9" t="s">
        <v>948</v>
      </c>
      <c r="D50" s="9" t="s">
        <v>949</v>
      </c>
      <c r="E50" s="9" t="s">
        <v>950</v>
      </c>
      <c r="F50" s="9" t="s">
        <v>951</v>
      </c>
      <c r="G50" s="9" t="s">
        <v>952</v>
      </c>
      <c r="L50" s="20">
        <f>$I$5*$L$5</f>
        <v>0</v>
      </c>
      <c r="M50" s="20">
        <f>$I$5*$M$5</f>
        <v>122954.24905154748</v>
      </c>
      <c r="N50" s="20">
        <f>$I$5*$N$5</f>
        <v>0</v>
      </c>
      <c r="O50" s="20">
        <f>$I$5*$O$5</f>
        <v>0</v>
      </c>
      <c r="P50" s="20">
        <f>$I$5*$P$5</f>
        <v>-54210.876759365965</v>
      </c>
      <c r="Q50" s="20">
        <f>$I$5*$Q$5</f>
        <v>585030.53735849157</v>
      </c>
      <c r="R50" s="20">
        <f>$I$5*$R$5</f>
        <v>0</v>
      </c>
      <c r="S50" s="20">
        <f>$I$5*$S$5</f>
        <v>0</v>
      </c>
      <c r="T50" s="20">
        <f>$I$5*$T$5</f>
        <v>0</v>
      </c>
      <c r="U50" s="20">
        <f>$I$5*$U$5</f>
        <v>0</v>
      </c>
      <c r="V50" s="20">
        <f>$I$5*$V$5</f>
        <v>16058.000119382639</v>
      </c>
      <c r="X50" s="20">
        <f>$I$5*$X$5</f>
        <v>0</v>
      </c>
      <c r="Y50" s="20">
        <f>$I$5*$Y$5</f>
        <v>22925.255357674279</v>
      </c>
      <c r="Z50" s="20">
        <f>$I$5*$Z$5</f>
        <v>0</v>
      </c>
      <c r="AA50" s="20">
        <f>$I$5*$AA$5</f>
        <v>0</v>
      </c>
      <c r="AB50" s="20">
        <f>$I$5*$AB$5</f>
        <v>0</v>
      </c>
      <c r="AC50" s="20">
        <f>$I$5*$AC$5</f>
        <v>797970.15265089972</v>
      </c>
      <c r="AD50" s="20">
        <f>$I$5*$AD$5</f>
        <v>0</v>
      </c>
      <c r="AE50" s="20">
        <f>$I$5*$AE$5</f>
        <v>0</v>
      </c>
      <c r="AF50" s="20">
        <f>$I$5*$AF$5</f>
        <v>0</v>
      </c>
      <c r="AG50" s="20">
        <f>$I$5*$AG$5</f>
        <v>0</v>
      </c>
      <c r="AH50" s="20">
        <f>$I$5*$AH$5</f>
        <v>0</v>
      </c>
    </row>
    <row r="51" spans="1:34" ht="11.25" customHeight="1" x14ac:dyDescent="0.25">
      <c r="A51" s="9" t="s">
        <v>35</v>
      </c>
      <c r="B51" s="9" t="s">
        <v>947</v>
      </c>
      <c r="C51" s="9" t="s">
        <v>948</v>
      </c>
      <c r="D51" s="9" t="s">
        <v>949</v>
      </c>
      <c r="E51" s="9" t="s">
        <v>950</v>
      </c>
      <c r="F51" s="9" t="s">
        <v>951</v>
      </c>
      <c r="G51" s="9" t="s">
        <v>953</v>
      </c>
      <c r="L51" s="20">
        <f>$I$6*$L$6</f>
        <v>0</v>
      </c>
      <c r="M51" s="20">
        <f>$I$6*$M$6</f>
        <v>1611230.0991951511</v>
      </c>
      <c r="N51" s="20">
        <f>$I$6*$N$6</f>
        <v>0</v>
      </c>
      <c r="O51" s="20">
        <f>$I$6*$O$6</f>
        <v>0</v>
      </c>
      <c r="P51" s="20">
        <f>$I$6*$P$6</f>
        <v>-710395.91565339244</v>
      </c>
      <c r="Q51" s="20">
        <f>$I$6*$Q$6</f>
        <v>7666419.1600660365</v>
      </c>
      <c r="R51" s="20">
        <f>$I$6*$R$6</f>
        <v>0</v>
      </c>
      <c r="S51" s="20">
        <f>$I$6*$S$6</f>
        <v>0</v>
      </c>
      <c r="T51" s="20">
        <f>$I$6*$T$6</f>
        <v>0</v>
      </c>
      <c r="U51" s="20">
        <f>$I$6*$U$6</f>
        <v>0</v>
      </c>
      <c r="V51" s="20">
        <f>$I$6*$V$6</f>
        <v>210428.94674084469</v>
      </c>
      <c r="X51" s="20">
        <f>$I$6*$X$6</f>
        <v>0</v>
      </c>
      <c r="Y51" s="20">
        <f>$I$6*$Y$6</f>
        <v>300419.56051908241</v>
      </c>
      <c r="Z51" s="20">
        <f>$I$6*$Z$6</f>
        <v>0</v>
      </c>
      <c r="AA51" s="20">
        <f>$I$6*$AA$6</f>
        <v>0</v>
      </c>
      <c r="AB51" s="20">
        <f>$I$6*$AB$6</f>
        <v>0</v>
      </c>
      <c r="AC51" s="20">
        <f>$I$6*$AC$6</f>
        <v>10456845.03080048</v>
      </c>
      <c r="AD51" s="20">
        <f>$I$6*$AD$6</f>
        <v>0</v>
      </c>
      <c r="AE51" s="20">
        <f>$I$6*$AE$6</f>
        <v>0</v>
      </c>
      <c r="AF51" s="20">
        <f>$I$6*$AF$6</f>
        <v>0</v>
      </c>
      <c r="AG51" s="20">
        <f>$I$6*$AG$6</f>
        <v>0</v>
      </c>
      <c r="AH51" s="20">
        <f>$I$6*$AH$6</f>
        <v>0</v>
      </c>
    </row>
    <row r="52" spans="1:34" ht="11.25" customHeight="1" x14ac:dyDescent="0.25">
      <c r="A52" s="9" t="s">
        <v>35</v>
      </c>
      <c r="B52" s="9" t="s">
        <v>954</v>
      </c>
      <c r="C52" s="9" t="s">
        <v>955</v>
      </c>
      <c r="D52" s="9" t="s">
        <v>956</v>
      </c>
      <c r="E52" s="9" t="s">
        <v>957</v>
      </c>
      <c r="F52" s="9" t="s">
        <v>958</v>
      </c>
      <c r="G52" s="9" t="s">
        <v>959</v>
      </c>
      <c r="L52" s="20">
        <f>$I$7*$L$7</f>
        <v>0</v>
      </c>
      <c r="M52" s="20">
        <f>$I$7*$M$7</f>
        <v>0</v>
      </c>
      <c r="N52" s="20">
        <f>$I$7*$N$7</f>
        <v>0</v>
      </c>
      <c r="O52" s="20">
        <f>$I$7*$O$7</f>
        <v>0</v>
      </c>
      <c r="P52" s="20">
        <f>$I$7*$P$7</f>
        <v>0</v>
      </c>
      <c r="Q52" s="20">
        <f>$I$7*$Q$7</f>
        <v>0</v>
      </c>
      <c r="R52" s="20">
        <f>$I$7*$R$7</f>
        <v>0</v>
      </c>
      <c r="S52" s="20">
        <f>$I$7*$S$7</f>
        <v>0</v>
      </c>
      <c r="T52" s="20">
        <f>$I$7*$T$7</f>
        <v>0</v>
      </c>
      <c r="U52" s="20">
        <f>$I$7*$U$7</f>
        <v>0</v>
      </c>
      <c r="V52" s="20">
        <f>$I$7*$V$7</f>
        <v>0</v>
      </c>
      <c r="X52" s="20">
        <f>$I$7*$X$7</f>
        <v>0</v>
      </c>
      <c r="Y52" s="20">
        <f>$I$7*$Y$7</f>
        <v>0</v>
      </c>
      <c r="Z52" s="20">
        <f>$I$7*$Z$7</f>
        <v>0</v>
      </c>
      <c r="AA52" s="20">
        <f>$I$7*$AA$7</f>
        <v>0</v>
      </c>
      <c r="AB52" s="20">
        <f>$I$7*$AB$7</f>
        <v>0</v>
      </c>
      <c r="AC52" s="20">
        <f>$I$7*$AC$7</f>
        <v>0</v>
      </c>
      <c r="AD52" s="20">
        <f>$I$7*$AD$7</f>
        <v>0</v>
      </c>
      <c r="AE52" s="20">
        <f>$I$7*$AE$7</f>
        <v>0</v>
      </c>
      <c r="AF52" s="20">
        <f>$I$7*$AF$7</f>
        <v>0</v>
      </c>
      <c r="AG52" s="20">
        <f>$I$7*$AG$7</f>
        <v>0</v>
      </c>
      <c r="AH52" s="20">
        <f>$I$7*$AH$7</f>
        <v>0</v>
      </c>
    </row>
    <row r="53" spans="1:34" ht="11.25" customHeight="1" x14ac:dyDescent="0.25">
      <c r="A53" s="9" t="s">
        <v>35</v>
      </c>
      <c r="B53" s="9" t="s">
        <v>960</v>
      </c>
      <c r="C53" s="9" t="s">
        <v>961</v>
      </c>
      <c r="D53" s="9" t="s">
        <v>962</v>
      </c>
      <c r="E53" s="9" t="s">
        <v>963</v>
      </c>
      <c r="F53" s="9" t="s">
        <v>964</v>
      </c>
      <c r="G53" s="9" t="s">
        <v>965</v>
      </c>
      <c r="L53" s="20">
        <f>$I$8*$L$8</f>
        <v>0</v>
      </c>
      <c r="M53" s="20">
        <f>$I$8*$M$8</f>
        <v>516948.65050654433</v>
      </c>
      <c r="N53" s="20">
        <f>$I$8*$N$8</f>
        <v>0</v>
      </c>
      <c r="O53" s="20">
        <f>$I$8*$O$8</f>
        <v>0</v>
      </c>
      <c r="P53" s="20">
        <f>$I$8*$P$8</f>
        <v>-227924.12462119886</v>
      </c>
      <c r="Q53" s="20">
        <f>$I$8*$Q$8</f>
        <v>2460993.4449172397</v>
      </c>
      <c r="R53" s="20">
        <f>$I$8*$R$8</f>
        <v>0</v>
      </c>
      <c r="S53" s="20">
        <f>$I$8*$S$8</f>
        <v>0</v>
      </c>
      <c r="T53" s="20">
        <f>$I$8*$T$8</f>
        <v>0</v>
      </c>
      <c r="U53" s="20">
        <f>$I$8*$U$8</f>
        <v>0</v>
      </c>
      <c r="V53" s="20">
        <f>$I$8*$V$8</f>
        <v>67514.230338380541</v>
      </c>
      <c r="X53" s="20">
        <f>$I$8*$X$8</f>
        <v>0</v>
      </c>
      <c r="Y53" s="20">
        <f>$I$8*$Y$8</f>
        <v>96386.907415449648</v>
      </c>
      <c r="Z53" s="20">
        <f>$I$8*$Z$8</f>
        <v>0</v>
      </c>
      <c r="AA53" s="20">
        <f>$I$8*$AA$8</f>
        <v>0</v>
      </c>
      <c r="AB53" s="20">
        <f>$I$8*$AB$8</f>
        <v>0</v>
      </c>
      <c r="AC53" s="20">
        <f>$I$8*$AC$8</f>
        <v>3347074.1099166628</v>
      </c>
      <c r="AD53" s="20">
        <f>$I$8*$AD$8</f>
        <v>0</v>
      </c>
      <c r="AE53" s="20">
        <f>$I$8*$AE$8</f>
        <v>0</v>
      </c>
      <c r="AF53" s="20">
        <f>$I$8*$AF$8</f>
        <v>0</v>
      </c>
      <c r="AG53" s="20">
        <f>$I$8*$AG$8</f>
        <v>0</v>
      </c>
      <c r="AH53" s="20">
        <f>$I$8*$AH$8</f>
        <v>0</v>
      </c>
    </row>
    <row r="54" spans="1:34" ht="11.25" customHeight="1" x14ac:dyDescent="0.25">
      <c r="A54" s="9" t="s">
        <v>35</v>
      </c>
      <c r="B54" s="9" t="s">
        <v>954</v>
      </c>
      <c r="C54" s="9" t="s">
        <v>955</v>
      </c>
      <c r="D54" s="9" t="s">
        <v>956</v>
      </c>
      <c r="E54" s="9" t="s">
        <v>966</v>
      </c>
      <c r="F54" s="9" t="s">
        <v>967</v>
      </c>
      <c r="G54" s="9" t="s">
        <v>968</v>
      </c>
      <c r="L54" s="20">
        <f>$I$9*$L$9</f>
        <v>0</v>
      </c>
      <c r="M54" s="20">
        <f>$I$9*$M$9</f>
        <v>0</v>
      </c>
      <c r="N54" s="20">
        <f>$I$9*$N$9</f>
        <v>0</v>
      </c>
      <c r="O54" s="20">
        <f>$I$9*$O$9</f>
        <v>0</v>
      </c>
      <c r="P54" s="20">
        <f>$I$9*$P$9</f>
        <v>0</v>
      </c>
      <c r="Q54" s="20">
        <f>$I$9*$Q$9</f>
        <v>0</v>
      </c>
      <c r="R54" s="20">
        <f>$I$9*$R$9</f>
        <v>0</v>
      </c>
      <c r="S54" s="20">
        <f>$I$9*$S$9</f>
        <v>0</v>
      </c>
      <c r="T54" s="20">
        <f>$I$9*$T$9</f>
        <v>0</v>
      </c>
      <c r="U54" s="20">
        <f>$I$9*$U$9</f>
        <v>0</v>
      </c>
      <c r="V54" s="20">
        <f>$I$9*$V$9</f>
        <v>0</v>
      </c>
      <c r="X54" s="20">
        <f>$I$9*$X$9</f>
        <v>0</v>
      </c>
      <c r="Y54" s="20">
        <f>$I$9*$Y$9</f>
        <v>0</v>
      </c>
      <c r="Z54" s="20">
        <f>$I$9*$Z$9</f>
        <v>0</v>
      </c>
      <c r="AA54" s="20">
        <f>$I$9*$AA$9</f>
        <v>0</v>
      </c>
      <c r="AB54" s="20">
        <f>$I$9*$AB$9</f>
        <v>0</v>
      </c>
      <c r="AC54" s="20">
        <f>$I$9*$AC$9</f>
        <v>0</v>
      </c>
      <c r="AD54" s="20">
        <f>$I$9*$AD$9</f>
        <v>0</v>
      </c>
      <c r="AE54" s="20">
        <f>$I$9*$AE$9</f>
        <v>0</v>
      </c>
      <c r="AF54" s="20">
        <f>$I$9*$AF$9</f>
        <v>0</v>
      </c>
      <c r="AG54" s="20">
        <f>$I$9*$AG$9</f>
        <v>0</v>
      </c>
      <c r="AH54" s="20">
        <f>$I$9*$AH$9</f>
        <v>0</v>
      </c>
    </row>
    <row r="55" spans="1:34" ht="11.25" customHeight="1" x14ac:dyDescent="0.25">
      <c r="A55" s="9" t="s">
        <v>22</v>
      </c>
      <c r="B55" s="9" t="s">
        <v>969</v>
      </c>
      <c r="C55" s="9" t="s">
        <v>970</v>
      </c>
      <c r="D55" s="9" t="s">
        <v>971</v>
      </c>
      <c r="E55" s="9" t="s">
        <v>972</v>
      </c>
      <c r="F55" s="9" t="s">
        <v>973</v>
      </c>
      <c r="G55" s="9" t="s">
        <v>974</v>
      </c>
      <c r="L55" s="20">
        <f>$I$10*$L$10</f>
        <v>0</v>
      </c>
      <c r="M55" s="20">
        <f>$I$10*$M$10</f>
        <v>0</v>
      </c>
      <c r="N55" s="20">
        <f>$I$10*$N$10</f>
        <v>0</v>
      </c>
      <c r="O55" s="20">
        <f>$I$10*$O$10</f>
        <v>0</v>
      </c>
      <c r="P55" s="20">
        <f>$I$10*$P$10</f>
        <v>0</v>
      </c>
      <c r="Q55" s="20">
        <f>$I$10*$Q$10</f>
        <v>0</v>
      </c>
      <c r="R55" s="20">
        <f>$I$10*$R$10</f>
        <v>0</v>
      </c>
      <c r="S55" s="20">
        <f>$I$10*$S$10</f>
        <v>0</v>
      </c>
      <c r="T55" s="20">
        <f>$I$10*$T$10</f>
        <v>0</v>
      </c>
      <c r="U55" s="20">
        <f>$I$10*$U$10</f>
        <v>0</v>
      </c>
      <c r="V55" s="20">
        <f>$I$10*$V$10</f>
        <v>0</v>
      </c>
      <c r="X55" s="20">
        <f>$I$10*$X$10</f>
        <v>0</v>
      </c>
      <c r="Y55" s="20">
        <f>$I$10*$Y$10</f>
        <v>0</v>
      </c>
      <c r="Z55" s="20">
        <f>$I$10*$Z$10</f>
        <v>0</v>
      </c>
      <c r="AA55" s="20">
        <f>$I$10*$AA$10</f>
        <v>0</v>
      </c>
      <c r="AB55" s="20">
        <f>$I$10*$AB$10</f>
        <v>0</v>
      </c>
      <c r="AC55" s="20">
        <f>$I$10*$AC$10</f>
        <v>0</v>
      </c>
      <c r="AD55" s="20">
        <f>$I$10*$AD$10</f>
        <v>0</v>
      </c>
      <c r="AE55" s="20">
        <f>$I$10*$AE$10</f>
        <v>0</v>
      </c>
      <c r="AF55" s="20">
        <f>$I$10*$AF$10</f>
        <v>0</v>
      </c>
      <c r="AG55" s="20">
        <f>$I$10*$AG$10</f>
        <v>0</v>
      </c>
      <c r="AH55" s="20">
        <f>$I$10*$AH$10</f>
        <v>0</v>
      </c>
    </row>
    <row r="56" spans="1:34" ht="11.25" customHeight="1" x14ac:dyDescent="0.25">
      <c r="A56" s="9" t="s">
        <v>22</v>
      </c>
      <c r="B56" s="9" t="s">
        <v>969</v>
      </c>
      <c r="C56" s="9" t="s">
        <v>970</v>
      </c>
      <c r="D56" s="9" t="s">
        <v>971</v>
      </c>
      <c r="E56" s="9" t="s">
        <v>972</v>
      </c>
      <c r="F56" s="9" t="s">
        <v>973</v>
      </c>
      <c r="G56" s="9" t="s">
        <v>975</v>
      </c>
      <c r="L56" s="20">
        <f>$I$11*$L$11</f>
        <v>0</v>
      </c>
      <c r="M56" s="20">
        <f>$I$11*$M$11</f>
        <v>0</v>
      </c>
      <c r="N56" s="20">
        <f>$I$11*$N$11</f>
        <v>0</v>
      </c>
      <c r="O56" s="20">
        <f>$I$11*$O$11</f>
        <v>0</v>
      </c>
      <c r="P56" s="20">
        <f>$I$11*$P$11</f>
        <v>0</v>
      </c>
      <c r="Q56" s="20">
        <f>$I$11*$Q$11</f>
        <v>0</v>
      </c>
      <c r="R56" s="20">
        <f>$I$11*$R$11</f>
        <v>0</v>
      </c>
      <c r="S56" s="20">
        <f>$I$11*$S$11</f>
        <v>0</v>
      </c>
      <c r="T56" s="20">
        <f>$I$11*$T$11</f>
        <v>0</v>
      </c>
      <c r="U56" s="20">
        <f>$I$11*$U$11</f>
        <v>0</v>
      </c>
      <c r="V56" s="20">
        <f>$I$11*$V$11</f>
        <v>0</v>
      </c>
      <c r="X56" s="20">
        <f>$I$11*$X$11</f>
        <v>0</v>
      </c>
      <c r="Y56" s="20">
        <f>$I$11*$Y$11</f>
        <v>0</v>
      </c>
      <c r="Z56" s="20">
        <f>$I$11*$Z$11</f>
        <v>0</v>
      </c>
      <c r="AA56" s="20">
        <f>$I$11*$AA$11</f>
        <v>0</v>
      </c>
      <c r="AB56" s="20">
        <f>$I$11*$AB$11</f>
        <v>0</v>
      </c>
      <c r="AC56" s="20">
        <f>$I$11*$AC$11</f>
        <v>0</v>
      </c>
      <c r="AD56" s="20">
        <f>$I$11*$AD$11</f>
        <v>0</v>
      </c>
      <c r="AE56" s="20">
        <f>$I$11*$AE$11</f>
        <v>0</v>
      </c>
      <c r="AF56" s="20">
        <f>$I$11*$AF$11</f>
        <v>0</v>
      </c>
      <c r="AG56" s="20">
        <f>$I$11*$AG$11</f>
        <v>0</v>
      </c>
      <c r="AH56" s="20">
        <f>$I$11*$AH$11</f>
        <v>0</v>
      </c>
    </row>
    <row r="57" spans="1:34" ht="11.25" customHeight="1" x14ac:dyDescent="0.25">
      <c r="A57" s="9" t="s">
        <v>22</v>
      </c>
      <c r="B57" s="9" t="s">
        <v>969</v>
      </c>
      <c r="C57" s="9" t="s">
        <v>970</v>
      </c>
      <c r="D57" s="9" t="s">
        <v>971</v>
      </c>
      <c r="E57" s="9" t="s">
        <v>972</v>
      </c>
      <c r="F57" s="9" t="s">
        <v>973</v>
      </c>
      <c r="G57" s="9" t="s">
        <v>976</v>
      </c>
      <c r="L57" s="20">
        <f>$I$12*$L$12</f>
        <v>0</v>
      </c>
      <c r="M57" s="20">
        <f>$I$12*$M$12</f>
        <v>0</v>
      </c>
      <c r="N57" s="20">
        <f>$I$12*$N$12</f>
        <v>0</v>
      </c>
      <c r="O57" s="20">
        <f>$I$12*$O$12</f>
        <v>0</v>
      </c>
      <c r="P57" s="20">
        <f>$I$12*$P$12</f>
        <v>0</v>
      </c>
      <c r="Q57" s="20">
        <f>$I$12*$Q$12</f>
        <v>0</v>
      </c>
      <c r="R57" s="20">
        <f>$I$12*$R$12</f>
        <v>0</v>
      </c>
      <c r="S57" s="20">
        <f>$I$12*$S$12</f>
        <v>0</v>
      </c>
      <c r="T57" s="20">
        <f>$I$12*$T$12</f>
        <v>0</v>
      </c>
      <c r="U57" s="20">
        <f>$I$12*$U$12</f>
        <v>0</v>
      </c>
      <c r="V57" s="20">
        <f>$I$12*$V$12</f>
        <v>0</v>
      </c>
      <c r="X57" s="20">
        <f>$I$12*$X$12</f>
        <v>0</v>
      </c>
      <c r="Y57" s="20">
        <f>$I$12*$Y$12</f>
        <v>0</v>
      </c>
      <c r="Z57" s="20">
        <f>$I$12*$Z$12</f>
        <v>0</v>
      </c>
      <c r="AA57" s="20">
        <f>$I$12*$AA$12</f>
        <v>0</v>
      </c>
      <c r="AB57" s="20">
        <f>$I$12*$AB$12</f>
        <v>0</v>
      </c>
      <c r="AC57" s="20">
        <f>$I$12*$AC$12</f>
        <v>0</v>
      </c>
      <c r="AD57" s="20">
        <f>$I$12*$AD$12</f>
        <v>0</v>
      </c>
      <c r="AE57" s="20">
        <f>$I$12*$AE$12</f>
        <v>0</v>
      </c>
      <c r="AF57" s="20">
        <f>$I$12*$AF$12</f>
        <v>0</v>
      </c>
      <c r="AG57" s="20">
        <f>$I$12*$AG$12</f>
        <v>0</v>
      </c>
      <c r="AH57" s="20">
        <f>$I$12*$AH$12</f>
        <v>0</v>
      </c>
    </row>
    <row r="58" spans="1:34" ht="11.25" customHeight="1" x14ac:dyDescent="0.25">
      <c r="A58" s="9" t="s">
        <v>22</v>
      </c>
      <c r="B58" s="9" t="s">
        <v>977</v>
      </c>
      <c r="C58" s="9" t="s">
        <v>978</v>
      </c>
      <c r="D58" s="9" t="s">
        <v>979</v>
      </c>
      <c r="E58" s="9" t="s">
        <v>980</v>
      </c>
      <c r="F58" s="9" t="s">
        <v>981</v>
      </c>
      <c r="G58" s="9" t="s">
        <v>982</v>
      </c>
      <c r="L58" s="20">
        <f>$I$13*$L$13</f>
        <v>0</v>
      </c>
      <c r="M58" s="20">
        <f>$I$13*$M$13</f>
        <v>1254809.6632680497</v>
      </c>
      <c r="N58" s="20">
        <f>$I$13*$N$13</f>
        <v>0</v>
      </c>
      <c r="O58" s="20">
        <f>$I$13*$O$13</f>
        <v>0</v>
      </c>
      <c r="P58" s="20">
        <f>$I$13*$P$13</f>
        <v>-553249.13564692787</v>
      </c>
      <c r="Q58" s="20">
        <f>$I$13*$Q$13</f>
        <v>5970529.5038365787</v>
      </c>
      <c r="R58" s="20">
        <f>$I$13*$R$13</f>
        <v>0</v>
      </c>
      <c r="S58" s="20">
        <f>$I$13*$S$13</f>
        <v>0</v>
      </c>
      <c r="T58" s="20">
        <f>$I$13*$T$13</f>
        <v>0</v>
      </c>
      <c r="U58" s="20">
        <f>$I$13*$U$13</f>
        <v>0</v>
      </c>
      <c r="V58" s="20">
        <f>$I$13*$V$13</f>
        <v>163879.92995763192</v>
      </c>
      <c r="X58" s="20">
        <f>$I$13*$X$13</f>
        <v>0</v>
      </c>
      <c r="Y58" s="20">
        <f>$I$13*$Y$13</f>
        <v>233963.70745704829</v>
      </c>
      <c r="Z58" s="20">
        <f>$I$13*$Z$13</f>
        <v>0</v>
      </c>
      <c r="AA58" s="20">
        <f>$I$13*$AA$13</f>
        <v>0</v>
      </c>
      <c r="AB58" s="20">
        <f>$I$13*$AB$13</f>
        <v>0</v>
      </c>
      <c r="AC58" s="20">
        <f>$I$13*$AC$13</f>
        <v>8143684.8768523904</v>
      </c>
      <c r="AD58" s="20">
        <f>$I$13*$AD$13</f>
        <v>0</v>
      </c>
      <c r="AE58" s="20">
        <f>$I$13*$AE$13</f>
        <v>0</v>
      </c>
      <c r="AF58" s="20">
        <f>$I$13*$AF$13</f>
        <v>0</v>
      </c>
      <c r="AG58" s="20">
        <f>$I$13*$AG$13</f>
        <v>0</v>
      </c>
      <c r="AH58" s="20">
        <f>$I$13*$AH$13</f>
        <v>0</v>
      </c>
    </row>
    <row r="59" spans="1:34" ht="11.25" customHeight="1" x14ac:dyDescent="0.25">
      <c r="A59" s="9" t="s">
        <v>22</v>
      </c>
      <c r="B59" s="9" t="s">
        <v>977</v>
      </c>
      <c r="C59" s="9" t="s">
        <v>978</v>
      </c>
      <c r="D59" s="9" t="s">
        <v>983</v>
      </c>
      <c r="E59" s="9" t="s">
        <v>984</v>
      </c>
      <c r="F59" s="9" t="s">
        <v>985</v>
      </c>
      <c r="G59" s="9" t="s">
        <v>986</v>
      </c>
      <c r="L59" s="20">
        <f>$I$14*$L$14</f>
        <v>0</v>
      </c>
      <c r="M59" s="20">
        <f>$I$14*$M$14</f>
        <v>2281.8059390989424</v>
      </c>
      <c r="N59" s="20">
        <f>$I$14*$N$14</f>
        <v>0</v>
      </c>
      <c r="O59" s="20">
        <f>$I$14*$O$14</f>
        <v>0</v>
      </c>
      <c r="P59" s="20">
        <f>$I$14*$P$14</f>
        <v>-1006.0547033345915</v>
      </c>
      <c r="Q59" s="20">
        <f>$I$14*$Q$14</f>
        <v>10857.096562309089</v>
      </c>
      <c r="R59" s="20">
        <f>$I$14*$R$14</f>
        <v>0</v>
      </c>
      <c r="S59" s="20">
        <f>$I$14*$S$14</f>
        <v>0</v>
      </c>
      <c r="T59" s="20">
        <f>$I$14*$T$14</f>
        <v>0</v>
      </c>
      <c r="U59" s="20">
        <f>$I$14*$U$14</f>
        <v>0</v>
      </c>
      <c r="V59" s="20">
        <f>$I$14*$V$14</f>
        <v>298.00710691256648</v>
      </c>
      <c r="X59" s="20">
        <f>$I$14*$X$14</f>
        <v>0</v>
      </c>
      <c r="Y59" s="20">
        <f>$I$14*$Y$14</f>
        <v>425.45080169266976</v>
      </c>
      <c r="Z59" s="20">
        <f>$I$14*$Z$14</f>
        <v>0</v>
      </c>
      <c r="AA59" s="20">
        <f>$I$14*$AA$14</f>
        <v>0</v>
      </c>
      <c r="AB59" s="20">
        <f>$I$14*$AB$14</f>
        <v>0</v>
      </c>
      <c r="AC59" s="20">
        <f>$I$14*$AC$14</f>
        <v>14808.866286346485</v>
      </c>
      <c r="AD59" s="20">
        <f>$I$14*$AD$14</f>
        <v>0</v>
      </c>
      <c r="AE59" s="20">
        <f>$I$14*$AE$14</f>
        <v>0</v>
      </c>
      <c r="AF59" s="20">
        <f>$I$14*$AF$14</f>
        <v>0</v>
      </c>
      <c r="AG59" s="20">
        <f>$I$14*$AG$14</f>
        <v>0</v>
      </c>
      <c r="AH59" s="20">
        <f>$I$14*$AH$14</f>
        <v>0</v>
      </c>
    </row>
    <row r="60" spans="1:34" ht="11.25" customHeight="1" x14ac:dyDescent="0.25">
      <c r="A60" s="9" t="s">
        <v>22</v>
      </c>
      <c r="B60" s="9" t="s">
        <v>977</v>
      </c>
      <c r="C60" s="9" t="s">
        <v>978</v>
      </c>
      <c r="D60" s="9" t="s">
        <v>987</v>
      </c>
      <c r="E60" s="9" t="s">
        <v>988</v>
      </c>
      <c r="F60" s="9" t="s">
        <v>989</v>
      </c>
      <c r="G60" s="9" t="s">
        <v>990</v>
      </c>
      <c r="L60" s="20">
        <f>$I$15*$L$15</f>
        <v>0</v>
      </c>
      <c r="M60" s="20">
        <f>$I$15*$M$15</f>
        <v>8555.8286823979306</v>
      </c>
      <c r="N60" s="20">
        <f>$I$15*$N$15</f>
        <v>0</v>
      </c>
      <c r="O60" s="20">
        <f>$I$15*$O$15</f>
        <v>0</v>
      </c>
      <c r="P60" s="20">
        <f>$I$15*$P$15</f>
        <v>-3772.289106342886</v>
      </c>
      <c r="Q60" s="20">
        <f>$I$15*$Q$15</f>
        <v>40709.622402004003</v>
      </c>
      <c r="R60" s="20">
        <f>$I$15*$R$15</f>
        <v>0</v>
      </c>
      <c r="S60" s="20">
        <f>$I$15*$S$15</f>
        <v>0</v>
      </c>
      <c r="T60" s="20">
        <f>$I$15*$T$15</f>
        <v>0</v>
      </c>
      <c r="U60" s="20">
        <f>$I$15*$U$15</f>
        <v>0</v>
      </c>
      <c r="V60" s="20">
        <f>$I$15*$V$15</f>
        <v>1117.4034168250994</v>
      </c>
      <c r="X60" s="20">
        <f>$I$15*$X$15</f>
        <v>0</v>
      </c>
      <c r="Y60" s="20">
        <f>$I$15*$Y$15</f>
        <v>1595.2645707937652</v>
      </c>
      <c r="Z60" s="20">
        <f>$I$15*$Z$15</f>
        <v>0</v>
      </c>
      <c r="AA60" s="20">
        <f>$I$15*$AA$15</f>
        <v>0</v>
      </c>
      <c r="AB60" s="20">
        <f>$I$15*$AB$15</f>
        <v>0</v>
      </c>
      <c r="AC60" s="20">
        <f>$I$15*$AC$15</f>
        <v>55527.124702178851</v>
      </c>
      <c r="AD60" s="20">
        <f>$I$15*$AD$15</f>
        <v>0</v>
      </c>
      <c r="AE60" s="20">
        <f>$I$15*$AE$15</f>
        <v>0</v>
      </c>
      <c r="AF60" s="20">
        <f>$I$15*$AF$15</f>
        <v>0</v>
      </c>
      <c r="AG60" s="20">
        <f>$I$15*$AG$15</f>
        <v>0</v>
      </c>
      <c r="AH60" s="20">
        <f>$I$15*$AH$15</f>
        <v>0</v>
      </c>
    </row>
    <row r="61" spans="1:34" ht="11.25" customHeight="1" x14ac:dyDescent="0.25">
      <c r="A61" s="9" t="s">
        <v>22</v>
      </c>
      <c r="B61" s="9" t="s">
        <v>977</v>
      </c>
      <c r="C61" s="9" t="s">
        <v>978</v>
      </c>
      <c r="D61" s="9" t="s">
        <v>991</v>
      </c>
      <c r="E61" s="9" t="s">
        <v>992</v>
      </c>
      <c r="F61" s="9" t="s">
        <v>993</v>
      </c>
      <c r="G61" s="9" t="s">
        <v>994</v>
      </c>
      <c r="L61" s="20">
        <f>$I$16*$L$16</f>
        <v>0</v>
      </c>
      <c r="M61" s="20">
        <f>$I$16*$M$16</f>
        <v>15644.082126226987</v>
      </c>
      <c r="N61" s="20">
        <f>$I$16*$N$16</f>
        <v>0</v>
      </c>
      <c r="O61" s="20">
        <f>$I$16*$O$16</f>
        <v>0</v>
      </c>
      <c r="P61" s="20">
        <f>$I$16*$P$16</f>
        <v>-6897.5201320837732</v>
      </c>
      <c r="Q61" s="20">
        <f>$I$16*$Q$16</f>
        <v>74436.352085318664</v>
      </c>
      <c r="R61" s="20">
        <f>$I$16*$R$16</f>
        <v>0</v>
      </c>
      <c r="S61" s="20">
        <f>$I$16*$S$16</f>
        <v>0</v>
      </c>
      <c r="T61" s="20">
        <f>$I$16*$T$16</f>
        <v>0</v>
      </c>
      <c r="U61" s="20">
        <f>$I$16*$U$16</f>
        <v>0</v>
      </c>
      <c r="V61" s="20">
        <f>$I$16*$V$16</f>
        <v>2043.1394163959808</v>
      </c>
      <c r="X61" s="20">
        <f>$I$16*$X$16</f>
        <v>0</v>
      </c>
      <c r="Y61" s="20">
        <f>$I$16*$Y$16</f>
        <v>2916.8945387956715</v>
      </c>
      <c r="Z61" s="20">
        <f>$I$16*$Z$16</f>
        <v>0</v>
      </c>
      <c r="AA61" s="20">
        <f>$I$16*$AA$16</f>
        <v>0</v>
      </c>
      <c r="AB61" s="20">
        <f>$I$16*$AB$16</f>
        <v>0</v>
      </c>
      <c r="AC61" s="20">
        <f>$I$16*$AC$16</f>
        <v>101529.72100309398</v>
      </c>
      <c r="AD61" s="20">
        <f>$I$16*$AD$16</f>
        <v>0</v>
      </c>
      <c r="AE61" s="20">
        <f>$I$16*$AE$16</f>
        <v>0</v>
      </c>
      <c r="AF61" s="20">
        <f>$I$16*$AF$16</f>
        <v>0</v>
      </c>
      <c r="AG61" s="20">
        <f>$I$16*$AG$16</f>
        <v>0</v>
      </c>
      <c r="AH61" s="20">
        <f>$I$16*$AH$16</f>
        <v>0</v>
      </c>
    </row>
    <row r="62" spans="1:34" ht="11.25" customHeight="1" x14ac:dyDescent="0.25">
      <c r="A62" s="9" t="s">
        <v>22</v>
      </c>
      <c r="B62" s="9" t="s">
        <v>977</v>
      </c>
      <c r="C62" s="9" t="s">
        <v>978</v>
      </c>
      <c r="D62" s="9" t="s">
        <v>995</v>
      </c>
      <c r="E62" s="9" t="s">
        <v>996</v>
      </c>
      <c r="F62" s="9" t="s">
        <v>997</v>
      </c>
      <c r="G62" s="9" t="s">
        <v>998</v>
      </c>
      <c r="L62" s="20">
        <f>$I$17*$L$17</f>
        <v>0</v>
      </c>
      <c r="M62" s="20">
        <f>$I$17*$M$17</f>
        <v>11840.019439752825</v>
      </c>
      <c r="N62" s="20">
        <f>$I$17*$N$17</f>
        <v>0</v>
      </c>
      <c r="O62" s="20">
        <f>$I$17*$O$17</f>
        <v>0</v>
      </c>
      <c r="P62" s="20">
        <f>$I$17*$P$17</f>
        <v>-5220.2981159914561</v>
      </c>
      <c r="Q62" s="20">
        <f>$I$17*$Q$17</f>
        <v>56336.181861186371</v>
      </c>
      <c r="R62" s="20">
        <f>$I$17*$R$17</f>
        <v>0</v>
      </c>
      <c r="S62" s="20">
        <f>$I$17*$S$17</f>
        <v>0</v>
      </c>
      <c r="T62" s="20">
        <f>$I$17*$T$17</f>
        <v>0</v>
      </c>
      <c r="U62" s="20">
        <f>$I$17*$U$17</f>
        <v>0</v>
      </c>
      <c r="V62" s="20">
        <f>$I$17*$V$17</f>
        <v>1546.3234092652995</v>
      </c>
      <c r="X62" s="20">
        <f>$I$17*$X$17</f>
        <v>0</v>
      </c>
      <c r="Y62" s="20">
        <f>$I$17*$Y$17</f>
        <v>2207.6135732597913</v>
      </c>
      <c r="Z62" s="20">
        <f>$I$17*$Z$17</f>
        <v>0</v>
      </c>
      <c r="AA62" s="20">
        <f>$I$17*$AA$17</f>
        <v>0</v>
      </c>
      <c r="AB62" s="20">
        <f>$I$17*$AB$17</f>
        <v>0</v>
      </c>
      <c r="AC62" s="20">
        <f>$I$17*$AC$17</f>
        <v>76841.444623586765</v>
      </c>
      <c r="AD62" s="20">
        <f>$I$17*$AD$17</f>
        <v>0</v>
      </c>
      <c r="AE62" s="20">
        <f>$I$17*$AE$17</f>
        <v>0</v>
      </c>
      <c r="AF62" s="20">
        <f>$I$17*$AF$17</f>
        <v>0</v>
      </c>
      <c r="AG62" s="20">
        <f>$I$17*$AG$17</f>
        <v>0</v>
      </c>
      <c r="AH62" s="20">
        <f>$I$17*$AH$17</f>
        <v>0</v>
      </c>
    </row>
    <row r="63" spans="1:34" ht="11.25" customHeight="1" x14ac:dyDescent="0.25">
      <c r="A63" s="9" t="s">
        <v>22</v>
      </c>
      <c r="B63" s="9" t="s">
        <v>999</v>
      </c>
      <c r="C63" s="9" t="s">
        <v>1000</v>
      </c>
      <c r="D63" s="9" t="s">
        <v>1001</v>
      </c>
      <c r="E63" s="9" t="s">
        <v>1002</v>
      </c>
      <c r="F63" s="9" t="s">
        <v>1003</v>
      </c>
      <c r="G63" s="9" t="s">
        <v>1004</v>
      </c>
      <c r="L63" s="20">
        <f>$I$18*$L$18</f>
        <v>0</v>
      </c>
      <c r="M63" s="20">
        <f>$I$18*$M$18</f>
        <v>0</v>
      </c>
      <c r="N63" s="20">
        <f>$I$18*$N$18</f>
        <v>0</v>
      </c>
      <c r="O63" s="20">
        <f>$I$18*$O$18</f>
        <v>0</v>
      </c>
      <c r="P63" s="20">
        <f>$I$18*$P$18</f>
        <v>0</v>
      </c>
      <c r="Q63" s="20">
        <f>$I$18*$Q$18</f>
        <v>0</v>
      </c>
      <c r="R63" s="20">
        <f>$I$18*$R$18</f>
        <v>0</v>
      </c>
      <c r="S63" s="20">
        <f>$I$18*$S$18</f>
        <v>0</v>
      </c>
      <c r="T63" s="20">
        <f>$I$18*$T$18</f>
        <v>0</v>
      </c>
      <c r="U63" s="20">
        <f>$I$18*$U$18</f>
        <v>0</v>
      </c>
      <c r="V63" s="20">
        <f>$I$18*$V$18</f>
        <v>0</v>
      </c>
      <c r="X63" s="20">
        <f>$I$18*$X$18</f>
        <v>0</v>
      </c>
      <c r="Y63" s="20">
        <f>$I$18*$Y$18</f>
        <v>0</v>
      </c>
      <c r="Z63" s="20">
        <f>$I$18*$Z$18</f>
        <v>0</v>
      </c>
      <c r="AA63" s="20">
        <f>$I$18*$AA$18</f>
        <v>0</v>
      </c>
      <c r="AB63" s="20">
        <f>$I$18*$AB$18</f>
        <v>0</v>
      </c>
      <c r="AC63" s="20">
        <f>$I$18*$AC$18</f>
        <v>0</v>
      </c>
      <c r="AD63" s="20">
        <f>$I$18*$AD$18</f>
        <v>0</v>
      </c>
      <c r="AE63" s="20">
        <f>$I$18*$AE$18</f>
        <v>0</v>
      </c>
      <c r="AF63" s="20">
        <f>$I$18*$AF$18</f>
        <v>0</v>
      </c>
      <c r="AG63" s="20">
        <f>$I$18*$AG$18</f>
        <v>0</v>
      </c>
      <c r="AH63" s="20">
        <f>$I$18*$AH$18</f>
        <v>0</v>
      </c>
    </row>
    <row r="64" spans="1:34" ht="11.25" customHeight="1" x14ac:dyDescent="0.25">
      <c r="A64" s="9" t="s">
        <v>22</v>
      </c>
      <c r="B64" s="9" t="s">
        <v>999</v>
      </c>
      <c r="C64" s="9" t="s">
        <v>1000</v>
      </c>
      <c r="D64" s="9" t="s">
        <v>1005</v>
      </c>
      <c r="E64" s="9" t="s">
        <v>1006</v>
      </c>
      <c r="F64" s="9" t="s">
        <v>1007</v>
      </c>
      <c r="G64" s="9" t="s">
        <v>1008</v>
      </c>
      <c r="L64" s="20">
        <f>$I$19*$L$19</f>
        <v>0</v>
      </c>
      <c r="M64" s="20">
        <f>$I$19*$M$19</f>
        <v>0</v>
      </c>
      <c r="N64" s="20">
        <f>$I$19*$N$19</f>
        <v>0</v>
      </c>
      <c r="O64" s="20">
        <f>$I$19*$O$19</f>
        <v>0</v>
      </c>
      <c r="P64" s="20">
        <f>$I$19*$P$19</f>
        <v>0</v>
      </c>
      <c r="Q64" s="20">
        <f>$I$19*$Q$19</f>
        <v>0</v>
      </c>
      <c r="R64" s="20">
        <f>$I$19*$R$19</f>
        <v>0</v>
      </c>
      <c r="S64" s="20">
        <f>$I$19*$S$19</f>
        <v>0</v>
      </c>
      <c r="T64" s="20">
        <f>$I$19*$T$19</f>
        <v>0</v>
      </c>
      <c r="U64" s="20">
        <f>$I$19*$U$19</f>
        <v>0</v>
      </c>
      <c r="V64" s="20">
        <f>$I$19*$V$19</f>
        <v>0</v>
      </c>
      <c r="X64" s="20">
        <f>$I$19*$X$19</f>
        <v>0</v>
      </c>
      <c r="Y64" s="20">
        <f>$I$19*$Y$19</f>
        <v>0</v>
      </c>
      <c r="Z64" s="20">
        <f>$I$19*$Z$19</f>
        <v>0</v>
      </c>
      <c r="AA64" s="20">
        <f>$I$19*$AA$19</f>
        <v>0</v>
      </c>
      <c r="AB64" s="20">
        <f>$I$19*$AB$19</f>
        <v>0</v>
      </c>
      <c r="AC64" s="20">
        <f>$I$19*$AC$19</f>
        <v>0</v>
      </c>
      <c r="AD64" s="20">
        <f>$I$19*$AD$19</f>
        <v>0</v>
      </c>
      <c r="AE64" s="20">
        <f>$I$19*$AE$19</f>
        <v>0</v>
      </c>
      <c r="AF64" s="20">
        <f>$I$19*$AF$19</f>
        <v>0</v>
      </c>
      <c r="AG64" s="20">
        <f>$I$19*$AG$19</f>
        <v>0</v>
      </c>
      <c r="AH64" s="20">
        <f>$I$19*$AH$19</f>
        <v>0</v>
      </c>
    </row>
    <row r="65" spans="1:34" ht="11.25" customHeight="1" x14ac:dyDescent="0.25">
      <c r="A65" s="9" t="s">
        <v>22</v>
      </c>
      <c r="B65" s="9" t="s">
        <v>999</v>
      </c>
      <c r="C65" s="9" t="s">
        <v>1000</v>
      </c>
      <c r="D65" s="9" t="s">
        <v>1009</v>
      </c>
      <c r="E65" s="9" t="s">
        <v>1010</v>
      </c>
      <c r="F65" s="9" t="s">
        <v>1011</v>
      </c>
      <c r="G65" s="9" t="s">
        <v>1012</v>
      </c>
      <c r="L65" s="20">
        <f>$I$20*$L$20</f>
        <v>0</v>
      </c>
      <c r="M65" s="20">
        <f>$I$20*$M$20</f>
        <v>0</v>
      </c>
      <c r="N65" s="20">
        <f>$I$20*$N$20</f>
        <v>0</v>
      </c>
      <c r="O65" s="20">
        <f>$I$20*$O$20</f>
        <v>0</v>
      </c>
      <c r="P65" s="20">
        <f>$I$20*$P$20</f>
        <v>0</v>
      </c>
      <c r="Q65" s="20">
        <f>$I$20*$Q$20</f>
        <v>0</v>
      </c>
      <c r="R65" s="20">
        <f>$I$20*$R$20</f>
        <v>0</v>
      </c>
      <c r="S65" s="20">
        <f>$I$20*$S$20</f>
        <v>0</v>
      </c>
      <c r="T65" s="20">
        <f>$I$20*$T$20</f>
        <v>0</v>
      </c>
      <c r="U65" s="20">
        <f>$I$20*$U$20</f>
        <v>0</v>
      </c>
      <c r="V65" s="20">
        <f>$I$20*$V$20</f>
        <v>0</v>
      </c>
      <c r="X65" s="20">
        <f>$I$20*$X$20</f>
        <v>0</v>
      </c>
      <c r="Y65" s="20">
        <f>$I$20*$Y$20</f>
        <v>0</v>
      </c>
      <c r="Z65" s="20">
        <f>$I$20*$Z$20</f>
        <v>0</v>
      </c>
      <c r="AA65" s="20">
        <f>$I$20*$AA$20</f>
        <v>0</v>
      </c>
      <c r="AB65" s="20">
        <f>$I$20*$AB$20</f>
        <v>0</v>
      </c>
      <c r="AC65" s="20">
        <f>$I$20*$AC$20</f>
        <v>0</v>
      </c>
      <c r="AD65" s="20">
        <f>$I$20*$AD$20</f>
        <v>0</v>
      </c>
      <c r="AE65" s="20">
        <f>$I$20*$AE$20</f>
        <v>0</v>
      </c>
      <c r="AF65" s="20">
        <f>$I$20*$AF$20</f>
        <v>0</v>
      </c>
      <c r="AG65" s="20">
        <f>$I$20*$AG$20</f>
        <v>0</v>
      </c>
      <c r="AH65" s="20">
        <f>$I$20*$AH$20</f>
        <v>0</v>
      </c>
    </row>
    <row r="66" spans="1:34" ht="11.25" customHeight="1" x14ac:dyDescent="0.25">
      <c r="A66" s="9" t="s">
        <v>22</v>
      </c>
      <c r="B66" s="9" t="s">
        <v>999</v>
      </c>
      <c r="C66" s="9" t="s">
        <v>1000</v>
      </c>
      <c r="D66" s="9" t="s">
        <v>1013</v>
      </c>
      <c r="E66" s="9" t="s">
        <v>1014</v>
      </c>
      <c r="F66" s="9" t="s">
        <v>1015</v>
      </c>
      <c r="G66" s="9" t="s">
        <v>1016</v>
      </c>
      <c r="L66" s="20">
        <f>$I$21*$L$21</f>
        <v>0</v>
      </c>
      <c r="M66" s="20">
        <f>$I$21*$M$21</f>
        <v>0</v>
      </c>
      <c r="N66" s="20">
        <f>$I$21*$N$21</f>
        <v>0</v>
      </c>
      <c r="O66" s="20">
        <f>$I$21*$O$21</f>
        <v>0</v>
      </c>
      <c r="P66" s="20">
        <f>$I$21*$P$21</f>
        <v>0</v>
      </c>
      <c r="Q66" s="20">
        <f>$I$21*$Q$21</f>
        <v>0</v>
      </c>
      <c r="R66" s="20">
        <f>$I$21*$R$21</f>
        <v>0</v>
      </c>
      <c r="S66" s="20">
        <f>$I$21*$S$21</f>
        <v>0</v>
      </c>
      <c r="T66" s="20">
        <f>$I$21*$T$21</f>
        <v>0</v>
      </c>
      <c r="U66" s="20">
        <f>$I$21*$U$21</f>
        <v>0</v>
      </c>
      <c r="V66" s="20">
        <f>$I$21*$V$21</f>
        <v>0</v>
      </c>
      <c r="X66" s="20">
        <f>$I$21*$X$21</f>
        <v>0</v>
      </c>
      <c r="Y66" s="20">
        <f>$I$21*$Y$21</f>
        <v>0</v>
      </c>
      <c r="Z66" s="20">
        <f>$I$21*$Z$21</f>
        <v>0</v>
      </c>
      <c r="AA66" s="20">
        <f>$I$21*$AA$21</f>
        <v>0</v>
      </c>
      <c r="AB66" s="20">
        <f>$I$21*$AB$21</f>
        <v>0</v>
      </c>
      <c r="AC66" s="20">
        <f>$I$21*$AC$21</f>
        <v>0</v>
      </c>
      <c r="AD66" s="20">
        <f>$I$21*$AD$21</f>
        <v>0</v>
      </c>
      <c r="AE66" s="20">
        <f>$I$21*$AE$21</f>
        <v>0</v>
      </c>
      <c r="AF66" s="20">
        <f>$I$21*$AF$21</f>
        <v>0</v>
      </c>
      <c r="AG66" s="20">
        <f>$I$21*$AG$21</f>
        <v>0</v>
      </c>
      <c r="AH66" s="20">
        <f>$I$21*$AH$21</f>
        <v>0</v>
      </c>
    </row>
    <row r="67" spans="1:34" ht="11.25" customHeight="1" x14ac:dyDescent="0.25">
      <c r="A67" s="9" t="s">
        <v>22</v>
      </c>
      <c r="B67" s="9" t="s">
        <v>999</v>
      </c>
      <c r="C67" s="9" t="s">
        <v>1000</v>
      </c>
      <c r="D67" s="9" t="s">
        <v>1017</v>
      </c>
      <c r="E67" s="9" t="s">
        <v>1018</v>
      </c>
      <c r="F67" s="9" t="s">
        <v>1019</v>
      </c>
      <c r="G67" s="9" t="s">
        <v>1020</v>
      </c>
      <c r="L67" s="20">
        <f>$I$22*$L$22</f>
        <v>0</v>
      </c>
      <c r="M67" s="20">
        <f>$I$22*$M$22</f>
        <v>0</v>
      </c>
      <c r="N67" s="20">
        <f>$I$22*$N$22</f>
        <v>0</v>
      </c>
      <c r="O67" s="20">
        <f>$I$22*$O$22</f>
        <v>0</v>
      </c>
      <c r="P67" s="20">
        <f>$I$22*$P$22</f>
        <v>0</v>
      </c>
      <c r="Q67" s="20">
        <f>$I$22*$Q$22</f>
        <v>0</v>
      </c>
      <c r="R67" s="20">
        <f>$I$22*$R$22</f>
        <v>0</v>
      </c>
      <c r="S67" s="20">
        <f>$I$22*$S$22</f>
        <v>0</v>
      </c>
      <c r="T67" s="20">
        <f>$I$22*$T$22</f>
        <v>0</v>
      </c>
      <c r="U67" s="20">
        <f>$I$22*$U$22</f>
        <v>0</v>
      </c>
      <c r="V67" s="20">
        <f>$I$22*$V$22</f>
        <v>0</v>
      </c>
      <c r="X67" s="20">
        <f>$I$22*$X$22</f>
        <v>0</v>
      </c>
      <c r="Y67" s="20">
        <f>$I$22*$Y$22</f>
        <v>0</v>
      </c>
      <c r="Z67" s="20">
        <f>$I$22*$Z$22</f>
        <v>0</v>
      </c>
      <c r="AA67" s="20">
        <f>$I$22*$AA$22</f>
        <v>0</v>
      </c>
      <c r="AB67" s="20">
        <f>$I$22*$AB$22</f>
        <v>0</v>
      </c>
      <c r="AC67" s="20">
        <f>$I$22*$AC$22</f>
        <v>0</v>
      </c>
      <c r="AD67" s="20">
        <f>$I$22*$AD$22</f>
        <v>0</v>
      </c>
      <c r="AE67" s="20">
        <f>$I$22*$AE$22</f>
        <v>0</v>
      </c>
      <c r="AF67" s="20">
        <f>$I$22*$AF$22</f>
        <v>0</v>
      </c>
      <c r="AG67" s="20">
        <f>$I$22*$AG$22</f>
        <v>0</v>
      </c>
      <c r="AH67" s="20">
        <f>$I$22*$AH$22</f>
        <v>0</v>
      </c>
    </row>
    <row r="68" spans="1:34" ht="11.25" customHeight="1" x14ac:dyDescent="0.25">
      <c r="A68" s="9" t="s">
        <v>40</v>
      </c>
      <c r="B68" s="9" t="s">
        <v>1021</v>
      </c>
      <c r="C68" s="9" t="s">
        <v>1022</v>
      </c>
      <c r="D68" s="9" t="s">
        <v>1023</v>
      </c>
      <c r="E68" s="9" t="s">
        <v>1024</v>
      </c>
      <c r="F68" s="9" t="s">
        <v>1025</v>
      </c>
      <c r="G68" s="9" t="s">
        <v>1026</v>
      </c>
      <c r="L68" s="20">
        <f>$I$23*$L$23</f>
        <v>0</v>
      </c>
      <c r="M68" s="20">
        <f>$I$23*$M$23</f>
        <v>0</v>
      </c>
      <c r="N68" s="20">
        <f>$I$23*$N$23</f>
        <v>0</v>
      </c>
      <c r="O68" s="20">
        <f>$I$23*$O$23</f>
        <v>0</v>
      </c>
      <c r="P68" s="20">
        <f>$I$23*$P$23</f>
        <v>0</v>
      </c>
      <c r="Q68" s="20">
        <f>$I$23*$Q$23</f>
        <v>0</v>
      </c>
      <c r="R68" s="20">
        <f>$I$23*$R$23</f>
        <v>0</v>
      </c>
      <c r="S68" s="20">
        <f>$I$23*$S$23</f>
        <v>0</v>
      </c>
      <c r="T68" s="20">
        <f>$I$23*$T$23</f>
        <v>0</v>
      </c>
      <c r="U68" s="20">
        <f>$I$23*$U$23</f>
        <v>0</v>
      </c>
      <c r="V68" s="20">
        <f>$I$23*$V$23</f>
        <v>0</v>
      </c>
      <c r="X68" s="20">
        <f>$I$23*$X$23</f>
        <v>0</v>
      </c>
      <c r="Y68" s="20">
        <f>$I$23*$Y$23</f>
        <v>0</v>
      </c>
      <c r="Z68" s="20">
        <f>$I$23*$Z$23</f>
        <v>0</v>
      </c>
      <c r="AA68" s="20">
        <f>$I$23*$AA$23</f>
        <v>0</v>
      </c>
      <c r="AB68" s="20">
        <f>$I$23*$AB$23</f>
        <v>0</v>
      </c>
      <c r="AC68" s="20">
        <f>$I$23*$AC$23</f>
        <v>0</v>
      </c>
      <c r="AD68" s="20">
        <f>$I$23*$AD$23</f>
        <v>0</v>
      </c>
      <c r="AE68" s="20">
        <f>$I$23*$AE$23</f>
        <v>0</v>
      </c>
      <c r="AF68" s="20">
        <f>$I$23*$AF$23</f>
        <v>0</v>
      </c>
      <c r="AG68" s="20">
        <f>$I$23*$AG$23</f>
        <v>0</v>
      </c>
      <c r="AH68" s="20">
        <f>$I$23*$AH$23</f>
        <v>0</v>
      </c>
    </row>
    <row r="69" spans="1:34" ht="11.25" customHeight="1" x14ac:dyDescent="0.25">
      <c r="A69" s="9" t="s">
        <v>40</v>
      </c>
      <c r="B69" s="9" t="s">
        <v>1021</v>
      </c>
      <c r="C69" s="9" t="s">
        <v>1022</v>
      </c>
      <c r="D69" s="9" t="s">
        <v>1023</v>
      </c>
      <c r="E69" s="9" t="s">
        <v>1024</v>
      </c>
      <c r="F69" s="9" t="s">
        <v>1025</v>
      </c>
      <c r="G69" s="9" t="s">
        <v>1027</v>
      </c>
      <c r="L69" s="20">
        <f>$I$24*$L$24</f>
        <v>0</v>
      </c>
      <c r="M69" s="20">
        <f>$I$24*$M$24</f>
        <v>0</v>
      </c>
      <c r="N69" s="20">
        <f>$I$24*$N$24</f>
        <v>0</v>
      </c>
      <c r="O69" s="20">
        <f>$I$24*$O$24</f>
        <v>0</v>
      </c>
      <c r="P69" s="20">
        <f>$I$24*$P$24</f>
        <v>0</v>
      </c>
      <c r="Q69" s="20">
        <f>$I$24*$Q$24</f>
        <v>0</v>
      </c>
      <c r="R69" s="20">
        <f>$I$24*$R$24</f>
        <v>0</v>
      </c>
      <c r="S69" s="20">
        <f>$I$24*$S$24</f>
        <v>0</v>
      </c>
      <c r="T69" s="20">
        <f>$I$24*$T$24</f>
        <v>0</v>
      </c>
      <c r="U69" s="20">
        <f>$I$24*$U$24</f>
        <v>0</v>
      </c>
      <c r="V69" s="20">
        <f>$I$24*$V$24</f>
        <v>0</v>
      </c>
      <c r="X69" s="20">
        <f>$I$24*$X$24</f>
        <v>0</v>
      </c>
      <c r="Y69" s="20">
        <f>$I$24*$Y$24</f>
        <v>0</v>
      </c>
      <c r="Z69" s="20">
        <f>$I$24*$Z$24</f>
        <v>0</v>
      </c>
      <c r="AA69" s="20">
        <f>$I$24*$AA$24</f>
        <v>0</v>
      </c>
      <c r="AB69" s="20">
        <f>$I$24*$AB$24</f>
        <v>0</v>
      </c>
      <c r="AC69" s="20">
        <f>$I$24*$AC$24</f>
        <v>0</v>
      </c>
      <c r="AD69" s="20">
        <f>$I$24*$AD$24</f>
        <v>0</v>
      </c>
      <c r="AE69" s="20">
        <f>$I$24*$AE$24</f>
        <v>0</v>
      </c>
      <c r="AF69" s="20">
        <f>$I$24*$AF$24</f>
        <v>0</v>
      </c>
      <c r="AG69" s="20">
        <f>$I$24*$AG$24</f>
        <v>0</v>
      </c>
      <c r="AH69" s="20">
        <f>$I$24*$AH$24</f>
        <v>0</v>
      </c>
    </row>
    <row r="70" spans="1:34" ht="11.25" customHeight="1" x14ac:dyDescent="0.25">
      <c r="A70" s="9" t="s">
        <v>40</v>
      </c>
      <c r="B70" s="9" t="s">
        <v>1021</v>
      </c>
      <c r="C70" s="9" t="s">
        <v>1022</v>
      </c>
      <c r="D70" s="9" t="s">
        <v>1023</v>
      </c>
      <c r="E70" s="9" t="s">
        <v>1024</v>
      </c>
      <c r="F70" s="9" t="s">
        <v>1025</v>
      </c>
      <c r="G70" s="9" t="s">
        <v>1028</v>
      </c>
      <c r="L70" s="20">
        <f>$I$25*$L$25</f>
        <v>0</v>
      </c>
      <c r="M70" s="20">
        <f>$I$25*$M$25</f>
        <v>0</v>
      </c>
      <c r="N70" s="20">
        <f>$I$25*$N$25</f>
        <v>0</v>
      </c>
      <c r="O70" s="20">
        <f>$I$25*$O$25</f>
        <v>0</v>
      </c>
      <c r="P70" s="20">
        <f>$I$25*$P$25</f>
        <v>0</v>
      </c>
      <c r="Q70" s="20">
        <f>$I$25*$Q$25</f>
        <v>0</v>
      </c>
      <c r="R70" s="20">
        <f>$I$25*$R$25</f>
        <v>0</v>
      </c>
      <c r="S70" s="20">
        <f>$I$25*$S$25</f>
        <v>0</v>
      </c>
      <c r="T70" s="20">
        <f>$I$25*$T$25</f>
        <v>0</v>
      </c>
      <c r="U70" s="20">
        <f>$I$25*$U$25</f>
        <v>0</v>
      </c>
      <c r="V70" s="20">
        <f>$I$25*$V$25</f>
        <v>0</v>
      </c>
      <c r="X70" s="20">
        <f>$I$25*$X$25</f>
        <v>0</v>
      </c>
      <c r="Y70" s="20">
        <f>$I$25*$Y$25</f>
        <v>0</v>
      </c>
      <c r="Z70" s="20">
        <f>$I$25*$Z$25</f>
        <v>0</v>
      </c>
      <c r="AA70" s="20">
        <f>$I$25*$AA$25</f>
        <v>0</v>
      </c>
      <c r="AB70" s="20">
        <f>$I$25*$AB$25</f>
        <v>0</v>
      </c>
      <c r="AC70" s="20">
        <f>$I$25*$AC$25</f>
        <v>0</v>
      </c>
      <c r="AD70" s="20">
        <f>$I$25*$AD$25</f>
        <v>0</v>
      </c>
      <c r="AE70" s="20">
        <f>$I$25*$AE$25</f>
        <v>0</v>
      </c>
      <c r="AF70" s="20">
        <f>$I$25*$AF$25</f>
        <v>0</v>
      </c>
      <c r="AG70" s="20">
        <f>$I$25*$AG$25</f>
        <v>0</v>
      </c>
      <c r="AH70" s="20">
        <f>$I$25*$AH$25</f>
        <v>0</v>
      </c>
    </row>
    <row r="71" spans="1:34" ht="11.25" customHeight="1" x14ac:dyDescent="0.25">
      <c r="A71" s="9" t="s">
        <v>40</v>
      </c>
      <c r="B71" s="9" t="s">
        <v>1029</v>
      </c>
      <c r="C71" s="9" t="s">
        <v>1030</v>
      </c>
      <c r="D71" s="9" t="s">
        <v>1031</v>
      </c>
      <c r="E71" s="9" t="s">
        <v>1032</v>
      </c>
      <c r="F71" s="9" t="s">
        <v>1033</v>
      </c>
      <c r="G71" s="9" t="s">
        <v>1034</v>
      </c>
      <c r="L71" s="20">
        <f>$I$26*$L$26</f>
        <v>0</v>
      </c>
      <c r="M71" s="20">
        <f>$I$26*$M$26</f>
        <v>988053.44700368971</v>
      </c>
      <c r="N71" s="20">
        <f>$I$26*$N$26</f>
        <v>0</v>
      </c>
      <c r="O71" s="20">
        <f>$I$26*$O$26</f>
        <v>0</v>
      </c>
      <c r="P71" s="20">
        <f>$I$26*$P$26</f>
        <v>-435635.56412538316</v>
      </c>
      <c r="Q71" s="20">
        <f>$I$26*$Q$26</f>
        <v>4701272.5749489116</v>
      </c>
      <c r="R71" s="20">
        <f>$I$26*$R$26</f>
        <v>0</v>
      </c>
      <c r="S71" s="20">
        <f>$I$26*$S$26</f>
        <v>0</v>
      </c>
      <c r="T71" s="20">
        <f>$I$26*$T$26</f>
        <v>0</v>
      </c>
      <c r="U71" s="20">
        <f>$I$26*$U$26</f>
        <v>0</v>
      </c>
      <c r="V71" s="20">
        <f>$I$26*$V$26</f>
        <v>129041.18802181394</v>
      </c>
      <c r="X71" s="20">
        <f>$I$26*$X$26</f>
        <v>0</v>
      </c>
      <c r="Y71" s="20">
        <f>$I$26*$Y$26</f>
        <v>172466.95524313653</v>
      </c>
      <c r="Z71" s="20">
        <f>$I$26*$Z$26</f>
        <v>0</v>
      </c>
      <c r="AA71" s="20">
        <f>$I$26*$AA$26</f>
        <v>0</v>
      </c>
      <c r="AB71" s="20">
        <f>$I$26*$AB$26</f>
        <v>0</v>
      </c>
      <c r="AC71" s="20">
        <f>$I$26*$AC$26</f>
        <v>6003138.4800488912</v>
      </c>
      <c r="AD71" s="20">
        <f>$I$26*$AD$26</f>
        <v>0</v>
      </c>
      <c r="AE71" s="20">
        <f>$I$26*$AE$26</f>
        <v>0</v>
      </c>
      <c r="AF71" s="20">
        <f>$I$26*$AF$26</f>
        <v>0</v>
      </c>
      <c r="AG71" s="20">
        <f>$I$26*$AG$26</f>
        <v>0</v>
      </c>
      <c r="AH71" s="20">
        <f>$I$26*$AH$26</f>
        <v>0</v>
      </c>
    </row>
    <row r="72" spans="1:34" ht="11.25" customHeight="1" x14ac:dyDescent="0.25">
      <c r="A72" s="9" t="s">
        <v>40</v>
      </c>
      <c r="B72" s="9" t="s">
        <v>1021</v>
      </c>
      <c r="C72" s="9" t="s">
        <v>1022</v>
      </c>
      <c r="D72" s="9" t="s">
        <v>1035</v>
      </c>
      <c r="E72" s="9" t="s">
        <v>1036</v>
      </c>
      <c r="F72" s="9" t="s">
        <v>1037</v>
      </c>
      <c r="G72" s="9" t="s">
        <v>1038</v>
      </c>
      <c r="L72" s="20">
        <f>$I$27*$L$27</f>
        <v>0</v>
      </c>
      <c r="M72" s="20">
        <f>$I$27*$M$27</f>
        <v>0</v>
      </c>
      <c r="N72" s="20">
        <f>$I$27*$N$27</f>
        <v>0</v>
      </c>
      <c r="O72" s="20">
        <f>$I$27*$O$27</f>
        <v>0</v>
      </c>
      <c r="P72" s="20">
        <f>$I$27*$P$27</f>
        <v>0</v>
      </c>
      <c r="Q72" s="20">
        <f>$I$27*$Q$27</f>
        <v>0</v>
      </c>
      <c r="R72" s="20">
        <f>$I$27*$R$27</f>
        <v>0</v>
      </c>
      <c r="S72" s="20">
        <f>$I$27*$S$27</f>
        <v>0</v>
      </c>
      <c r="T72" s="20">
        <f>$I$27*$T$27</f>
        <v>0</v>
      </c>
      <c r="U72" s="20">
        <f>$I$27*$U$27</f>
        <v>0</v>
      </c>
      <c r="V72" s="20">
        <f>$I$27*$V$27</f>
        <v>0</v>
      </c>
      <c r="X72" s="20">
        <f>$I$27*$X$27</f>
        <v>0</v>
      </c>
      <c r="Y72" s="20">
        <f>$I$27*$Y$27</f>
        <v>0</v>
      </c>
      <c r="Z72" s="20">
        <f>$I$27*$Z$27</f>
        <v>0</v>
      </c>
      <c r="AA72" s="20">
        <f>$I$27*$AA$27</f>
        <v>0</v>
      </c>
      <c r="AB72" s="20">
        <f>$I$27*$AB$27</f>
        <v>0</v>
      </c>
      <c r="AC72" s="20">
        <f>$I$27*$AC$27</f>
        <v>0</v>
      </c>
      <c r="AD72" s="20">
        <f>$I$27*$AD$27</f>
        <v>0</v>
      </c>
      <c r="AE72" s="20">
        <f>$I$27*$AE$27</f>
        <v>0</v>
      </c>
      <c r="AF72" s="20">
        <f>$I$27*$AF$27</f>
        <v>0</v>
      </c>
      <c r="AG72" s="20">
        <f>$I$27*$AG$27</f>
        <v>0</v>
      </c>
      <c r="AH72" s="20">
        <f>$I$27*$AH$27</f>
        <v>0</v>
      </c>
    </row>
    <row r="73" spans="1:34" ht="11.25" customHeight="1" x14ac:dyDescent="0.25">
      <c r="A73" s="9" t="s">
        <v>40</v>
      </c>
      <c r="B73" s="9" t="s">
        <v>1021</v>
      </c>
      <c r="C73" s="9" t="s">
        <v>1022</v>
      </c>
      <c r="D73" s="9" t="s">
        <v>1035</v>
      </c>
      <c r="E73" s="9" t="s">
        <v>1036</v>
      </c>
      <c r="F73" s="9" t="s">
        <v>1037</v>
      </c>
      <c r="G73" s="9" t="s">
        <v>1039</v>
      </c>
      <c r="L73" s="20">
        <f>$I$28*$L$28</f>
        <v>0</v>
      </c>
      <c r="M73" s="20">
        <f>$I$28*$M$28</f>
        <v>0</v>
      </c>
      <c r="N73" s="20">
        <f>$I$28*$N$28</f>
        <v>0</v>
      </c>
      <c r="O73" s="20">
        <f>$I$28*$O$28</f>
        <v>0</v>
      </c>
      <c r="P73" s="20">
        <f>$I$28*$P$28</f>
        <v>0</v>
      </c>
      <c r="Q73" s="20">
        <f>$I$28*$Q$28</f>
        <v>0</v>
      </c>
      <c r="R73" s="20">
        <f>$I$28*$R$28</f>
        <v>0</v>
      </c>
      <c r="S73" s="20">
        <f>$I$28*$S$28</f>
        <v>0</v>
      </c>
      <c r="T73" s="20">
        <f>$I$28*$T$28</f>
        <v>0</v>
      </c>
      <c r="U73" s="20">
        <f>$I$28*$U$28</f>
        <v>0</v>
      </c>
      <c r="V73" s="20">
        <f>$I$28*$V$28</f>
        <v>0</v>
      </c>
      <c r="X73" s="20">
        <f>$I$28*$X$28</f>
        <v>0</v>
      </c>
      <c r="Y73" s="20">
        <f>$I$28*$Y$28</f>
        <v>0</v>
      </c>
      <c r="Z73" s="20">
        <f>$I$28*$Z$28</f>
        <v>0</v>
      </c>
      <c r="AA73" s="20">
        <f>$I$28*$AA$28</f>
        <v>0</v>
      </c>
      <c r="AB73" s="20">
        <f>$I$28*$AB$28</f>
        <v>0</v>
      </c>
      <c r="AC73" s="20">
        <f>$I$28*$AC$28</f>
        <v>0</v>
      </c>
      <c r="AD73" s="20">
        <f>$I$28*$AD$28</f>
        <v>0</v>
      </c>
      <c r="AE73" s="20">
        <f>$I$28*$AE$28</f>
        <v>0</v>
      </c>
      <c r="AF73" s="20">
        <f>$I$28*$AF$28</f>
        <v>0</v>
      </c>
      <c r="AG73" s="20">
        <f>$I$28*$AG$28</f>
        <v>0</v>
      </c>
      <c r="AH73" s="20">
        <f>$I$28*$AH$28</f>
        <v>0</v>
      </c>
    </row>
    <row r="74" spans="1:34" ht="11.25" customHeight="1" x14ac:dyDescent="0.25">
      <c r="A74" s="9" t="s">
        <v>40</v>
      </c>
      <c r="B74" s="9" t="s">
        <v>1021</v>
      </c>
      <c r="C74" s="9" t="s">
        <v>1022</v>
      </c>
      <c r="D74" s="9" t="s">
        <v>1035</v>
      </c>
      <c r="E74" s="9" t="s">
        <v>1036</v>
      </c>
      <c r="F74" s="9" t="s">
        <v>1037</v>
      </c>
      <c r="G74" s="9" t="s">
        <v>1040</v>
      </c>
      <c r="L74" s="20">
        <f>$I$29*$L$29</f>
        <v>0</v>
      </c>
      <c r="M74" s="20">
        <f>$I$29*$M$29</f>
        <v>0</v>
      </c>
      <c r="N74" s="20">
        <f>$I$29*$N$29</f>
        <v>0</v>
      </c>
      <c r="O74" s="20">
        <f>$I$29*$O$29</f>
        <v>0</v>
      </c>
      <c r="P74" s="20">
        <f>$I$29*$P$29</f>
        <v>0</v>
      </c>
      <c r="Q74" s="20">
        <f>$I$29*$Q$29</f>
        <v>0</v>
      </c>
      <c r="R74" s="20">
        <f>$I$29*$R$29</f>
        <v>0</v>
      </c>
      <c r="S74" s="20">
        <f>$I$29*$S$29</f>
        <v>0</v>
      </c>
      <c r="T74" s="20">
        <f>$I$29*$T$29</f>
        <v>0</v>
      </c>
      <c r="U74" s="20">
        <f>$I$29*$U$29</f>
        <v>0</v>
      </c>
      <c r="V74" s="20">
        <f>$I$29*$V$29</f>
        <v>0</v>
      </c>
      <c r="X74" s="20">
        <f>$I$29*$X$29</f>
        <v>0</v>
      </c>
      <c r="Y74" s="20">
        <f>$I$29*$Y$29</f>
        <v>0</v>
      </c>
      <c r="Z74" s="20">
        <f>$I$29*$Z$29</f>
        <v>0</v>
      </c>
      <c r="AA74" s="20">
        <f>$I$29*$AA$29</f>
        <v>0</v>
      </c>
      <c r="AB74" s="20">
        <f>$I$29*$AB$29</f>
        <v>0</v>
      </c>
      <c r="AC74" s="20">
        <f>$I$29*$AC$29</f>
        <v>0</v>
      </c>
      <c r="AD74" s="20">
        <f>$I$29*$AD$29</f>
        <v>0</v>
      </c>
      <c r="AE74" s="20">
        <f>$I$29*$AE$29</f>
        <v>0</v>
      </c>
      <c r="AF74" s="20">
        <f>$I$29*$AF$29</f>
        <v>0</v>
      </c>
      <c r="AG74" s="20">
        <f>$I$29*$AG$29</f>
        <v>0</v>
      </c>
      <c r="AH74" s="20">
        <f>$I$29*$AH$29</f>
        <v>0</v>
      </c>
    </row>
    <row r="75" spans="1:34" ht="11.25" customHeight="1" x14ac:dyDescent="0.25">
      <c r="A75" s="9" t="s">
        <v>40</v>
      </c>
      <c r="B75" s="9" t="s">
        <v>1029</v>
      </c>
      <c r="C75" s="9" t="s">
        <v>1030</v>
      </c>
      <c r="D75" s="9" t="s">
        <v>1041</v>
      </c>
      <c r="E75" s="9" t="s">
        <v>1042</v>
      </c>
      <c r="F75" s="9" t="s">
        <v>1043</v>
      </c>
      <c r="G75" s="9" t="s">
        <v>1044</v>
      </c>
      <c r="L75" s="20">
        <f>$I$30*$L$30</f>
        <v>0</v>
      </c>
      <c r="M75" s="20">
        <f>$I$30*$M$30</f>
        <v>0</v>
      </c>
      <c r="N75" s="20">
        <f>$I$30*$N$30</f>
        <v>0</v>
      </c>
      <c r="O75" s="20">
        <f>$I$30*$O$30</f>
        <v>0</v>
      </c>
      <c r="P75" s="20">
        <f>$I$30*$P$30</f>
        <v>0</v>
      </c>
      <c r="Q75" s="20">
        <f>$I$30*$Q$30</f>
        <v>0</v>
      </c>
      <c r="R75" s="20">
        <f>$I$30*$R$30</f>
        <v>0</v>
      </c>
      <c r="S75" s="20">
        <f>$I$30*$S$30</f>
        <v>0</v>
      </c>
      <c r="T75" s="20">
        <f>$I$30*$T$30</f>
        <v>0</v>
      </c>
      <c r="U75" s="20">
        <f>$I$30*$U$30</f>
        <v>0</v>
      </c>
      <c r="V75" s="20">
        <f>$I$30*$V$30</f>
        <v>0</v>
      </c>
      <c r="X75" s="20">
        <f>$I$30*$X$30</f>
        <v>0</v>
      </c>
      <c r="Y75" s="20">
        <f>$I$30*$Y$30</f>
        <v>0</v>
      </c>
      <c r="Z75" s="20">
        <f>$I$30*$Z$30</f>
        <v>0</v>
      </c>
      <c r="AA75" s="20">
        <f>$I$30*$AA$30</f>
        <v>0</v>
      </c>
      <c r="AB75" s="20">
        <f>$I$30*$AB$30</f>
        <v>0</v>
      </c>
      <c r="AC75" s="20">
        <f>$I$30*$AC$30</f>
        <v>0</v>
      </c>
      <c r="AD75" s="20">
        <f>$I$30*$AD$30</f>
        <v>0</v>
      </c>
      <c r="AE75" s="20">
        <f>$I$30*$AE$30</f>
        <v>0</v>
      </c>
      <c r="AF75" s="20">
        <f>$I$30*$AF$30</f>
        <v>0</v>
      </c>
      <c r="AG75" s="20">
        <f>$I$30*$AG$30</f>
        <v>0</v>
      </c>
      <c r="AH75" s="20">
        <f>$I$30*$AH$30</f>
        <v>0</v>
      </c>
    </row>
    <row r="76" spans="1:34" ht="11.25" customHeight="1" x14ac:dyDescent="0.25">
      <c r="A76" s="9" t="s">
        <v>40</v>
      </c>
      <c r="B76" s="9" t="s">
        <v>1021</v>
      </c>
      <c r="C76" s="9" t="s">
        <v>1022</v>
      </c>
      <c r="D76" s="9" t="s">
        <v>1045</v>
      </c>
      <c r="E76" s="9" t="s">
        <v>1046</v>
      </c>
      <c r="F76" s="9" t="s">
        <v>1047</v>
      </c>
      <c r="G76" s="9" t="s">
        <v>1048</v>
      </c>
      <c r="L76" s="20">
        <f>$I$31*$L$31</f>
        <v>0</v>
      </c>
      <c r="M76" s="20">
        <f>$I$31*$M$31</f>
        <v>0</v>
      </c>
      <c r="N76" s="20">
        <f>$I$31*$N$31</f>
        <v>0</v>
      </c>
      <c r="O76" s="20">
        <f>$I$31*$O$31</f>
        <v>0</v>
      </c>
      <c r="P76" s="20">
        <f>$I$31*$P$31</f>
        <v>0</v>
      </c>
      <c r="Q76" s="20">
        <f>$I$31*$Q$31</f>
        <v>0</v>
      </c>
      <c r="R76" s="20">
        <f>$I$31*$R$31</f>
        <v>0</v>
      </c>
      <c r="S76" s="20">
        <f>$I$31*$S$31</f>
        <v>0</v>
      </c>
      <c r="T76" s="20">
        <f>$I$31*$T$31</f>
        <v>0</v>
      </c>
      <c r="U76" s="20">
        <f>$I$31*$U$31</f>
        <v>0</v>
      </c>
      <c r="V76" s="20">
        <f>$I$31*$V$31</f>
        <v>0</v>
      </c>
      <c r="X76" s="20">
        <f>$I$31*$X$31</f>
        <v>0</v>
      </c>
      <c r="Y76" s="20">
        <f>$I$31*$Y$31</f>
        <v>0</v>
      </c>
      <c r="Z76" s="20">
        <f>$I$31*$Z$31</f>
        <v>0</v>
      </c>
      <c r="AA76" s="20">
        <f>$I$31*$AA$31</f>
        <v>0</v>
      </c>
      <c r="AB76" s="20">
        <f>$I$31*$AB$31</f>
        <v>0</v>
      </c>
      <c r="AC76" s="20">
        <f>$I$31*$AC$31</f>
        <v>0</v>
      </c>
      <c r="AD76" s="20">
        <f>$I$31*$AD$31</f>
        <v>0</v>
      </c>
      <c r="AE76" s="20">
        <f>$I$31*$AE$31</f>
        <v>0</v>
      </c>
      <c r="AF76" s="20">
        <f>$I$31*$AF$31</f>
        <v>0</v>
      </c>
      <c r="AG76" s="20">
        <f>$I$31*$AG$31</f>
        <v>0</v>
      </c>
      <c r="AH76" s="20">
        <f>$I$31*$AH$31</f>
        <v>0</v>
      </c>
    </row>
    <row r="77" spans="1:34" ht="11.25" customHeight="1" x14ac:dyDescent="0.25">
      <c r="A77" s="9" t="s">
        <v>40</v>
      </c>
      <c r="B77" s="9" t="s">
        <v>1021</v>
      </c>
      <c r="C77" s="9" t="s">
        <v>1022</v>
      </c>
      <c r="D77" s="9" t="s">
        <v>1045</v>
      </c>
      <c r="E77" s="9" t="s">
        <v>1046</v>
      </c>
      <c r="F77" s="9" t="s">
        <v>1047</v>
      </c>
      <c r="G77" s="9" t="s">
        <v>1049</v>
      </c>
      <c r="L77" s="20">
        <f>$I$32*$L$32</f>
        <v>0</v>
      </c>
      <c r="M77" s="20">
        <f>$I$32*$M$32</f>
        <v>0</v>
      </c>
      <c r="N77" s="20">
        <f>$I$32*$N$32</f>
        <v>0</v>
      </c>
      <c r="O77" s="20">
        <f>$I$32*$O$32</f>
        <v>0</v>
      </c>
      <c r="P77" s="20">
        <f>$I$32*$P$32</f>
        <v>0</v>
      </c>
      <c r="Q77" s="20">
        <f>$I$32*$Q$32</f>
        <v>0</v>
      </c>
      <c r="R77" s="20">
        <f>$I$32*$R$32</f>
        <v>0</v>
      </c>
      <c r="S77" s="20">
        <f>$I$32*$S$32</f>
        <v>0</v>
      </c>
      <c r="T77" s="20">
        <f>$I$32*$T$32</f>
        <v>0</v>
      </c>
      <c r="U77" s="20">
        <f>$I$32*$U$32</f>
        <v>0</v>
      </c>
      <c r="V77" s="20">
        <f>$I$32*$V$32</f>
        <v>0</v>
      </c>
      <c r="X77" s="20">
        <f>$I$32*$X$32</f>
        <v>0</v>
      </c>
      <c r="Y77" s="20">
        <f>$I$32*$Y$32</f>
        <v>0</v>
      </c>
      <c r="Z77" s="20">
        <f>$I$32*$Z$32</f>
        <v>0</v>
      </c>
      <c r="AA77" s="20">
        <f>$I$32*$AA$32</f>
        <v>0</v>
      </c>
      <c r="AB77" s="20">
        <f>$I$32*$AB$32</f>
        <v>0</v>
      </c>
      <c r="AC77" s="20">
        <f>$I$32*$AC$32</f>
        <v>0</v>
      </c>
      <c r="AD77" s="20">
        <f>$I$32*$AD$32</f>
        <v>0</v>
      </c>
      <c r="AE77" s="20">
        <f>$I$32*$AE$32</f>
        <v>0</v>
      </c>
      <c r="AF77" s="20">
        <f>$I$32*$AF$32</f>
        <v>0</v>
      </c>
      <c r="AG77" s="20">
        <f>$I$32*$AG$32</f>
        <v>0</v>
      </c>
      <c r="AH77" s="20">
        <f>$I$32*$AH$32</f>
        <v>0</v>
      </c>
    </row>
    <row r="78" spans="1:34" ht="11.25" customHeight="1" x14ac:dyDescent="0.25">
      <c r="A78" s="9" t="s">
        <v>40</v>
      </c>
      <c r="B78" s="9" t="s">
        <v>1021</v>
      </c>
      <c r="C78" s="9" t="s">
        <v>1022</v>
      </c>
      <c r="D78" s="9" t="s">
        <v>1045</v>
      </c>
      <c r="E78" s="9" t="s">
        <v>1046</v>
      </c>
      <c r="F78" s="9" t="s">
        <v>1047</v>
      </c>
      <c r="G78" s="9" t="s">
        <v>1050</v>
      </c>
      <c r="L78" s="20">
        <f>$I$33*$L$33</f>
        <v>0</v>
      </c>
      <c r="M78" s="20">
        <f>$I$33*$M$33</f>
        <v>0</v>
      </c>
      <c r="N78" s="20">
        <f>$I$33*$N$33</f>
        <v>0</v>
      </c>
      <c r="O78" s="20">
        <f>$I$33*$O$33</f>
        <v>0</v>
      </c>
      <c r="P78" s="20">
        <f>$I$33*$P$33</f>
        <v>0</v>
      </c>
      <c r="Q78" s="20">
        <f>$I$33*$Q$33</f>
        <v>0</v>
      </c>
      <c r="R78" s="20">
        <f>$I$33*$R$33</f>
        <v>0</v>
      </c>
      <c r="S78" s="20">
        <f>$I$33*$S$33</f>
        <v>0</v>
      </c>
      <c r="T78" s="20">
        <f>$I$33*$T$33</f>
        <v>0</v>
      </c>
      <c r="U78" s="20">
        <f>$I$33*$U$33</f>
        <v>0</v>
      </c>
      <c r="V78" s="20">
        <f>$I$33*$V$33</f>
        <v>0</v>
      </c>
      <c r="X78" s="20">
        <f>$I$33*$X$33</f>
        <v>0</v>
      </c>
      <c r="Y78" s="20">
        <f>$I$33*$Y$33</f>
        <v>0</v>
      </c>
      <c r="Z78" s="20">
        <f>$I$33*$Z$33</f>
        <v>0</v>
      </c>
      <c r="AA78" s="20">
        <f>$I$33*$AA$33</f>
        <v>0</v>
      </c>
      <c r="AB78" s="20">
        <f>$I$33*$AB$33</f>
        <v>0</v>
      </c>
      <c r="AC78" s="20">
        <f>$I$33*$AC$33</f>
        <v>0</v>
      </c>
      <c r="AD78" s="20">
        <f>$I$33*$AD$33</f>
        <v>0</v>
      </c>
      <c r="AE78" s="20">
        <f>$I$33*$AE$33</f>
        <v>0</v>
      </c>
      <c r="AF78" s="20">
        <f>$I$33*$AF$33</f>
        <v>0</v>
      </c>
      <c r="AG78" s="20">
        <f>$I$33*$AG$33</f>
        <v>0</v>
      </c>
      <c r="AH78" s="20">
        <f>$I$33*$AH$33</f>
        <v>0</v>
      </c>
    </row>
    <row r="79" spans="1:34" ht="11.25" customHeight="1" x14ac:dyDescent="0.25">
      <c r="A79" s="9" t="s">
        <v>40</v>
      </c>
      <c r="B79" s="9" t="s">
        <v>1029</v>
      </c>
      <c r="C79" s="9" t="s">
        <v>1030</v>
      </c>
      <c r="D79" s="9" t="s">
        <v>1051</v>
      </c>
      <c r="E79" s="9" t="s">
        <v>1052</v>
      </c>
      <c r="F79" s="9" t="s">
        <v>1053</v>
      </c>
      <c r="G79" s="9" t="s">
        <v>1054</v>
      </c>
      <c r="L79" s="20">
        <f>$I$34*$L$34</f>
        <v>0</v>
      </c>
      <c r="M79" s="20">
        <f>$I$34*$M$34</f>
        <v>0</v>
      </c>
      <c r="N79" s="20">
        <f>$I$34*$N$34</f>
        <v>0</v>
      </c>
      <c r="O79" s="20">
        <f>$I$34*$O$34</f>
        <v>0</v>
      </c>
      <c r="P79" s="20">
        <f>$I$34*$P$34</f>
        <v>0</v>
      </c>
      <c r="Q79" s="20">
        <f>$I$34*$Q$34</f>
        <v>0</v>
      </c>
      <c r="R79" s="20">
        <f>$I$34*$R$34</f>
        <v>0</v>
      </c>
      <c r="S79" s="20">
        <f>$I$34*$S$34</f>
        <v>0</v>
      </c>
      <c r="T79" s="20">
        <f>$I$34*$T$34</f>
        <v>0</v>
      </c>
      <c r="U79" s="20">
        <f>$I$34*$U$34</f>
        <v>0</v>
      </c>
      <c r="V79" s="20">
        <f>$I$34*$V$34</f>
        <v>0</v>
      </c>
      <c r="X79" s="20">
        <f>$I$34*$X$34</f>
        <v>0</v>
      </c>
      <c r="Y79" s="20">
        <f>$I$34*$Y$34</f>
        <v>0</v>
      </c>
      <c r="Z79" s="20">
        <f>$I$34*$Z$34</f>
        <v>0</v>
      </c>
      <c r="AA79" s="20">
        <f>$I$34*$AA$34</f>
        <v>0</v>
      </c>
      <c r="AB79" s="20">
        <f>$I$34*$AB$34</f>
        <v>0</v>
      </c>
      <c r="AC79" s="20">
        <f>$I$34*$AC$34</f>
        <v>0</v>
      </c>
      <c r="AD79" s="20">
        <f>$I$34*$AD$34</f>
        <v>0</v>
      </c>
      <c r="AE79" s="20">
        <f>$I$34*$AE$34</f>
        <v>0</v>
      </c>
      <c r="AF79" s="20">
        <f>$I$34*$AF$34</f>
        <v>0</v>
      </c>
      <c r="AG79" s="20">
        <f>$I$34*$AG$34</f>
        <v>0</v>
      </c>
      <c r="AH79" s="20">
        <f>$I$34*$AH$34</f>
        <v>0</v>
      </c>
    </row>
    <row r="80" spans="1:34" ht="11.25" customHeight="1" x14ac:dyDescent="0.25">
      <c r="A80" s="9" t="s">
        <v>40</v>
      </c>
      <c r="B80" s="9" t="s">
        <v>1055</v>
      </c>
      <c r="C80" s="9" t="s">
        <v>1056</v>
      </c>
      <c r="D80" s="9" t="s">
        <v>1057</v>
      </c>
      <c r="E80" s="9" t="s">
        <v>1058</v>
      </c>
      <c r="F80" s="9" t="s">
        <v>1059</v>
      </c>
      <c r="G80" s="9" t="s">
        <v>1060</v>
      </c>
      <c r="L80" s="20">
        <f>$I$35*$L$35</f>
        <v>0</v>
      </c>
      <c r="M80" s="20">
        <f>$I$35*$M$35</f>
        <v>0</v>
      </c>
      <c r="N80" s="20">
        <f>$I$35*$N$35</f>
        <v>0</v>
      </c>
      <c r="O80" s="20">
        <f>$I$35*$O$35</f>
        <v>0</v>
      </c>
      <c r="P80" s="20">
        <f>$I$35*$P$35</f>
        <v>0</v>
      </c>
      <c r="Q80" s="20">
        <f>$I$35*$Q$35</f>
        <v>0</v>
      </c>
      <c r="R80" s="20">
        <f>$I$35*$R$35</f>
        <v>0</v>
      </c>
      <c r="S80" s="20">
        <f>$I$35*$S$35</f>
        <v>0</v>
      </c>
      <c r="T80" s="20">
        <f>$I$35*$T$35</f>
        <v>0</v>
      </c>
      <c r="U80" s="20">
        <f>$I$35*$U$35</f>
        <v>0</v>
      </c>
      <c r="V80" s="20">
        <f>$I$35*$V$35</f>
        <v>0</v>
      </c>
      <c r="X80" s="20">
        <f>$I$35*$X$35</f>
        <v>0</v>
      </c>
      <c r="Y80" s="20">
        <f>$I$35*$Y$35</f>
        <v>0</v>
      </c>
      <c r="Z80" s="20">
        <f>$I$35*$Z$35</f>
        <v>0</v>
      </c>
      <c r="AA80" s="20">
        <f>$I$35*$AA$35</f>
        <v>0</v>
      </c>
      <c r="AB80" s="20">
        <f>$I$35*$AB$35</f>
        <v>0</v>
      </c>
      <c r="AC80" s="20">
        <f>$I$35*$AC$35</f>
        <v>0</v>
      </c>
      <c r="AD80" s="20">
        <f>$I$35*$AD$35</f>
        <v>0</v>
      </c>
      <c r="AE80" s="20">
        <f>$I$35*$AE$35</f>
        <v>0</v>
      </c>
      <c r="AF80" s="20">
        <f>$I$35*$AF$35</f>
        <v>0</v>
      </c>
      <c r="AG80" s="20">
        <f>$I$35*$AG$35</f>
        <v>0</v>
      </c>
      <c r="AH80" s="20">
        <f>$I$35*$AH$35</f>
        <v>0</v>
      </c>
    </row>
    <row r="81" spans="1:34" ht="11.25" customHeight="1" x14ac:dyDescent="0.25">
      <c r="A81" s="9" t="s">
        <v>40</v>
      </c>
      <c r="B81" s="9" t="s">
        <v>1055</v>
      </c>
      <c r="C81" s="9" t="s">
        <v>1056</v>
      </c>
      <c r="D81" s="9" t="s">
        <v>1061</v>
      </c>
      <c r="E81" s="9" t="s">
        <v>1062</v>
      </c>
      <c r="F81" s="9" t="s">
        <v>1063</v>
      </c>
      <c r="G81" s="9" t="s">
        <v>1064</v>
      </c>
      <c r="L81" s="20">
        <f>$I$36*$L$36</f>
        <v>0</v>
      </c>
      <c r="M81" s="20">
        <f>$I$36*$M$36</f>
        <v>0</v>
      </c>
      <c r="N81" s="20">
        <f>$I$36*$N$36</f>
        <v>0</v>
      </c>
      <c r="O81" s="20">
        <f>$I$36*$O$36</f>
        <v>0</v>
      </c>
      <c r="P81" s="20">
        <f>$I$36*$P$36</f>
        <v>0</v>
      </c>
      <c r="Q81" s="20">
        <f>$I$36*$Q$36</f>
        <v>0</v>
      </c>
      <c r="R81" s="20">
        <f>$I$36*$R$36</f>
        <v>0</v>
      </c>
      <c r="S81" s="20">
        <f>$I$36*$S$36</f>
        <v>0</v>
      </c>
      <c r="T81" s="20">
        <f>$I$36*$T$36</f>
        <v>0</v>
      </c>
      <c r="U81" s="20">
        <f>$I$36*$U$36</f>
        <v>0</v>
      </c>
      <c r="V81" s="20">
        <f>$I$36*$V$36</f>
        <v>0</v>
      </c>
      <c r="X81" s="20">
        <f>$I$36*$X$36</f>
        <v>0</v>
      </c>
      <c r="Y81" s="20">
        <f>$I$36*$Y$36</f>
        <v>0</v>
      </c>
      <c r="Z81" s="20">
        <f>$I$36*$Z$36</f>
        <v>0</v>
      </c>
      <c r="AA81" s="20">
        <f>$I$36*$AA$36</f>
        <v>0</v>
      </c>
      <c r="AB81" s="20">
        <f>$I$36*$AB$36</f>
        <v>0</v>
      </c>
      <c r="AC81" s="20">
        <f>$I$36*$AC$36</f>
        <v>0</v>
      </c>
      <c r="AD81" s="20">
        <f>$I$36*$AD$36</f>
        <v>0</v>
      </c>
      <c r="AE81" s="20">
        <f>$I$36*$AE$36</f>
        <v>0</v>
      </c>
      <c r="AF81" s="20">
        <f>$I$36*$AF$36</f>
        <v>0</v>
      </c>
      <c r="AG81" s="20">
        <f>$I$36*$AG$36</f>
        <v>0</v>
      </c>
      <c r="AH81" s="20">
        <f>$I$36*$AH$36</f>
        <v>0</v>
      </c>
    </row>
    <row r="82" spans="1:34" ht="11.25" customHeight="1" x14ac:dyDescent="0.25">
      <c r="A82" s="9" t="s">
        <v>40</v>
      </c>
      <c r="B82" s="9" t="s">
        <v>1055</v>
      </c>
      <c r="C82" s="9" t="s">
        <v>1056</v>
      </c>
      <c r="D82" s="9" t="s">
        <v>1065</v>
      </c>
      <c r="E82" s="9" t="s">
        <v>1066</v>
      </c>
      <c r="F82" s="9" t="s">
        <v>1067</v>
      </c>
      <c r="G82" s="9" t="s">
        <v>1068</v>
      </c>
      <c r="L82" s="20">
        <f>$I$37*$L$37</f>
        <v>0</v>
      </c>
      <c r="M82" s="20">
        <f>$I$37*$M$37</f>
        <v>0</v>
      </c>
      <c r="N82" s="20">
        <f>$I$37*$N$37</f>
        <v>0</v>
      </c>
      <c r="O82" s="20">
        <f>$I$37*$O$37</f>
        <v>0</v>
      </c>
      <c r="P82" s="20">
        <f>$I$37*$P$37</f>
        <v>0</v>
      </c>
      <c r="Q82" s="20">
        <f>$I$37*$Q$37</f>
        <v>0</v>
      </c>
      <c r="R82" s="20">
        <f>$I$37*$R$37</f>
        <v>0</v>
      </c>
      <c r="S82" s="20">
        <f>$I$37*$S$37</f>
        <v>0</v>
      </c>
      <c r="T82" s="20">
        <f>$I$37*$T$37</f>
        <v>0</v>
      </c>
      <c r="U82" s="20">
        <f>$I$37*$U$37</f>
        <v>0</v>
      </c>
      <c r="V82" s="20">
        <f>$I$37*$V$37</f>
        <v>0</v>
      </c>
      <c r="X82" s="20">
        <f>$I$37*$X$37</f>
        <v>0</v>
      </c>
      <c r="Y82" s="20">
        <f>$I$37*$Y$37</f>
        <v>0</v>
      </c>
      <c r="Z82" s="20">
        <f>$I$37*$Z$37</f>
        <v>0</v>
      </c>
      <c r="AA82" s="20">
        <f>$I$37*$AA$37</f>
        <v>0</v>
      </c>
      <c r="AB82" s="20">
        <f>$I$37*$AB$37</f>
        <v>0</v>
      </c>
      <c r="AC82" s="20">
        <f>$I$37*$AC$37</f>
        <v>0</v>
      </c>
      <c r="AD82" s="20">
        <f>$I$37*$AD$37</f>
        <v>0</v>
      </c>
      <c r="AE82" s="20">
        <f>$I$37*$AE$37</f>
        <v>0</v>
      </c>
      <c r="AF82" s="20">
        <f>$I$37*$AF$37</f>
        <v>0</v>
      </c>
      <c r="AG82" s="20">
        <f>$I$37*$AG$37</f>
        <v>0</v>
      </c>
      <c r="AH82" s="20">
        <f>$I$37*$AH$37</f>
        <v>0</v>
      </c>
    </row>
    <row r="83" spans="1:34" ht="11.25" customHeight="1" x14ac:dyDescent="0.25">
      <c r="A83" s="9" t="s">
        <v>33</v>
      </c>
      <c r="B83" s="9" t="s">
        <v>1069</v>
      </c>
      <c r="C83" s="9" t="s">
        <v>1070</v>
      </c>
      <c r="D83" s="9" t="s">
        <v>1071</v>
      </c>
      <c r="E83" s="9" t="s">
        <v>1072</v>
      </c>
      <c r="F83" s="9" t="s">
        <v>1073</v>
      </c>
      <c r="G83" s="9" t="s">
        <v>1074</v>
      </c>
      <c r="L83" s="20">
        <f>$I$38*$L$38</f>
        <v>0</v>
      </c>
      <c r="M83" s="20">
        <f>$I$38*$M$38</f>
        <v>0</v>
      </c>
      <c r="N83" s="20">
        <f>$I$38*$N$38</f>
        <v>0</v>
      </c>
      <c r="O83" s="20">
        <f>$I$38*$O$38</f>
        <v>0</v>
      </c>
      <c r="P83" s="20">
        <f>$I$38*$P$38</f>
        <v>0</v>
      </c>
      <c r="Q83" s="20">
        <f>$I$38*$Q$38</f>
        <v>0</v>
      </c>
      <c r="R83" s="20">
        <f>$I$38*$R$38</f>
        <v>0</v>
      </c>
      <c r="S83" s="20">
        <f>$I$38*$S$38</f>
        <v>0</v>
      </c>
      <c r="T83" s="20">
        <f>$I$38*$T$38</f>
        <v>0</v>
      </c>
      <c r="U83" s="20">
        <f>$I$38*$U$38</f>
        <v>0</v>
      </c>
      <c r="V83" s="20">
        <f>$I$38*$V$38</f>
        <v>0</v>
      </c>
      <c r="X83" s="20">
        <f>$I$38*$X$38</f>
        <v>0</v>
      </c>
      <c r="Y83" s="20">
        <f>$I$38*$Y$38</f>
        <v>0</v>
      </c>
      <c r="Z83" s="20">
        <f>$I$38*$Z$38</f>
        <v>0</v>
      </c>
      <c r="AA83" s="20">
        <f>$I$38*$AA$38</f>
        <v>0</v>
      </c>
      <c r="AB83" s="20">
        <f>$I$38*$AB$38</f>
        <v>0</v>
      </c>
      <c r="AC83" s="20">
        <f>$I$38*$AC$38</f>
        <v>0</v>
      </c>
      <c r="AD83" s="20">
        <f>$I$38*$AD$38</f>
        <v>0</v>
      </c>
      <c r="AE83" s="20">
        <f>$I$38*$AE$38</f>
        <v>0</v>
      </c>
      <c r="AF83" s="20">
        <f>$I$38*$AF$38</f>
        <v>0</v>
      </c>
      <c r="AG83" s="20">
        <f>$I$38*$AG$38</f>
        <v>0</v>
      </c>
      <c r="AH83" s="20">
        <f>$I$38*$AH$38</f>
        <v>0</v>
      </c>
    </row>
    <row r="84" spans="1:34" ht="11.25" customHeight="1" x14ac:dyDescent="0.25">
      <c r="A84" s="9" t="s">
        <v>33</v>
      </c>
      <c r="B84" s="9" t="s">
        <v>1069</v>
      </c>
      <c r="C84" s="9" t="s">
        <v>1070</v>
      </c>
      <c r="D84" s="9" t="s">
        <v>1071</v>
      </c>
      <c r="E84" s="9" t="s">
        <v>1072</v>
      </c>
      <c r="F84" s="9" t="s">
        <v>1073</v>
      </c>
      <c r="G84" s="9" t="s">
        <v>1075</v>
      </c>
      <c r="L84" s="20">
        <f>$I$39*$L$39</f>
        <v>0</v>
      </c>
      <c r="M84" s="20">
        <f>$I$39*$M$39</f>
        <v>0</v>
      </c>
      <c r="N84" s="20">
        <f>$I$39*$N$39</f>
        <v>0</v>
      </c>
      <c r="O84" s="20">
        <f>$I$39*$O$39</f>
        <v>0</v>
      </c>
      <c r="P84" s="20">
        <f>$I$39*$P$39</f>
        <v>0</v>
      </c>
      <c r="Q84" s="20">
        <f>$I$39*$Q$39</f>
        <v>0</v>
      </c>
      <c r="R84" s="20">
        <f>$I$39*$R$39</f>
        <v>0</v>
      </c>
      <c r="S84" s="20">
        <f>$I$39*$S$39</f>
        <v>0</v>
      </c>
      <c r="T84" s="20">
        <f>$I$39*$T$39</f>
        <v>0</v>
      </c>
      <c r="U84" s="20">
        <f>$I$39*$U$39</f>
        <v>0</v>
      </c>
      <c r="V84" s="20">
        <f>$I$39*$V$39</f>
        <v>0</v>
      </c>
      <c r="X84" s="20">
        <f>$I$39*$X$39</f>
        <v>0</v>
      </c>
      <c r="Y84" s="20">
        <f>$I$39*$Y$39</f>
        <v>0</v>
      </c>
      <c r="Z84" s="20">
        <f>$I$39*$Z$39</f>
        <v>0</v>
      </c>
      <c r="AA84" s="20">
        <f>$I$39*$AA$39</f>
        <v>0</v>
      </c>
      <c r="AB84" s="20">
        <f>$I$39*$AB$39</f>
        <v>0</v>
      </c>
      <c r="AC84" s="20">
        <f>$I$39*$AC$39</f>
        <v>0</v>
      </c>
      <c r="AD84" s="20">
        <f>$I$39*$AD$39</f>
        <v>0</v>
      </c>
      <c r="AE84" s="20">
        <f>$I$39*$AE$39</f>
        <v>0</v>
      </c>
      <c r="AF84" s="20">
        <f>$I$39*$AF$39</f>
        <v>0</v>
      </c>
      <c r="AG84" s="20">
        <f>$I$39*$AG$39</f>
        <v>0</v>
      </c>
      <c r="AH84" s="20">
        <f>$I$39*$AH$39</f>
        <v>0</v>
      </c>
    </row>
    <row r="85" spans="1:34" ht="11.25" customHeight="1" x14ac:dyDescent="0.25">
      <c r="A85" s="9" t="s">
        <v>33</v>
      </c>
      <c r="B85" s="9" t="s">
        <v>1069</v>
      </c>
      <c r="C85" s="9" t="s">
        <v>1070</v>
      </c>
      <c r="D85" s="9" t="s">
        <v>1071</v>
      </c>
      <c r="E85" s="9" t="s">
        <v>1072</v>
      </c>
      <c r="F85" s="9" t="s">
        <v>1073</v>
      </c>
      <c r="G85" s="9" t="s">
        <v>1076</v>
      </c>
      <c r="L85" s="20">
        <f>$I$40*$L$40</f>
        <v>0</v>
      </c>
      <c r="M85" s="20">
        <f>$I$40*$M$40</f>
        <v>0</v>
      </c>
      <c r="N85" s="20">
        <f>$I$40*$N$40</f>
        <v>0</v>
      </c>
      <c r="O85" s="20">
        <f>$I$40*$O$40</f>
        <v>0</v>
      </c>
      <c r="P85" s="20">
        <f>$I$40*$P$40</f>
        <v>0</v>
      </c>
      <c r="Q85" s="20">
        <f>$I$40*$Q$40</f>
        <v>0</v>
      </c>
      <c r="R85" s="20">
        <f>$I$40*$R$40</f>
        <v>0</v>
      </c>
      <c r="S85" s="20">
        <f>$I$40*$S$40</f>
        <v>0</v>
      </c>
      <c r="T85" s="20">
        <f>$I$40*$T$40</f>
        <v>0</v>
      </c>
      <c r="U85" s="20">
        <f>$I$40*$U$40</f>
        <v>0</v>
      </c>
      <c r="V85" s="20">
        <f>$I$40*$V$40</f>
        <v>0</v>
      </c>
      <c r="X85" s="20">
        <f>$I$40*$X$40</f>
        <v>0</v>
      </c>
      <c r="Y85" s="20">
        <f>$I$40*$Y$40</f>
        <v>0</v>
      </c>
      <c r="Z85" s="20">
        <f>$I$40*$Z$40</f>
        <v>0</v>
      </c>
      <c r="AA85" s="20">
        <f>$I$40*$AA$40</f>
        <v>0</v>
      </c>
      <c r="AB85" s="20">
        <f>$I$40*$AB$40</f>
        <v>0</v>
      </c>
      <c r="AC85" s="20">
        <f>$I$40*$AC$40</f>
        <v>0</v>
      </c>
      <c r="AD85" s="20">
        <f>$I$40*$AD$40</f>
        <v>0</v>
      </c>
      <c r="AE85" s="20">
        <f>$I$40*$AE$40</f>
        <v>0</v>
      </c>
      <c r="AF85" s="20">
        <f>$I$40*$AF$40</f>
        <v>0</v>
      </c>
      <c r="AG85" s="20">
        <f>$I$40*$AG$40</f>
        <v>0</v>
      </c>
      <c r="AH85" s="20">
        <f>$I$40*$AH$40</f>
        <v>0</v>
      </c>
    </row>
    <row r="86" spans="1:34" ht="11.25" customHeight="1" x14ac:dyDescent="0.25">
      <c r="A86" s="9" t="s">
        <v>33</v>
      </c>
      <c r="B86" s="9" t="s">
        <v>1077</v>
      </c>
      <c r="C86" s="9" t="s">
        <v>1078</v>
      </c>
      <c r="D86" s="9" t="s">
        <v>1079</v>
      </c>
      <c r="E86" s="9" t="s">
        <v>1080</v>
      </c>
      <c r="F86" s="9" t="s">
        <v>1081</v>
      </c>
      <c r="G86" s="9" t="s">
        <v>1082</v>
      </c>
      <c r="L86" s="20">
        <f>$I$41*$L$41</f>
        <v>0</v>
      </c>
      <c r="M86" s="20">
        <f>$I$41*$M$41</f>
        <v>730578.44527030375</v>
      </c>
      <c r="N86" s="20">
        <f>$I$41*$N$41</f>
        <v>0</v>
      </c>
      <c r="O86" s="20">
        <f>$I$41*$O$41</f>
        <v>0</v>
      </c>
      <c r="P86" s="20">
        <f>$I$41*$P$41</f>
        <v>-322114.10638597334</v>
      </c>
      <c r="Q86" s="20">
        <f>$I$41*$Q$41</f>
        <v>3476176.7382258498</v>
      </c>
      <c r="R86" s="20">
        <f>$I$41*$R$41</f>
        <v>0</v>
      </c>
      <c r="S86" s="20">
        <f>$I$41*$S$41</f>
        <v>0</v>
      </c>
      <c r="T86" s="20">
        <f>$I$41*$T$41</f>
        <v>0</v>
      </c>
      <c r="U86" s="20">
        <f>$I$41*$U$41</f>
        <v>0</v>
      </c>
      <c r="V86" s="20">
        <f>$I$41*$V$41</f>
        <v>95414.585928222281</v>
      </c>
      <c r="X86" s="20">
        <f>$I$41*$X$41</f>
        <v>0</v>
      </c>
      <c r="Y86" s="20">
        <f>$I$41*$Y$41</f>
        <v>136218.93953101721</v>
      </c>
      <c r="Z86" s="20">
        <f>$I$41*$Z$41</f>
        <v>0</v>
      </c>
      <c r="AA86" s="20">
        <f>$I$41*$AA$41</f>
        <v>0</v>
      </c>
      <c r="AB86" s="20">
        <f>$I$41*$AB$41</f>
        <v>0</v>
      </c>
      <c r="AC86" s="20">
        <f>$I$41*$AC$41</f>
        <v>4741436.7375900298</v>
      </c>
      <c r="AD86" s="20">
        <f>$I$41*$AD$41</f>
        <v>0</v>
      </c>
      <c r="AE86" s="20">
        <f>$I$41*$AE$41</f>
        <v>0</v>
      </c>
      <c r="AF86" s="20">
        <f>$I$41*$AF$41</f>
        <v>0</v>
      </c>
      <c r="AG86" s="20">
        <f>$I$41*$AG$41</f>
        <v>0</v>
      </c>
      <c r="AH86" s="20">
        <f>$I$41*$AH$41</f>
        <v>0</v>
      </c>
    </row>
    <row r="87" spans="1:34" ht="11.25" customHeight="1" x14ac:dyDescent="0.25">
      <c r="A87" s="9" t="s">
        <v>33</v>
      </c>
      <c r="B87" s="9" t="s">
        <v>1083</v>
      </c>
      <c r="C87" s="9" t="s">
        <v>1084</v>
      </c>
      <c r="D87" s="9" t="s">
        <v>1085</v>
      </c>
      <c r="E87" s="9" t="s">
        <v>1086</v>
      </c>
      <c r="F87" s="9" t="s">
        <v>1087</v>
      </c>
      <c r="G87" s="9" t="s">
        <v>1088</v>
      </c>
      <c r="L87" s="20">
        <f>$I$42*$L$42</f>
        <v>0</v>
      </c>
      <c r="M87" s="20">
        <f>$I$42*$M$42</f>
        <v>0</v>
      </c>
      <c r="N87" s="20">
        <f>$I$42*$N$42</f>
        <v>0</v>
      </c>
      <c r="O87" s="20">
        <f>$I$42*$O$42</f>
        <v>0</v>
      </c>
      <c r="P87" s="20">
        <f>$I$42*$P$42</f>
        <v>0</v>
      </c>
      <c r="Q87" s="20">
        <f>$I$42*$Q$42</f>
        <v>0</v>
      </c>
      <c r="R87" s="20">
        <f>$I$42*$R$42</f>
        <v>0</v>
      </c>
      <c r="S87" s="20">
        <f>$I$42*$S$42</f>
        <v>0</v>
      </c>
      <c r="T87" s="20">
        <f>$I$42*$T$42</f>
        <v>0</v>
      </c>
      <c r="U87" s="20">
        <f>$I$42*$U$42</f>
        <v>0</v>
      </c>
      <c r="V87" s="20">
        <f>$I$42*$V$42</f>
        <v>0</v>
      </c>
      <c r="X87" s="20">
        <f>$I$42*$X$42</f>
        <v>0</v>
      </c>
      <c r="Y87" s="20">
        <f>$I$42*$Y$42</f>
        <v>0</v>
      </c>
      <c r="Z87" s="20">
        <f>$I$42*$Z$42</f>
        <v>0</v>
      </c>
      <c r="AA87" s="20">
        <f>$I$42*$AA$42</f>
        <v>0</v>
      </c>
      <c r="AB87" s="20">
        <f>$I$42*$AB$42</f>
        <v>0</v>
      </c>
      <c r="AC87" s="20">
        <f>$I$42*$AC$42</f>
        <v>0</v>
      </c>
      <c r="AD87" s="20">
        <f>$I$42*$AD$42</f>
        <v>0</v>
      </c>
      <c r="AE87" s="20">
        <f>$I$42*$AE$42</f>
        <v>0</v>
      </c>
      <c r="AF87" s="20">
        <f>$I$42*$AF$42</f>
        <v>0</v>
      </c>
      <c r="AG87" s="20">
        <f>$I$42*$AG$42</f>
        <v>0</v>
      </c>
      <c r="AH87" s="20">
        <f>$I$42*$AH$42</f>
        <v>0</v>
      </c>
    </row>
    <row r="88" spans="1:34" ht="11.25" customHeight="1" x14ac:dyDescent="0.25">
      <c r="A88" s="9" t="s">
        <v>43</v>
      </c>
      <c r="B88" s="9" t="s">
        <v>1089</v>
      </c>
      <c r="C88" s="9" t="s">
        <v>1090</v>
      </c>
      <c r="D88" s="9" t="s">
        <v>1091</v>
      </c>
      <c r="E88" s="9" t="s">
        <v>1092</v>
      </c>
      <c r="F88" s="9" t="s">
        <v>1093</v>
      </c>
      <c r="G88" s="9" t="s">
        <v>1094</v>
      </c>
      <c r="L88" s="20">
        <f>$I$43*$L$43</f>
        <v>0</v>
      </c>
      <c r="M88" s="20">
        <f>$I$43*$M$43</f>
        <v>93373.774095278161</v>
      </c>
      <c r="N88" s="20">
        <f>$I$43*$N$43</f>
        <v>0</v>
      </c>
      <c r="O88" s="20">
        <f>$I$43*$O$43</f>
        <v>0</v>
      </c>
      <c r="P88" s="20">
        <f>$I$43*$P$43</f>
        <v>-41168.76154409154</v>
      </c>
      <c r="Q88" s="20">
        <f>$I$43*$Q$43</f>
        <v>444283.21636326122</v>
      </c>
      <c r="R88" s="20">
        <f>$I$43*$R$43</f>
        <v>0</v>
      </c>
      <c r="S88" s="20">
        <f>$I$43*$S$43</f>
        <v>0</v>
      </c>
      <c r="T88" s="20">
        <f>$I$43*$T$43</f>
        <v>0</v>
      </c>
      <c r="U88" s="20">
        <f>$I$43*$U$43</f>
        <v>0</v>
      </c>
      <c r="V88" s="20">
        <f>$I$43*$V$43</f>
        <v>12194.747941899717</v>
      </c>
      <c r="X88" s="20">
        <f>$I$43*$X$43</f>
        <v>0</v>
      </c>
      <c r="Y88" s="20">
        <f>$I$43*$Y$43</f>
        <v>17409.870999631803</v>
      </c>
      <c r="Z88" s="20">
        <f>$I$43*$Z$43</f>
        <v>0</v>
      </c>
      <c r="AA88" s="20">
        <f>$I$43*$AA$43</f>
        <v>0</v>
      </c>
      <c r="AB88" s="20">
        <f>$I$43*$AB$43</f>
        <v>0</v>
      </c>
      <c r="AC88" s="20">
        <f>$I$43*$AC$43</f>
        <v>605993.57357029885</v>
      </c>
      <c r="AD88" s="20">
        <f>$I$43*$AD$43</f>
        <v>0</v>
      </c>
      <c r="AE88" s="20">
        <f>$I$43*$AE$43</f>
        <v>0</v>
      </c>
      <c r="AF88" s="20">
        <f>$I$43*$AF$43</f>
        <v>0</v>
      </c>
      <c r="AG88" s="20">
        <f>$I$43*$AG$43</f>
        <v>0</v>
      </c>
      <c r="AH88" s="20">
        <f>$I$43*$AH$43</f>
        <v>0</v>
      </c>
    </row>
    <row r="89" spans="1:34" ht="11.25" customHeight="1" x14ac:dyDescent="0.25">
      <c r="A89" s="9" t="s">
        <v>43</v>
      </c>
      <c r="B89" s="9" t="s">
        <v>1089</v>
      </c>
      <c r="C89" s="9" t="s">
        <v>1090</v>
      </c>
      <c r="D89" s="9" t="s">
        <v>1095</v>
      </c>
      <c r="E89" s="9" t="s">
        <v>1096</v>
      </c>
      <c r="F89" s="9" t="s">
        <v>1097</v>
      </c>
      <c r="G89" s="9" t="s">
        <v>1098</v>
      </c>
      <c r="L89" s="20">
        <f>$I$44*$L$44</f>
        <v>0</v>
      </c>
      <c r="M89" s="20">
        <f>$I$44*$M$44</f>
        <v>0</v>
      </c>
      <c r="N89" s="20">
        <f>$I$44*$N$44</f>
        <v>0</v>
      </c>
      <c r="O89" s="20">
        <f>$I$44*$O$44</f>
        <v>0</v>
      </c>
      <c r="P89" s="20">
        <f>$I$44*$P$44</f>
        <v>0</v>
      </c>
      <c r="Q89" s="20">
        <f>$I$44*$Q$44</f>
        <v>0</v>
      </c>
      <c r="R89" s="20">
        <f>$I$44*$R$44</f>
        <v>0</v>
      </c>
      <c r="S89" s="20">
        <f>$I$44*$S$44</f>
        <v>0</v>
      </c>
      <c r="T89" s="20">
        <f>$I$44*$T$44</f>
        <v>0</v>
      </c>
      <c r="U89" s="20">
        <f>$I$44*$U$44</f>
        <v>0</v>
      </c>
      <c r="V89" s="20">
        <f>$I$44*$V$44</f>
        <v>0</v>
      </c>
      <c r="X89" s="20">
        <f>$I$44*$X$44</f>
        <v>0</v>
      </c>
      <c r="Y89" s="20">
        <f>$I$44*$Y$44</f>
        <v>0</v>
      </c>
      <c r="Z89" s="20">
        <f>$I$44*$Z$44</f>
        <v>0</v>
      </c>
      <c r="AA89" s="20">
        <f>$I$44*$AA$44</f>
        <v>0</v>
      </c>
      <c r="AB89" s="20">
        <f>$I$44*$AB$44</f>
        <v>0</v>
      </c>
      <c r="AC89" s="20">
        <f>$I$44*$AC$44</f>
        <v>0</v>
      </c>
      <c r="AD89" s="20">
        <f>$I$44*$AD$44</f>
        <v>0</v>
      </c>
      <c r="AE89" s="20">
        <f>$I$44*$AE$44</f>
        <v>0</v>
      </c>
      <c r="AF89" s="20">
        <f>$I$44*$AF$44</f>
        <v>0</v>
      </c>
      <c r="AG89" s="20">
        <f>$I$44*$AG$44</f>
        <v>0</v>
      </c>
      <c r="AH89" s="20">
        <f>$I$44*$AH$44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9"/>
    <mergeCell ref="B5:B6"/>
    <mergeCell ref="C5:C6"/>
    <mergeCell ref="D5:D6"/>
    <mergeCell ref="E5:E6"/>
    <mergeCell ref="A10:A22"/>
    <mergeCell ref="B10:B12"/>
    <mergeCell ref="C10:C12"/>
    <mergeCell ref="D10:D12"/>
    <mergeCell ref="E10:E12"/>
    <mergeCell ref="B13:B17"/>
    <mergeCell ref="C13:C17"/>
    <mergeCell ref="B18:B22"/>
    <mergeCell ref="C18:C22"/>
    <mergeCell ref="A23:A37"/>
    <mergeCell ref="B23:B25"/>
    <mergeCell ref="C23:C25"/>
    <mergeCell ref="D23:D25"/>
    <mergeCell ref="E23:E25"/>
    <mergeCell ref="B27:B29"/>
    <mergeCell ref="C27:C29"/>
    <mergeCell ref="D27:D29"/>
    <mergeCell ref="E27:E29"/>
    <mergeCell ref="X1:AH1"/>
    <mergeCell ref="X2:AH2"/>
    <mergeCell ref="X3:AB3"/>
    <mergeCell ref="AD3:AF3"/>
    <mergeCell ref="B35:B37"/>
    <mergeCell ref="C35:C37"/>
    <mergeCell ref="F27:F29"/>
    <mergeCell ref="B31:B33"/>
    <mergeCell ref="C31:C33"/>
    <mergeCell ref="D31:D33"/>
    <mergeCell ref="E31:E33"/>
    <mergeCell ref="F31:F33"/>
    <mergeCell ref="F23:F25"/>
    <mergeCell ref="F10:F12"/>
    <mergeCell ref="F5:F6"/>
    <mergeCell ref="G1:G4"/>
    <mergeCell ref="E38:E40"/>
    <mergeCell ref="F38:F40"/>
    <mergeCell ref="A43:A44"/>
    <mergeCell ref="B43:B44"/>
    <mergeCell ref="C43:C44"/>
    <mergeCell ref="A38:A42"/>
    <mergeCell ref="B38:B40"/>
    <mergeCell ref="C38:C40"/>
    <mergeCell ref="D38:D40"/>
    <mergeCell ref="L46:V46"/>
    <mergeCell ref="X46:AH46"/>
    <mergeCell ref="L47:V47"/>
    <mergeCell ref="X47:AH47"/>
    <mergeCell ref="L48:P48"/>
    <mergeCell ref="R48:T48"/>
    <mergeCell ref="X48:AB48"/>
    <mergeCell ref="AD48:AF48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5EEA-275B-4148-AC0D-12EECF5C916E}">
  <sheetPr codeName="Planilha25"/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6" width="10.28515625" style="14" bestFit="1" customWidth="1"/>
    <col min="7" max="7" width="10.8554687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1" width="10.28515625" style="14" bestFit="1" customWidth="1"/>
    <col min="32" max="32" width="11.7109375" style="14" bestFit="1" customWidth="1"/>
    <col min="33" max="33" width="10.28515625" style="14" bestFit="1" customWidth="1"/>
    <col min="34" max="16384" width="9.140625" style="14"/>
  </cols>
  <sheetData>
    <row r="1" spans="1:33" x14ac:dyDescent="0.2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15</v>
      </c>
      <c r="G1" s="14" t="s">
        <v>78</v>
      </c>
      <c r="I1" s="14" t="s">
        <v>1106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92</v>
      </c>
      <c r="AB2" s="14" t="s">
        <v>48</v>
      </c>
      <c r="AC2" s="14" t="s">
        <v>24</v>
      </c>
      <c r="AD2" s="14" t="s">
        <v>24</v>
      </c>
      <c r="AE2" s="14" t="s">
        <v>54</v>
      </c>
      <c r="AF2" s="14" t="s">
        <v>58</v>
      </c>
      <c r="AG2" s="14" t="s">
        <v>89</v>
      </c>
    </row>
    <row r="3" spans="1:33" x14ac:dyDescent="0.2">
      <c r="AA3" s="14" t="s">
        <v>22</v>
      </c>
      <c r="AB3" s="14" t="s">
        <v>56</v>
      </c>
      <c r="AC3" s="14" t="s">
        <v>41</v>
      </c>
      <c r="AD3" s="14" t="s">
        <v>29</v>
      </c>
      <c r="AE3" s="14" t="s">
        <v>93</v>
      </c>
      <c r="AG3" s="14" t="s">
        <v>90</v>
      </c>
    </row>
    <row r="4" spans="1:33" x14ac:dyDescent="0.2">
      <c r="AA4" s="14" t="s">
        <v>40</v>
      </c>
      <c r="AB4" s="14" t="s">
        <v>60</v>
      </c>
      <c r="AC4" s="14" t="s">
        <v>44</v>
      </c>
      <c r="AD4" s="14" t="s">
        <v>30</v>
      </c>
      <c r="AE4" s="14" t="s">
        <v>94</v>
      </c>
      <c r="AG4" s="14" t="s">
        <v>87</v>
      </c>
    </row>
    <row r="5" spans="1:33" x14ac:dyDescent="0.2">
      <c r="A5" s="14" t="s">
        <v>1099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502</v>
      </c>
      <c r="AA5" s="14" t="s">
        <v>33</v>
      </c>
      <c r="AB5" s="14" t="s">
        <v>36</v>
      </c>
      <c r="AD5" s="14" t="s">
        <v>31</v>
      </c>
      <c r="AG5" s="14" t="s">
        <v>9</v>
      </c>
    </row>
    <row r="6" spans="1:33" x14ac:dyDescent="0.2">
      <c r="A6" s="14" t="s">
        <v>1100</v>
      </c>
      <c r="B6" s="40">
        <f>SUM(TUSD!$AI$60:'TUSD'!$AI$109)</f>
        <v>0</v>
      </c>
      <c r="C6" s="40">
        <f>SUM(TUSD!$AJ$60:'TUSD'!$AJ$109)</f>
        <v>111940.35990867147</v>
      </c>
      <c r="D6" s="40">
        <f>SUM(TUSD!$AK$60:'TUSD'!$AK$109)</f>
        <v>0</v>
      </c>
      <c r="E6" s="40">
        <f>SUM(TUSD!$AL$60:'TUSD'!$AL$109)</f>
        <v>0</v>
      </c>
      <c r="F6" s="40">
        <f>SUM(TUSD!$AM$60:'TUSD'!$AM$109)</f>
        <v>0</v>
      </c>
      <c r="G6" s="40">
        <f>SUM(TUSD!$AN$60:'TUSD'!$AN$109)</f>
        <v>7055458.2423761925</v>
      </c>
      <c r="H6" s="40">
        <f>SUM(TUSD!$AO$60:'TUSD'!$AO$109)</f>
        <v>1152235.5159393293</v>
      </c>
      <c r="I6" s="40">
        <f>SUM(TUSD!$AP$60:'TUSD'!$AP$109)</f>
        <v>0</v>
      </c>
      <c r="J6" s="40">
        <f>SUM(TUSD!$AQ$60:'TUSD'!$AQ$109)</f>
        <v>0</v>
      </c>
      <c r="K6" s="40">
        <f>SUM(TUSD!$AR$60:'TUSD'!$AR$109)</f>
        <v>0</v>
      </c>
      <c r="L6" s="40">
        <f>SUM(TUSD!$AS$60:'TUSD'!$AS$109)</f>
        <v>0</v>
      </c>
      <c r="M6" s="40">
        <f>SUM(TUSD!$AT$60:'TUSD'!$AT$109)</f>
        <v>0</v>
      </c>
      <c r="N6" s="40">
        <f>SUM(TUSD!$AU$60:'TUSD'!$AU$109)</f>
        <v>9059037.192998115</v>
      </c>
      <c r="O6" s="40">
        <f>SUM(TUSD!$AV$60:'TUSD'!$AV$109)</f>
        <v>0</v>
      </c>
      <c r="P6" s="40">
        <f>SUM(TUSD!$AW$60:'TUSD'!$AW$109)</f>
        <v>0</v>
      </c>
      <c r="Q6" s="40">
        <f>SUM(TUSD!$AX$60:'TUSD'!$AX$109)</f>
        <v>18634961.088194776</v>
      </c>
      <c r="R6" s="40">
        <f>SUM(TUSD!$AY$60:'TUSD'!$AY$109)</f>
        <v>0</v>
      </c>
      <c r="S6" s="40">
        <f>SUM(TUSD!$AZ$60:'TUSD'!$AZ$109)</f>
        <v>0</v>
      </c>
      <c r="T6" s="40">
        <f>SUM(TUSD!$BA$60:'TUSD'!$BA$109)</f>
        <v>2775337.6412406224</v>
      </c>
      <c r="U6" s="40">
        <f>SUM(TUSD!$BB$60:'TUSD'!$BB$109)</f>
        <v>0</v>
      </c>
      <c r="V6" s="40">
        <f>SUM(TUSD!$BC$60:'TUSD'!$BC$109)</f>
        <v>0</v>
      </c>
      <c r="W6" s="40">
        <f>SUM(TUSD!$BD$60:'TUSD'!$BD$109)</f>
        <v>0</v>
      </c>
      <c r="X6" s="40">
        <f t="shared" ref="X6:X11" si="0">SUM(B6:W6)</f>
        <v>38788970.040657707</v>
      </c>
      <c r="AA6" s="14" t="s">
        <v>43</v>
      </c>
      <c r="AB6" s="14" t="s">
        <v>97</v>
      </c>
      <c r="AD6" s="14" t="s">
        <v>32</v>
      </c>
      <c r="AG6" s="14" t="s">
        <v>83</v>
      </c>
    </row>
    <row r="7" spans="1:33" x14ac:dyDescent="0.2">
      <c r="A7" s="14" t="s">
        <v>1101</v>
      </c>
      <c r="B7" s="40">
        <f>SUM(TUSD!$L$60:'TUSD'!$L$109)</f>
        <v>0</v>
      </c>
      <c r="C7" s="40">
        <f>SUM(TUSD!$M$60:'TUSD'!$M$109)</f>
        <v>140341.13663259137</v>
      </c>
      <c r="D7" s="40">
        <f ca="1">SUM(TUSD!$N$60:'TUSD'!$N$109)</f>
        <v>0</v>
      </c>
      <c r="E7" s="40">
        <f>SUM(TUSD!$O$60:'TUSD'!$O$109)</f>
        <v>0</v>
      </c>
      <c r="F7" s="40">
        <f>SUM(TUSD!$P$60:'TUSD'!$P$109)</f>
        <v>0</v>
      </c>
      <c r="G7" s="40">
        <f>SUM(TUSD!$Q$60:'TUSD'!$Q$109)</f>
        <v>11295025.453723546</v>
      </c>
      <c r="H7" s="40">
        <f>SUM(TUSD!$R$60:'TUSD'!$R$109)</f>
        <v>1891660.035200648</v>
      </c>
      <c r="I7" s="40">
        <f>SUM(TUSD!$S$60:'TUSD'!$S$109)</f>
        <v>0</v>
      </c>
      <c r="J7" s="40">
        <f>SUM(TUSD!$T$60:'TUSD'!$T$109)</f>
        <v>0</v>
      </c>
      <c r="K7" s="40">
        <f>SUM(TUSD!$U$60:'TUSD'!$U$109)</f>
        <v>0</v>
      </c>
      <c r="L7" s="40">
        <f>SUM(TUSD!$V$60:'TUSD'!$V$109)</f>
        <v>0</v>
      </c>
      <c r="M7" s="40">
        <f>SUM(TUSD!$W$60:'TUSD'!$W$109)</f>
        <v>0</v>
      </c>
      <c r="N7" s="40">
        <f>SUM(TUSD!$X$60:'TUSD'!$X$109)</f>
        <v>10541767.667977214</v>
      </c>
      <c r="O7" s="40">
        <f>SUM(TUSD!$Y$60:'TUSD'!$Y$109)</f>
        <v>0</v>
      </c>
      <c r="P7" s="40">
        <f>SUM(TUSD!$Z$60:'TUSD'!$Z$109)</f>
        <v>0</v>
      </c>
      <c r="Q7" s="40">
        <f>SUM(TUSD!$AA$60:'TUSD'!$AA$109)</f>
        <v>22428093.212723635</v>
      </c>
      <c r="R7" s="40">
        <f ca="1">SUM(TUSD!$AB$60:'TUSD'!$AB$109)</f>
        <v>0</v>
      </c>
      <c r="S7" s="40">
        <f ca="1">SUM(TUSD!$AC$60:'TUSD'!$AC$109)</f>
        <v>0</v>
      </c>
      <c r="T7" s="40">
        <f>SUM(TUSD!$AD$60:'TUSD'!$AD$109)</f>
        <v>2329673.8029758967</v>
      </c>
      <c r="U7" s="40">
        <f>SUM(TUSD!$AE$60:'TUSD'!$AE$109)</f>
        <v>63942.015929215726</v>
      </c>
      <c r="V7" s="40">
        <f ca="1">SUM(TUSD!$AF$60:'TUSD'!$AF$109)</f>
        <v>0</v>
      </c>
      <c r="W7" s="40">
        <f ca="1">SUM(TUSD!$AG$60:'TUSD'!$AG$109)</f>
        <v>0</v>
      </c>
      <c r="X7" s="40">
        <f t="shared" ca="1" si="0"/>
        <v>48690503.325162746</v>
      </c>
      <c r="AB7" s="14" t="s">
        <v>23</v>
      </c>
      <c r="AD7" s="14" t="s">
        <v>100</v>
      </c>
      <c r="AG7" s="14" t="s">
        <v>84</v>
      </c>
    </row>
    <row r="8" spans="1:33" x14ac:dyDescent="0.2">
      <c r="A8" s="14" t="s">
        <v>1104</v>
      </c>
      <c r="B8" s="40">
        <f>IF($G$2&lt;&gt;"Não se aplica",SUMIF(TUSD!$G$60:'TUSD'!$G$109,$I$2,TUSD!$AI$60:'TUSD'!$AI$109),IF($F$2&lt;&gt;"Não se aplica",SUMIF(TUSD!$F$60:'TUSD'!$F$109,$I$2,TUSD!$AI$60:'TUSD'!$AI$109),IF($E$2&lt;&gt;"Não se aplica",SUMIF(TUSD!$E$60:'TUSD'!$E$109,$I$2,TUSD!$AI$60:'TUSD'!$AI$109),IF($D$2&lt;&gt;"Não se aplica",SUMIF(TUSD!$D$60:'TUSD'!$D$109,$I$2,TUSD!$AI$60:'TUSD'!$AI$109),IF($C$2&lt;&gt;"Não se aplica",SUMIF(TUSD!$C$60:'TUSD'!$C$109,$I$2,TUSD!$AI$60:'TUSD'!$AI$109),IF($B$2&lt;&gt;"Não se aplica",SUMIF(TUSD!$B$60:'TUSD'!$B$109,$I$2,TUSD!$AI$60:'TUSD'!$AI$109),SUMIF(TUSD!$A$60:'TUSD'!$A$109,$I$2,TUSD!$AI$60:'TUSD'!$AI$109)))))))</f>
        <v>0</v>
      </c>
      <c r="C8" s="40">
        <f>IF($G$2&lt;&gt;"Não se aplica",SUMIF(TUSD!$G$60:'TUSD'!$G$109,$I$2,TUSD!$AJ$60:'TUSD'!$AJ$109),IF($F$2&lt;&gt;"Não se aplica",SUMIF(TUSD!$F$60:'TUSD'!$F$109,$I$2,TUSD!$AJ$60:'TUSD'!$AJ$109),IF($E$2&lt;&gt;"Não se aplica",SUMIF(TUSD!$E$60:'TUSD'!$E$109,$I$2,TUSD!$AJ$60:'TUSD'!$AJ$109),IF($D$2&lt;&gt;"Não se aplica",SUMIF(TUSD!$D$60:'TUSD'!$D$109,$I$2,TUSD!$AJ$60:'TUSD'!$AJ$109),IF($C$2&lt;&gt;"Não se aplica",SUMIF(TUSD!$C$60:'TUSD'!$C$109,$I$2,TUSD!$AJ$60:'TUSD'!$AJ$109),IF($B$2&lt;&gt;"Não se aplica",SUMIF(TUSD!$B$60:'TUSD'!$B$109,$I$2,TUSD!$AJ$60:'TUSD'!$AJ$109),SUMIF(TUSD!$A$60:'TUSD'!$A$109,$I$2,TUSD!$AJ$60:'TUSD'!$AJ$109)))))))</f>
        <v>35898.267869213414</v>
      </c>
      <c r="D8" s="40">
        <f>IF($G$2&lt;&gt;"Não se aplica",SUMIF(TUSD!$G$60:'TUSD'!$G$109,$I$2,TUSD!$AK$60:'TUSD'!$AK$109),IF($F$2&lt;&gt;"Não se aplica",SUMIF(TUSD!$F$60:'TUSD'!$F$109,$I$2,TUSD!$AK$60:'TUSD'!$AK$109),IF($E$2&lt;&gt;"Não se aplica",SUMIF(TUSD!$E$60:'TUSD'!$E$109,$I$2,TUSD!$AK$60:'TUSD'!$AK$109),IF($D$2&lt;&gt;"Não se aplica",SUMIF(TUSD!$D$60:'TUSD'!$D$109,$I$2,TUSD!$AK$60:'TUSD'!$AK$109),IF($C$2&lt;&gt;"Não se aplica",SUMIF(TUSD!$C$60:'TUSD'!$C$109,$I$2,TUSD!$AK$60:'TUSD'!$AK$109),IF($B$2&lt;&gt;"Não se aplica",SUMIF(TUSD!$B$60:'TUSD'!$B$109,$I$2,TUSD!$AK$60:'TUSD'!$AK$109),SUMIF(TUSD!$A$60:'TUSD'!$A$109,$I$2,TUSD!$AK$60:'TUSD'!$AK$109)))))))</f>
        <v>0</v>
      </c>
      <c r="E8" s="40">
        <f>IF($G$2&lt;&gt;"Não se aplica",SUMIF(TUSD!$G$60:'TUSD'!$G$109,$I$2,TUSD!$AL$60:'TUSD'!$AL$109),IF($F$2&lt;&gt;"Não se aplica",SUMIF(TUSD!$F$60:'TUSD'!$F$109,$I$2,TUSD!$AL$60:'TUSD'!$AL$109),IF($E$2&lt;&gt;"Não se aplica",SUMIF(TUSD!$E$60:'TUSD'!$E$109,$I$2,TUSD!$AL$60:'TUSD'!$AL$109),IF($D$2&lt;&gt;"Não se aplica",SUMIF(TUSD!$D$60:'TUSD'!$D$109,$I$2,TUSD!$AL$60:'TUSD'!$AL$109),IF($C$2&lt;&gt;"Não se aplica",SUMIF(TUSD!$C$60:'TUSD'!$C$109,$I$2,TUSD!$AL$60:'TUSD'!$AL$109),IF($B$2&lt;&gt;"Não se aplica",SUMIF(TUSD!$B$60:'TUSD'!$B$109,$I$2,TUSD!$AL$60:'TUSD'!$AL$109),SUMIF(TUSD!$A$60:'TUSD'!$A$109,$I$2,TUSD!$AL$60:'TUSD'!$AL$109)))))))</f>
        <v>0</v>
      </c>
      <c r="F8" s="40">
        <f>IF($G$2&lt;&gt;"Não se aplica",SUMIF(TUSD!$G$60:'TUSD'!$G$109,$I$2,TUSD!$AM$60:'TUSD'!$AM$109),IF($F$2&lt;&gt;"Não se aplica",SUMIF(TUSD!$F$60:'TUSD'!$F$109,$I$2,TUSD!$AM$60:'TUSD'!$AM$109),IF($E$2&lt;&gt;"Não se aplica",SUMIF(TUSD!$E$60:'TUSD'!$E$109,$I$2,TUSD!$AM$60:'TUSD'!$AM$109),IF($D$2&lt;&gt;"Não se aplica",SUMIF(TUSD!$D$60:'TUSD'!$D$109,$I$2,TUSD!$AM$60:'TUSD'!$AM$109),IF($C$2&lt;&gt;"Não se aplica",SUMIF(TUSD!$C$60:'TUSD'!$C$109,$I$2,TUSD!$AM$60:'TUSD'!$AM$109),IF($B$2&lt;&gt;"Não se aplica",SUMIF(TUSD!$B$60:'TUSD'!$B$109,$I$2,TUSD!$AM$60:'TUSD'!$AM$109),SUMIF(TUSD!$A$60:'TUSD'!$A$109,$I$2,TUSD!$AM$60:'TUSD'!$AM$109)))))))</f>
        <v>0</v>
      </c>
      <c r="G8" s="40">
        <f>IF($G$2&lt;&gt;"Não se aplica",SUMIF(TUSD!$G$60:'TUSD'!$G$109,$I$2,TUSD!$AN$60:'TUSD'!$AN$109),IF($F$2&lt;&gt;"Não se aplica",SUMIF(TUSD!$F$60:'TUSD'!$F$109,$I$2,TUSD!$AN$60:'TUSD'!$AN$109),IF($E$2&lt;&gt;"Não se aplica",SUMIF(TUSD!$E$60:'TUSD'!$E$109,$I$2,TUSD!$AN$60:'TUSD'!$AN$109),IF($D$2&lt;&gt;"Não se aplica",SUMIF(TUSD!$D$60:'TUSD'!$D$109,$I$2,TUSD!$AN$60:'TUSD'!$AN$109),IF($C$2&lt;&gt;"Não se aplica",SUMIF(TUSD!$C$60:'TUSD'!$C$109,$I$2,TUSD!$AN$60:'TUSD'!$AN$109),IF($B$2&lt;&gt;"Não se aplica",SUMIF(TUSD!$B$60:'TUSD'!$B$109,$I$2,TUSD!$AN$60:'TUSD'!$AN$109),SUMIF(TUSD!$A$60:'TUSD'!$A$109,$I$2,TUSD!$AN$60:'TUSD'!$AN$109)))))))</f>
        <v>2358976.6130892374</v>
      </c>
      <c r="H8" s="40">
        <f>IF($G$2&lt;&gt;"Não se aplica",SUMIF(TUSD!$G$60:'TUSD'!$G$109,$I$2,TUSD!$AO$60:'TUSD'!$AO$109),IF($F$2&lt;&gt;"Não se aplica",SUMIF(TUSD!$F$60:'TUSD'!$F$109,$I$2,TUSD!$AO$60:'TUSD'!$AO$109),IF($E$2&lt;&gt;"Não se aplica",SUMIF(TUSD!$E$60:'TUSD'!$E$109,$I$2,TUSD!$AO$60:'TUSD'!$AO$109),IF($D$2&lt;&gt;"Não se aplica",SUMIF(TUSD!$D$60:'TUSD'!$D$109,$I$2,TUSD!$AO$60:'TUSD'!$AO$109),IF($C$2&lt;&gt;"Não se aplica",SUMIF(TUSD!$C$60:'TUSD'!$C$109,$I$2,TUSD!$AO$60:'TUSD'!$AO$109),IF($B$2&lt;&gt;"Não se aplica",SUMIF(TUSD!$B$60:'TUSD'!$B$109,$I$2,TUSD!$AO$60:'TUSD'!$AO$109),SUMIF(TUSD!$A$60:'TUSD'!$A$109,$I$2,TUSD!$AO$60:'TUSD'!$AO$109)))))))</f>
        <v>421742.77999536257</v>
      </c>
      <c r="I8" s="40">
        <f>IF($G$2&lt;&gt;"Não se aplica",SUMIF(TUSD!$G$60:'TUSD'!$G$109,$I$2,TUSD!$AP$60:'TUSD'!$AP$109),IF($F$2&lt;&gt;"Não se aplica",SUMIF(TUSD!$F$60:'TUSD'!$F$109,$I$2,TUSD!$AP$60:'TUSD'!$AP$109),IF($E$2&lt;&gt;"Não se aplica",SUMIF(TUSD!$E$60:'TUSD'!$E$109,$I$2,TUSD!$AP$60:'TUSD'!$AP$109),IF($D$2&lt;&gt;"Não se aplica",SUMIF(TUSD!$D$60:'TUSD'!$D$109,$I$2,TUSD!$AP$60:'TUSD'!$AP$109),IF($C$2&lt;&gt;"Não se aplica",SUMIF(TUSD!$C$60:'TUSD'!$C$109,$I$2,TUSD!$AP$60:'TUSD'!$AP$109),IF($B$2&lt;&gt;"Não se aplica",SUMIF(TUSD!$B$60:'TUSD'!$B$109,$I$2,TUSD!$AP$60:'TUSD'!$AP$109),SUMIF(TUSD!$A$60:'TUSD'!$A$109,$I$2,TUSD!$AP$60:'TUSD'!$AP$109)))))))</f>
        <v>0</v>
      </c>
      <c r="J8" s="40">
        <f>IF($G$2&lt;&gt;"Não se aplica",SUMIF(TUSD!$G$60:'TUSD'!$G$109,$I$2,TUSD!$AQ$60:'TUSD'!$AQ$109),IF($F$2&lt;&gt;"Não se aplica",SUMIF(TUSD!$F$60:'TUSD'!$F$109,$I$2,TUSD!$AQ$60:'TUSD'!$AQ$109),IF($E$2&lt;&gt;"Não se aplica",SUMIF(TUSD!$E$60:'TUSD'!$E$109,$I$2,TUSD!$AQ$60:'TUSD'!$AQ$109),IF($D$2&lt;&gt;"Não se aplica",SUMIF(TUSD!$D$60:'TUSD'!$D$109,$I$2,TUSD!$AQ$60:'TUSD'!$AQ$109),IF($C$2&lt;&gt;"Não se aplica",SUMIF(TUSD!$C$60:'TUSD'!$C$109,$I$2,TUSD!$AQ$60:'TUSD'!$AQ$109),IF($B$2&lt;&gt;"Não se aplica",SUMIF(TUSD!$B$60:'TUSD'!$B$109,$I$2,TUSD!$AQ$60:'TUSD'!$AQ$109),SUMIF(TUSD!$A$60:'TUSD'!$A$109,$I$2,TUSD!$AQ$60:'TUSD'!$AQ$109)))))))</f>
        <v>0</v>
      </c>
      <c r="K8" s="40">
        <f>IF($G$2&lt;&gt;"Não se aplica",SUMIF(TUSD!$G$60:'TUSD'!$G$109,$I$2,TUSD!$AR$60:'TUSD'!$AR$109),IF($F$2&lt;&gt;"Não se aplica",SUMIF(TUSD!$F$60:'TUSD'!$F$109,$I$2,TUSD!$AR$60:'TUSD'!$AR$109),IF($E$2&lt;&gt;"Não se aplica",SUMIF(TUSD!$E$60:'TUSD'!$E$109,$I$2,TUSD!$AR$60:'TUSD'!$AR$109),IF($D$2&lt;&gt;"Não se aplica",SUMIF(TUSD!$D$60:'TUSD'!$D$109,$I$2,TUSD!$AR$60:'TUSD'!$AR$109),IF($C$2&lt;&gt;"Não se aplica",SUMIF(TUSD!$C$60:'TUSD'!$C$109,$I$2,TUSD!$AR$60:'TUSD'!$AR$109),IF($B$2&lt;&gt;"Não se aplica",SUMIF(TUSD!$B$60:'TUSD'!$B$109,$I$2,TUSD!$AR$60:'TUSD'!$AR$109),SUMIF(TUSD!$A$60:'TUSD'!$A$109,$I$2,TUSD!$AR$60:'TUSD'!$AR$109)))))))</f>
        <v>0</v>
      </c>
      <c r="L8" s="40">
        <f>IF($G$2&lt;&gt;"Não se aplica",SUMIF(TUSD!$G$60:'TUSD'!$G$109,$I$2,TUSD!$AS$60:'TUSD'!$AS$109),IF($F$2&lt;&gt;"Não se aplica",SUMIF(TUSD!$F$60:'TUSD'!$F$109,$I$2,TUSD!$AS$60:'TUSD'!$AS$109),IF($E$2&lt;&gt;"Não se aplica",SUMIF(TUSD!$E$60:'TUSD'!$E$109,$I$2,TUSD!$AS$60:'TUSD'!$AS$109),IF($D$2&lt;&gt;"Não se aplica",SUMIF(TUSD!$D$60:'TUSD'!$D$109,$I$2,TUSD!$AS$60:'TUSD'!$AS$109),IF($C$2&lt;&gt;"Não se aplica",SUMIF(TUSD!$C$60:'TUSD'!$C$109,$I$2,TUSD!$AS$60:'TUSD'!$AS$109),IF($B$2&lt;&gt;"Não se aplica",SUMIF(TUSD!$B$60:'TUSD'!$B$109,$I$2,TUSD!$AS$60:'TUSD'!$AS$109),SUMIF(TUSD!$A$60:'TUSD'!$A$109,$I$2,TUSD!$AS$60:'TUSD'!$AS$109)))))))</f>
        <v>0</v>
      </c>
      <c r="M8" s="40">
        <f>IF($G$2&lt;&gt;"Não se aplica",SUMIF(TUSD!$G$60:'TUSD'!$G$109,$I$2,TUSD!$AT$60:'TUSD'!$AT$109),IF($F$2&lt;&gt;"Não se aplica",SUMIF(TUSD!$F$60:'TUSD'!$F$109,$I$2,TUSD!$AT$60:'TUSD'!$AT$109),IF($E$2&lt;&gt;"Não se aplica",SUMIF(TUSD!$E$60:'TUSD'!$E$109,$I$2,TUSD!$AT$60:'TUSD'!$AT$109),IF($D$2&lt;&gt;"Não se aplica",SUMIF(TUSD!$D$60:'TUSD'!$D$109,$I$2,TUSD!$AT$60:'TUSD'!$AT$109),IF($C$2&lt;&gt;"Não se aplica",SUMIF(TUSD!$C$60:'TUSD'!$C$109,$I$2,TUSD!$AT$60:'TUSD'!$AT$109),IF($B$2&lt;&gt;"Não se aplica",SUMIF(TUSD!$B$60:'TUSD'!$B$109,$I$2,TUSD!$AT$60:'TUSD'!$AT$109),SUMIF(TUSD!$A$60:'TUSD'!$A$109,$I$2,TUSD!$AT$60:'TUSD'!$AT$109)))))))</f>
        <v>0</v>
      </c>
      <c r="N8" s="40">
        <f>IF($G$2&lt;&gt;"Não se aplica",SUMIF(TUSD!$G$60:'TUSD'!$G$109,$I$2,TUSD!$AU$60:'TUSD'!$AU$109),IF($F$2&lt;&gt;"Não se aplica",SUMIF(TUSD!$F$60:'TUSD'!$F$109,$I$2,TUSD!$AU$60:'TUSD'!$AU$109),IF($E$2&lt;&gt;"Não se aplica",SUMIF(TUSD!$E$60:'TUSD'!$E$109,$I$2,TUSD!$AU$60:'TUSD'!$AU$109),IF($D$2&lt;&gt;"Não se aplica",SUMIF(TUSD!$D$60:'TUSD'!$D$109,$I$2,TUSD!$AU$60:'TUSD'!$AU$109),IF($C$2&lt;&gt;"Não se aplica",SUMIF(TUSD!$C$60:'TUSD'!$C$109,$I$2,TUSD!$AU$60:'TUSD'!$AU$109),IF($B$2&lt;&gt;"Não se aplica",SUMIF(TUSD!$B$60:'TUSD'!$B$109,$I$2,TUSD!$AU$60:'TUSD'!$AU$109),SUMIF(TUSD!$A$60:'TUSD'!$A$109,$I$2,TUSD!$AU$60:'TUSD'!$AU$109)))))))</f>
        <v>3920115.6966199959</v>
      </c>
      <c r="O8" s="40">
        <f>IF($G$2&lt;&gt;"Não se aplica",SUMIF(TUSD!$G$60:'TUSD'!$G$109,$I$2,TUSD!$AV$60:'TUSD'!$AV$109),IF($F$2&lt;&gt;"Não se aplica",SUMIF(TUSD!$F$60:'TUSD'!$F$109,$I$2,TUSD!$AV$60:'TUSD'!$AV$109),IF($E$2&lt;&gt;"Não se aplica",SUMIF(TUSD!$E$60:'TUSD'!$E$109,$I$2,TUSD!$AV$60:'TUSD'!$AV$109),IF($D$2&lt;&gt;"Não se aplica",SUMIF(TUSD!$D$60:'TUSD'!$D$109,$I$2,TUSD!$AV$60:'TUSD'!$AV$109),IF($C$2&lt;&gt;"Não se aplica",SUMIF(TUSD!$C$60:'TUSD'!$C$109,$I$2,TUSD!$AV$60:'TUSD'!$AV$109),IF($B$2&lt;&gt;"Não se aplica",SUMIF(TUSD!$B$60:'TUSD'!$B$109,$I$2,TUSD!$AV$60:'TUSD'!$AV$109),SUMIF(TUSD!$A$60:'TUSD'!$A$109,$I$2,TUSD!$AV$60:'TUSD'!$AV$109)))))))</f>
        <v>0</v>
      </c>
      <c r="P8" s="40">
        <f>IF($G$2&lt;&gt;"Não se aplica",SUMIF(TUSD!$G$60:'TUSD'!$G$109,$I$2,TUSD!$AW$60:'TUSD'!$AW$109),IF($F$2&lt;&gt;"Não se aplica",SUMIF(TUSD!$F$60:'TUSD'!$F$109,$I$2,TUSD!$AW$60:'TUSD'!$AW$109),IF($E$2&lt;&gt;"Não se aplica",SUMIF(TUSD!$E$60:'TUSD'!$E$109,$I$2,TUSD!$AW$60:'TUSD'!$AW$109),IF($D$2&lt;&gt;"Não se aplica",SUMIF(TUSD!$D$60:'TUSD'!$D$109,$I$2,TUSD!$AW$60:'TUSD'!$AW$109),IF($C$2&lt;&gt;"Não se aplica",SUMIF(TUSD!$C$60:'TUSD'!$C$109,$I$2,TUSD!$AW$60:'TUSD'!$AW$109),IF($B$2&lt;&gt;"Não se aplica",SUMIF(TUSD!$B$60:'TUSD'!$B$109,$I$2,TUSD!$AW$60:'TUSD'!$AW$109),SUMIF(TUSD!$A$60:'TUSD'!$A$109,$I$2,TUSD!$AW$60:'TUSD'!$AW$109)))))))</f>
        <v>0</v>
      </c>
      <c r="Q8" s="40">
        <f>IF($G$2&lt;&gt;"Não se aplica",SUMIF(TUSD!$G$60:'TUSD'!$G$109,$I$2,TUSD!$AX$60:'TUSD'!$AX$109),IF($F$2&lt;&gt;"Não se aplica",SUMIF(TUSD!$F$60:'TUSD'!$F$109,$I$2,TUSD!$AX$60:'TUSD'!$AX$109),IF($E$2&lt;&gt;"Não se aplica",SUMIF(TUSD!$E$60:'TUSD'!$E$109,$I$2,TUSD!$AX$60:'TUSD'!$AX$109),IF($D$2&lt;&gt;"Não se aplica",SUMIF(TUSD!$D$60:'TUSD'!$D$109,$I$2,TUSD!$AX$60:'TUSD'!$AX$109),IF($C$2&lt;&gt;"Não se aplica",SUMIF(TUSD!$C$60:'TUSD'!$C$109,$I$2,TUSD!$AX$60:'TUSD'!$AX$109),IF($B$2&lt;&gt;"Não se aplica",SUMIF(TUSD!$B$60:'TUSD'!$B$109,$I$2,TUSD!$AX$60:'TUSD'!$AX$109),SUMIF(TUSD!$A$60:'TUSD'!$A$109,$I$2,TUSD!$AX$60:'TUSD'!$AX$109)))))))</f>
        <v>6090424.0675936723</v>
      </c>
      <c r="R8" s="40">
        <f>IF($G$2&lt;&gt;"Não se aplica",SUMIF(TUSD!$G$60:'TUSD'!$G$109,$I$2,TUSD!$AY$60:'TUSD'!$AY$109),IF($F$2&lt;&gt;"Não se aplica",SUMIF(TUSD!$F$60:'TUSD'!$F$109,$I$2,TUSD!$AY$60:'TUSD'!$AY$109),IF($E$2&lt;&gt;"Não se aplica",SUMIF(TUSD!$E$60:'TUSD'!$E$109,$I$2,TUSD!$AY$60:'TUSD'!$AY$109),IF($D$2&lt;&gt;"Não se aplica",SUMIF(TUSD!$D$60:'TUSD'!$D$109,$I$2,TUSD!$AY$60:'TUSD'!$AY$109),IF($C$2&lt;&gt;"Não se aplica",SUMIF(TUSD!$C$60:'TUSD'!$C$109,$I$2,TUSD!$AY$60:'TUSD'!$AY$109),IF($B$2&lt;&gt;"Não se aplica",SUMIF(TUSD!$B$60:'TUSD'!$B$109,$I$2,TUSD!$AY$60:'TUSD'!$AY$109),SUMIF(TUSD!$A$60:'TUSD'!$A$109,$I$2,TUSD!$AY$60:'TUSD'!$AY$109)))))))</f>
        <v>0</v>
      </c>
      <c r="S8" s="40">
        <f>IF($G$2&lt;&gt;"Não se aplica",SUMIF(TUSD!$G$60:'TUSD'!$G$109,$I$2,TUSD!$AZ$60:'TUSD'!$AZ$109),IF($F$2&lt;&gt;"Não se aplica",SUMIF(TUSD!$F$60:'TUSD'!$F$109,$I$2,TUSD!$AZ$60:'TUSD'!$AZ$109),IF($E$2&lt;&gt;"Não se aplica",SUMIF(TUSD!$E$60:'TUSD'!$E$109,$I$2,TUSD!$AZ$60:'TUSD'!$AZ$109),IF($D$2&lt;&gt;"Não se aplica",SUMIF(TUSD!$D$60:'TUSD'!$D$109,$I$2,TUSD!$AZ$60:'TUSD'!$AZ$109),IF($C$2&lt;&gt;"Não se aplica",SUMIF(TUSD!$C$60:'TUSD'!$C$109,$I$2,TUSD!$AZ$60:'TUSD'!$AZ$109),IF($B$2&lt;&gt;"Não se aplica",SUMIF(TUSD!$B$60:'TUSD'!$B$109,$I$2,TUSD!$AZ$60:'TUSD'!$AZ$109),SUMIF(TUSD!$A$60:'TUSD'!$A$109,$I$2,TUSD!$AZ$60:'TUSD'!$AZ$109)))))))</f>
        <v>0</v>
      </c>
      <c r="T8" s="40">
        <f>IF($G$2&lt;&gt;"Não se aplica",SUMIF(TUSD!$G$60:'TUSD'!$G$109,$I$2,TUSD!$BA$60:'TUSD'!$BA$109),IF($F$2&lt;&gt;"Não se aplica",SUMIF(TUSD!$F$60:'TUSD'!$F$109,$I$2,TUSD!$BA$60:'TUSD'!$BA$109),IF($E$2&lt;&gt;"Não se aplica",SUMIF(TUSD!$E$60:'TUSD'!$E$109,$I$2,TUSD!$BA$60:'TUSD'!$BA$109),IF($D$2&lt;&gt;"Não se aplica",SUMIF(TUSD!$D$60:'TUSD'!$D$109,$I$2,TUSD!$BA$60:'TUSD'!$BA$109),IF($C$2&lt;&gt;"Não se aplica",SUMIF(TUSD!$C$60:'TUSD'!$C$109,$I$2,TUSD!$BA$60:'TUSD'!$BA$109),IF($B$2&lt;&gt;"Não se aplica",SUMIF(TUSD!$B$60:'TUSD'!$B$109,$I$2,TUSD!$BA$60:'TUSD'!$BA$109),SUMIF(TUSD!$A$60:'TUSD'!$A$109,$I$2,TUSD!$BA$60:'TUSD'!$BA$109)))))))</f>
        <v>555059.72651228728</v>
      </c>
      <c r="U8" s="40">
        <f>IF($G$2&lt;&gt;"Não se aplica",SUMIF(TUSD!$G$60:'TUSD'!$G$109,$I$2,TUSD!$BB$60:'TUSD'!$BB$109),IF($F$2&lt;&gt;"Não se aplica",SUMIF(TUSD!$F$60:'TUSD'!$F$109,$I$2,TUSD!$BB$60:'TUSD'!$BB$109),IF($E$2&lt;&gt;"Não se aplica",SUMIF(TUSD!$E$60:'TUSD'!$E$109,$I$2,TUSD!$BB$60:'TUSD'!$BB$109),IF($D$2&lt;&gt;"Não se aplica",SUMIF(TUSD!$D$60:'TUSD'!$D$109,$I$2,TUSD!$BB$60:'TUSD'!$BB$109),IF($C$2&lt;&gt;"Não se aplica",SUMIF(TUSD!$C$60:'TUSD'!$C$109,$I$2,TUSD!$BB$60:'TUSD'!$BB$109),IF($B$2&lt;&gt;"Não se aplica",SUMIF(TUSD!$B$60:'TUSD'!$B$109,$I$2,TUSD!$BB$60:'TUSD'!$BB$109),SUMIF(TUSD!$A$60:'TUSD'!$A$109,$I$2,TUSD!$BB$60:'TUSD'!$BB$109)))))))</f>
        <v>0</v>
      </c>
      <c r="V8" s="40">
        <f>IF($G$2&lt;&gt;"Não se aplica",SUMIF(TUSD!$G$60:'TUSD'!$G$109,$I$2,TUSD!$BC$60:'TUSD'!$BC$109),IF($F$2&lt;&gt;"Não se aplica",SUMIF(TUSD!$F$60:'TUSD'!$F$109,$I$2,TUSD!$BC$60:'TUSD'!$BC$109),IF($E$2&lt;&gt;"Não se aplica",SUMIF(TUSD!$E$60:'TUSD'!$E$109,$I$2,TUSD!$BC$60:'TUSD'!$BC$109),IF($D$2&lt;&gt;"Não se aplica",SUMIF(TUSD!$D$60:'TUSD'!$D$109,$I$2,TUSD!$BC$60:'TUSD'!$BC$109),IF($C$2&lt;&gt;"Não se aplica",SUMIF(TUSD!$C$60:'TUSD'!$C$109,$I$2,TUSD!$BC$60:'TUSD'!$BC$109),IF($B$2&lt;&gt;"Não se aplica",SUMIF(TUSD!$B$60:'TUSD'!$B$109,$I$2,TUSD!$BC$60:'TUSD'!$BC$109),SUMIF(TUSD!$A$60:'TUSD'!$A$109,$I$2,TUSD!$BC$60:'TUSD'!$BC$109)))))))</f>
        <v>0</v>
      </c>
      <c r="W8" s="40">
        <f>IF($G$2&lt;&gt;"Não se aplica",SUMIF(TUSD!$G$60:'TUSD'!$G$109,$I$2,TUSD!$BD$60:'TUSD'!$BD$109),IF($F$2&lt;&gt;"Não se aplica",SUMIF(TUSD!$F$60:'TUSD'!$F$109,$I$2,TUSD!$BD$60:'TUSD'!$BD$109),IF($E$2&lt;&gt;"Não se aplica",SUMIF(TUSD!$E$60:'TUSD'!$E$109,$I$2,TUSD!$BD$60:'TUSD'!$BD$109),IF($D$2&lt;&gt;"Não se aplica",SUMIF(TUSD!$D$60:'TUSD'!$D$109,$I$2,TUSD!$BD$60:'TUSD'!$BD$109),IF($C$2&lt;&gt;"Não se aplica",SUMIF(TUSD!$C$60:'TUSD'!$C$109,$I$2,TUSD!$BD$60:'TUSD'!$BD$109),IF($B$2&lt;&gt;"Não se aplica",SUMIF(TUSD!$B$60:'TUSD'!$B$109,$I$2,TUSD!$BD$60:'TUSD'!$BD$109),SUMIF(TUSD!$A$60:'TUSD'!$A$109,$I$2,TUSD!$BD$60:'TUSD'!$BD$109)))))))</f>
        <v>0</v>
      </c>
      <c r="X8" s="40">
        <f t="shared" si="0"/>
        <v>13382217.151679769</v>
      </c>
      <c r="AB8" s="14" t="s">
        <v>99</v>
      </c>
      <c r="AD8" s="14" t="s">
        <v>101</v>
      </c>
      <c r="AG8" s="14" t="s">
        <v>95</v>
      </c>
    </row>
    <row r="9" spans="1:33" x14ac:dyDescent="0.2">
      <c r="A9" s="14" t="s">
        <v>1105</v>
      </c>
      <c r="B9" s="40">
        <f>IF($G$2&lt;&gt;"Não se aplica",SUMIF(TUSD!$G$60:'TUSD'!$G$109,$I$2,TUSD!$L$60:'TUSD'!$L$109),IF($F$2&lt;&gt;"Não se aplica",SUMIF(TUSD!$F$60:'TUSD'!$F$109,$I$2,TUSD!$L$60:'TUSD'!$L$109),IF($E$2&lt;&gt;"Não se aplica",SUMIF(TUSD!$E$60:'TUSD'!$E$109,$I$2,TUSD!$L$60:'TUSD'!$L$109),IF($D$2&lt;&gt;"Não se aplica",SUMIF(TUSD!$D$60:'TUSD'!$D$109,$I$2,TUSD!$L$60:'TUSD'!$L$109),IF($C$2&lt;&gt;"Não se aplica",SUMIF(TUSD!$C$60:'TUSD'!$C$109,$I$2,TUSD!$L$60:'TUSD'!$L$109),IF($B$2&lt;&gt;"Não se aplica",SUMIF(TUSD!$B$60:'TUSD'!$B$109,$I$2,TUSD!$L$60:'TUSD'!$L$109),SUMIF(TUSD!$A$60:'TUSD'!$A$109,$I$2,TUSD!$L$60:'TUSD'!$L$109)))))))</f>
        <v>0</v>
      </c>
      <c r="C9" s="40">
        <f>IF($G$2&lt;&gt;"Não se aplica",SUMIF(TUSD!$G$60:'TUSD'!$G$109,$I$2,TUSD!$M$60:'TUSD'!$M$109),IF($F$2&lt;&gt;"Não se aplica",SUMIF(TUSD!$F$60:'TUSD'!$F$109,$I$2,TUSD!$M$60:'TUSD'!$M$109),IF($E$2&lt;&gt;"Não se aplica",SUMIF(TUSD!$E$60:'TUSD'!$E$109,$I$2,TUSD!$M$60:'TUSD'!$M$109),IF($D$2&lt;&gt;"Não se aplica",SUMIF(TUSD!$D$60:'TUSD'!$D$109,$I$2,TUSD!$M$60:'TUSD'!$M$109),IF($C$2&lt;&gt;"Não se aplica",SUMIF(TUSD!$C$60:'TUSD'!$C$109,$I$2,TUSD!$M$60:'TUSD'!$M$109),IF($B$2&lt;&gt;"Não se aplica",SUMIF(TUSD!$B$60:'TUSD'!$B$109,$I$2,TUSD!$M$60:'TUSD'!$M$109),SUMIF(TUSD!$A$60:'TUSD'!$A$109,$I$2,TUSD!$M$60:'TUSD'!$M$109)))))))</f>
        <v>44680.732389807039</v>
      </c>
      <c r="D9" s="40">
        <f ca="1">IF($G$2&lt;&gt;"Não se aplica",SUMIF(TUSD!$G$60:'TUSD'!$G$109,$I$2,TUSD!$N$60:'TUSD'!$N$109),IF($F$2&lt;&gt;"Não se aplica",SUMIF(TUSD!$F$60:'TUSD'!$F$109,$I$2,TUSD!$N$60:'TUSD'!$N$109),IF($E$2&lt;&gt;"Não se aplica",SUMIF(TUSD!$E$60:'TUSD'!$E$109,$I$2,TUSD!$N$60:'TUSD'!$N$109),IF($D$2&lt;&gt;"Não se aplica",SUMIF(TUSD!$D$60:'TUSD'!$D$109,$I$2,TUSD!$N$60:'TUSD'!$N$109),IF($C$2&lt;&gt;"Não se aplica",SUMIF(TUSD!$C$60:'TUSD'!$C$109,$I$2,TUSD!$N$60:'TUSD'!$N$109),IF($B$2&lt;&gt;"Não se aplica",SUMIF(TUSD!$B$60:'TUSD'!$B$109,$I$2,TUSD!$N$60:'TUSD'!$N$109),SUMIF(TUSD!$A$60:'TUSD'!$A$109,$I$2,TUSD!$N$60:'TUSD'!$N$109)))))))</f>
        <v>0</v>
      </c>
      <c r="E9" s="40">
        <f>IF($G$2&lt;&gt;"Não se aplica",SUMIF(TUSD!$G$60:'TUSD'!$G$109,$I$2,TUSD!$O$60:'TUSD'!$O$109),IF($F$2&lt;&gt;"Não se aplica",SUMIF(TUSD!$F$60:'TUSD'!$F$109,$I$2,TUSD!$O$60:'TUSD'!$O$109),IF($E$2&lt;&gt;"Não se aplica",SUMIF(TUSD!$E$60:'TUSD'!$E$109,$I$2,TUSD!$O$60:'TUSD'!$O$109),IF($D$2&lt;&gt;"Não se aplica",SUMIF(TUSD!$D$60:'TUSD'!$D$109,$I$2,TUSD!$O$60:'TUSD'!$O$109),IF($C$2&lt;&gt;"Não se aplica",SUMIF(TUSD!$C$60:'TUSD'!$C$109,$I$2,TUSD!$O$60:'TUSD'!$O$109),IF($B$2&lt;&gt;"Não se aplica",SUMIF(TUSD!$B$60:'TUSD'!$B$109,$I$2,TUSD!$O$60:'TUSD'!$O$109),SUMIF(TUSD!$A$60:'TUSD'!$A$109,$I$2,TUSD!$O$60:'TUSD'!$O$109)))))))</f>
        <v>0</v>
      </c>
      <c r="F9" s="40">
        <f>IF($G$2&lt;&gt;"Não se aplica",SUMIF(TUSD!$G$60:'TUSD'!$G$109,$I$2,TUSD!$P$60:'TUSD'!$P$109),IF($F$2&lt;&gt;"Não se aplica",SUMIF(TUSD!$F$60:'TUSD'!$F$109,$I$2,TUSD!$P$60:'TUSD'!$P$109),IF($E$2&lt;&gt;"Não se aplica",SUMIF(TUSD!$E$60:'TUSD'!$E$109,$I$2,TUSD!$P$60:'TUSD'!$P$109),IF($D$2&lt;&gt;"Não se aplica",SUMIF(TUSD!$D$60:'TUSD'!$D$109,$I$2,TUSD!$P$60:'TUSD'!$P$109),IF($C$2&lt;&gt;"Não se aplica",SUMIF(TUSD!$C$60:'TUSD'!$C$109,$I$2,TUSD!$P$60:'TUSD'!$P$109),IF($B$2&lt;&gt;"Não se aplica",SUMIF(TUSD!$B$60:'TUSD'!$B$109,$I$2,TUSD!$P$60:'TUSD'!$P$109),SUMIF(TUSD!$A$60:'TUSD'!$A$109,$I$2,TUSD!$P$60:'TUSD'!$P$109)))))))</f>
        <v>0</v>
      </c>
      <c r="G9" s="40">
        <f>IF($G$2&lt;&gt;"Não se aplica",SUMIF(TUSD!$G$60:'TUSD'!$G$109,$I$2,TUSD!$Q$60:'TUSD'!$Q$109),IF($F$2&lt;&gt;"Não se aplica",SUMIF(TUSD!$F$60:'TUSD'!$F$109,$I$2,TUSD!$Q$60:'TUSD'!$Q$109),IF($E$2&lt;&gt;"Não se aplica",SUMIF(TUSD!$E$60:'TUSD'!$E$109,$I$2,TUSD!$Q$60:'TUSD'!$Q$109),IF($D$2&lt;&gt;"Não se aplica",SUMIF(TUSD!$D$60:'TUSD'!$D$109,$I$2,TUSD!$Q$60:'TUSD'!$Q$109),IF($C$2&lt;&gt;"Não se aplica",SUMIF(TUSD!$C$60:'TUSD'!$C$109,$I$2,TUSD!$Q$60:'TUSD'!$Q$109),IF($B$2&lt;&gt;"Não se aplica",SUMIF(TUSD!$B$60:'TUSD'!$B$109,$I$2,TUSD!$Q$60:'TUSD'!$Q$109),SUMIF(TUSD!$A$60:'TUSD'!$A$109,$I$2,TUSD!$Q$60:'TUSD'!$Q$109)))))))</f>
        <v>3637343.1093675084</v>
      </c>
      <c r="H9" s="40">
        <f>IF($G$2&lt;&gt;"Não se aplica",SUMIF(TUSD!$G$60:'TUSD'!$G$109,$I$2,TUSD!$R$60:'TUSD'!$R$109),IF($F$2&lt;&gt;"Não se aplica",SUMIF(TUSD!$F$60:'TUSD'!$F$109,$I$2,TUSD!$R$60:'TUSD'!$R$109),IF($E$2&lt;&gt;"Não se aplica",SUMIF(TUSD!$E$60:'TUSD'!$E$109,$I$2,TUSD!$R$60:'TUSD'!$R$109),IF($D$2&lt;&gt;"Não se aplica",SUMIF(TUSD!$D$60:'TUSD'!$D$109,$I$2,TUSD!$R$60:'TUSD'!$R$109),IF($C$2&lt;&gt;"Não se aplica",SUMIF(TUSD!$C$60:'TUSD'!$C$109,$I$2,TUSD!$R$60:'TUSD'!$R$109),IF($B$2&lt;&gt;"Não se aplica",SUMIF(TUSD!$B$60:'TUSD'!$B$109,$I$2,TUSD!$R$60:'TUSD'!$R$109),SUMIF(TUSD!$A$60:'TUSD'!$A$109,$I$2,TUSD!$R$60:'TUSD'!$R$109)))))))</f>
        <v>683292.5318367437</v>
      </c>
      <c r="I9" s="40">
        <f>IF($G$2&lt;&gt;"Não se aplica",SUMIF(TUSD!$G$60:'TUSD'!$G$109,$I$2,TUSD!$S$60:'TUSD'!$S$109),IF($F$2&lt;&gt;"Não se aplica",SUMIF(TUSD!$F$60:'TUSD'!$F$109,$I$2,TUSD!$S$60:'TUSD'!$S$109),IF($E$2&lt;&gt;"Não se aplica",SUMIF(TUSD!$E$60:'TUSD'!$E$109,$I$2,TUSD!$S$60:'TUSD'!$S$109),IF($D$2&lt;&gt;"Não se aplica",SUMIF(TUSD!$D$60:'TUSD'!$D$109,$I$2,TUSD!$S$60:'TUSD'!$S$109),IF($C$2&lt;&gt;"Não se aplica",SUMIF(TUSD!$C$60:'TUSD'!$C$109,$I$2,TUSD!$S$60:'TUSD'!$S$109),IF($B$2&lt;&gt;"Não se aplica",SUMIF(TUSD!$B$60:'TUSD'!$B$109,$I$2,TUSD!$S$60:'TUSD'!$S$109),SUMIF(TUSD!$A$60:'TUSD'!$A$109,$I$2,TUSD!$S$60:'TUSD'!$S$109)))))))</f>
        <v>0</v>
      </c>
      <c r="J9" s="40">
        <f>IF($G$2&lt;&gt;"Não se aplica",SUMIF(TUSD!$G$60:'TUSD'!$G$109,$I$2,TUSD!$T$60:'TUSD'!$T$109),IF($F$2&lt;&gt;"Não se aplica",SUMIF(TUSD!$F$60:'TUSD'!$F$109,$I$2,TUSD!$T$60:'TUSD'!$T$109),IF($E$2&lt;&gt;"Não se aplica",SUMIF(TUSD!$E$60:'TUSD'!$E$109,$I$2,TUSD!$T$60:'TUSD'!$T$109),IF($D$2&lt;&gt;"Não se aplica",SUMIF(TUSD!$D$60:'TUSD'!$D$109,$I$2,TUSD!$T$60:'TUSD'!$T$109),IF($C$2&lt;&gt;"Não se aplica",SUMIF(TUSD!$C$60:'TUSD'!$C$109,$I$2,TUSD!$T$60:'TUSD'!$T$109),IF($B$2&lt;&gt;"Não se aplica",SUMIF(TUSD!$B$60:'TUSD'!$B$109,$I$2,TUSD!$T$60:'TUSD'!$T$109),SUMIF(TUSD!$A$60:'TUSD'!$A$109,$I$2,TUSD!$T$60:'TUSD'!$T$109)))))))</f>
        <v>0</v>
      </c>
      <c r="K9" s="40">
        <f>IF($G$2&lt;&gt;"Não se aplica",SUMIF(TUSD!$G$60:'TUSD'!$G$109,$I$2,TUSD!$U$60:'TUSD'!$U$109),IF($F$2&lt;&gt;"Não se aplica",SUMIF(TUSD!$F$60:'TUSD'!$F$109,$I$2,TUSD!$U$60:'TUSD'!$U$109),IF($E$2&lt;&gt;"Não se aplica",SUMIF(TUSD!$E$60:'TUSD'!$E$109,$I$2,TUSD!$U$60:'TUSD'!$U$109),IF($D$2&lt;&gt;"Não se aplica",SUMIF(TUSD!$D$60:'TUSD'!$D$109,$I$2,TUSD!$U$60:'TUSD'!$U$109),IF($C$2&lt;&gt;"Não se aplica",SUMIF(TUSD!$C$60:'TUSD'!$C$109,$I$2,TUSD!$U$60:'TUSD'!$U$109),IF($B$2&lt;&gt;"Não se aplica",SUMIF(TUSD!$B$60:'TUSD'!$B$109,$I$2,TUSD!$U$60:'TUSD'!$U$109),SUMIF(TUSD!$A$60:'TUSD'!$A$109,$I$2,TUSD!$U$60:'TUSD'!$U$109)))))))</f>
        <v>0</v>
      </c>
      <c r="L9" s="40">
        <f>IF($G$2&lt;&gt;"Não se aplica",SUMIF(TUSD!$G$60:'TUSD'!$G$109,$I$2,TUSD!$V$60:'TUSD'!$V$109),IF($F$2&lt;&gt;"Não se aplica",SUMIF(TUSD!$F$60:'TUSD'!$F$109,$I$2,TUSD!$V$60:'TUSD'!$V$109),IF($E$2&lt;&gt;"Não se aplica",SUMIF(TUSD!$E$60:'TUSD'!$E$109,$I$2,TUSD!$V$60:'TUSD'!$V$109),IF($D$2&lt;&gt;"Não se aplica",SUMIF(TUSD!$D$60:'TUSD'!$D$109,$I$2,TUSD!$V$60:'TUSD'!$V$109),IF($C$2&lt;&gt;"Não se aplica",SUMIF(TUSD!$C$60:'TUSD'!$C$109,$I$2,TUSD!$V$60:'TUSD'!$V$109),IF($B$2&lt;&gt;"Não se aplica",SUMIF(TUSD!$B$60:'TUSD'!$B$109,$I$2,TUSD!$V$60:'TUSD'!$V$109),SUMIF(TUSD!$A$60:'TUSD'!$A$109,$I$2,TUSD!$V$60:'TUSD'!$V$109)))))))</f>
        <v>0</v>
      </c>
      <c r="M9" s="40">
        <f>IF($G$2&lt;&gt;"Não se aplica",SUMIF(TUSD!$G$60:'TUSD'!$G$109,$I$2,TUSD!$W$60:'TUSD'!$W$109),IF($F$2&lt;&gt;"Não se aplica",SUMIF(TUSD!$F$60:'TUSD'!$F$109,$I$2,TUSD!$W$60:'TUSD'!$W$109),IF($E$2&lt;&gt;"Não se aplica",SUMIF(TUSD!$E$60:'TUSD'!$E$109,$I$2,TUSD!$W$60:'TUSD'!$W$109),IF($D$2&lt;&gt;"Não se aplica",SUMIF(TUSD!$D$60:'TUSD'!$D$109,$I$2,TUSD!$W$60:'TUSD'!$W$109),IF($C$2&lt;&gt;"Não se aplica",SUMIF(TUSD!$C$60:'TUSD'!$C$109,$I$2,TUSD!$W$60:'TUSD'!$W$109),IF($B$2&lt;&gt;"Não se aplica",SUMIF(TUSD!$B$60:'TUSD'!$B$109,$I$2,TUSD!$W$60:'TUSD'!$W$109),SUMIF(TUSD!$A$60:'TUSD'!$A$109,$I$2,TUSD!$W$60:'TUSD'!$W$109)))))))</f>
        <v>0</v>
      </c>
      <c r="N9" s="40">
        <f>IF($G$2&lt;&gt;"Não se aplica",SUMIF(TUSD!$G$60:'TUSD'!$G$109,$I$2,TUSD!$X$60:'TUSD'!$X$109),IF($F$2&lt;&gt;"Não se aplica",SUMIF(TUSD!$F$60:'TUSD'!$F$109,$I$2,TUSD!$X$60:'TUSD'!$X$109),IF($E$2&lt;&gt;"Não se aplica",SUMIF(TUSD!$E$60:'TUSD'!$E$109,$I$2,TUSD!$X$60:'TUSD'!$X$109),IF($D$2&lt;&gt;"Não se aplica",SUMIF(TUSD!$D$60:'TUSD'!$D$109,$I$2,TUSD!$X$60:'TUSD'!$X$109),IF($C$2&lt;&gt;"Não se aplica",SUMIF(TUSD!$C$60:'TUSD'!$C$109,$I$2,TUSD!$X$60:'TUSD'!$X$109),IF($B$2&lt;&gt;"Não se aplica",SUMIF(TUSD!$B$60:'TUSD'!$B$109,$I$2,TUSD!$X$60:'TUSD'!$X$109),SUMIF(TUSD!$A$60:'TUSD'!$A$109,$I$2,TUSD!$X$60:'TUSD'!$X$109)))))))</f>
        <v>4508712.1576558845</v>
      </c>
      <c r="O9" s="40">
        <f>IF($G$2&lt;&gt;"Não se aplica",SUMIF(TUSD!$G$60:'TUSD'!$G$109,$I$2,TUSD!$Y$60:'TUSD'!$Y$109),IF($F$2&lt;&gt;"Não se aplica",SUMIF(TUSD!$F$60:'TUSD'!$F$109,$I$2,TUSD!$Y$60:'TUSD'!$Y$109),IF($E$2&lt;&gt;"Não se aplica",SUMIF(TUSD!$E$60:'TUSD'!$E$109,$I$2,TUSD!$Y$60:'TUSD'!$Y$109),IF($D$2&lt;&gt;"Não se aplica",SUMIF(TUSD!$D$60:'TUSD'!$D$109,$I$2,TUSD!$Y$60:'TUSD'!$Y$109),IF($C$2&lt;&gt;"Não se aplica",SUMIF(TUSD!$C$60:'TUSD'!$C$109,$I$2,TUSD!$Y$60:'TUSD'!$Y$109),IF($B$2&lt;&gt;"Não se aplica",SUMIF(TUSD!$B$60:'TUSD'!$B$109,$I$2,TUSD!$Y$60:'TUSD'!$Y$109),SUMIF(TUSD!$A$60:'TUSD'!$A$109,$I$2,TUSD!$Y$60:'TUSD'!$Y$109)))))))</f>
        <v>0</v>
      </c>
      <c r="P9" s="40">
        <f>IF($G$2&lt;&gt;"Não se aplica",SUMIF(TUSD!$G$60:'TUSD'!$G$109,$I$2,TUSD!$Z$60:'TUSD'!$Z$109),IF($F$2&lt;&gt;"Não se aplica",SUMIF(TUSD!$F$60:'TUSD'!$F$109,$I$2,TUSD!$Z$60:'TUSD'!$Z$109),IF($E$2&lt;&gt;"Não se aplica",SUMIF(TUSD!$E$60:'TUSD'!$E$109,$I$2,TUSD!$Z$60:'TUSD'!$Z$109),IF($D$2&lt;&gt;"Não se aplica",SUMIF(TUSD!$D$60:'TUSD'!$D$109,$I$2,TUSD!$Z$60:'TUSD'!$Z$109),IF($C$2&lt;&gt;"Não se aplica",SUMIF(TUSD!$C$60:'TUSD'!$C$109,$I$2,TUSD!$Z$60:'TUSD'!$Z$109),IF($B$2&lt;&gt;"Não se aplica",SUMIF(TUSD!$B$60:'TUSD'!$B$109,$I$2,TUSD!$Z$60:'TUSD'!$Z$109),SUMIF(TUSD!$A$60:'TUSD'!$A$109,$I$2,TUSD!$Z$60:'TUSD'!$Z$109)))))))</f>
        <v>0</v>
      </c>
      <c r="Q9" s="40">
        <f>IF($G$2&lt;&gt;"Não se aplica",SUMIF(TUSD!$G$60:'TUSD'!$G$109,$I$2,TUSD!$AA$60:'TUSD'!$AA$109),IF($F$2&lt;&gt;"Não se aplica",SUMIF(TUSD!$F$60:'TUSD'!$F$109,$I$2,TUSD!$AA$60:'TUSD'!$AA$109),IF($E$2&lt;&gt;"Não se aplica",SUMIF(TUSD!$E$60:'TUSD'!$E$109,$I$2,TUSD!$AA$60:'TUSD'!$AA$109),IF($D$2&lt;&gt;"Não se aplica",SUMIF(TUSD!$D$60:'TUSD'!$D$109,$I$2,TUSD!$AA$60:'TUSD'!$AA$109),IF($C$2&lt;&gt;"Não se aplica",SUMIF(TUSD!$C$60:'TUSD'!$C$109,$I$2,TUSD!$AA$60:'TUSD'!$AA$109),IF($B$2&lt;&gt;"Não se aplica",SUMIF(TUSD!$B$60:'TUSD'!$B$109,$I$2,TUSD!$AA$60:'TUSD'!$AA$109),SUMIF(TUSD!$A$60:'TUSD'!$A$109,$I$2,TUSD!$AA$60:'TUSD'!$AA$109)))))))</f>
        <v>7206598.7286102744</v>
      </c>
      <c r="R9" s="40">
        <f ca="1">IF($G$2&lt;&gt;"Não se aplica",SUMIF(TUSD!$G$60:'TUSD'!$G$109,$I$2,TUSD!$AB$60:'TUSD'!$AB$109),IF($F$2&lt;&gt;"Não se aplica",SUMIF(TUSD!$F$60:'TUSD'!$F$109,$I$2,TUSD!$AB$60:'TUSD'!$AB$109),IF($E$2&lt;&gt;"Não se aplica",SUMIF(TUSD!$E$60:'TUSD'!$E$109,$I$2,TUSD!$AB$60:'TUSD'!$AB$109),IF($D$2&lt;&gt;"Não se aplica",SUMIF(TUSD!$D$60:'TUSD'!$D$109,$I$2,TUSD!$AB$60:'TUSD'!$AB$109),IF($C$2&lt;&gt;"Não se aplica",SUMIF(TUSD!$C$60:'TUSD'!$C$109,$I$2,TUSD!$AB$60:'TUSD'!$AB$109),IF($B$2&lt;&gt;"Não se aplica",SUMIF(TUSD!$B$60:'TUSD'!$B$109,$I$2,TUSD!$AB$60:'TUSD'!$AB$109),SUMIF(TUSD!$A$60:'TUSD'!$A$109,$I$2,TUSD!$AB$60:'TUSD'!$AB$109)))))))</f>
        <v>0</v>
      </c>
      <c r="S9" s="40">
        <f ca="1">IF($G$2&lt;&gt;"Não se aplica",SUMIF(TUSD!$G$60:'TUSD'!$G$109,$I$2,TUSD!$AC$60:'TUSD'!$AC$109),IF($F$2&lt;&gt;"Não se aplica",SUMIF(TUSD!$F$60:'TUSD'!$F$109,$I$2,TUSD!$AC$60:'TUSD'!$AC$109),IF($E$2&lt;&gt;"Não se aplica",SUMIF(TUSD!$E$60:'TUSD'!$E$109,$I$2,TUSD!$AC$60:'TUSD'!$AC$109),IF($D$2&lt;&gt;"Não se aplica",SUMIF(TUSD!$D$60:'TUSD'!$D$109,$I$2,TUSD!$AC$60:'TUSD'!$AC$109),IF($C$2&lt;&gt;"Não se aplica",SUMIF(TUSD!$C$60:'TUSD'!$C$109,$I$2,TUSD!$AC$60:'TUSD'!$AC$109),IF($B$2&lt;&gt;"Não se aplica",SUMIF(TUSD!$B$60:'TUSD'!$B$109,$I$2,TUSD!$AC$60:'TUSD'!$AC$109),SUMIF(TUSD!$A$60:'TUSD'!$A$109,$I$2,TUSD!$AC$60:'TUSD'!$AC$109)))))))</f>
        <v>0</v>
      </c>
      <c r="T9" s="40">
        <f>IF($G$2&lt;&gt;"Não se aplica",SUMIF(TUSD!$G$60:'TUSD'!$G$109,$I$2,TUSD!$AD$60:'TUSD'!$AD$109),IF($F$2&lt;&gt;"Não se aplica",SUMIF(TUSD!$F$60:'TUSD'!$F$109,$I$2,TUSD!$AD$60:'TUSD'!$AD$109),IF($E$2&lt;&gt;"Não se aplica",SUMIF(TUSD!$E$60:'TUSD'!$E$109,$I$2,TUSD!$AD$60:'TUSD'!$AD$109),IF($D$2&lt;&gt;"Não se aplica",SUMIF(TUSD!$D$60:'TUSD'!$D$109,$I$2,TUSD!$AD$60:'TUSD'!$AD$109),IF($C$2&lt;&gt;"Não se aplica",SUMIF(TUSD!$C$60:'TUSD'!$C$109,$I$2,TUSD!$AD$60:'TUSD'!$AD$109),IF($B$2&lt;&gt;"Não se aplica",SUMIF(TUSD!$B$60:'TUSD'!$B$109,$I$2,TUSD!$AD$60:'TUSD'!$AD$109),SUMIF(TUSD!$A$60:'TUSD'!$A$109,$I$2,TUSD!$AD$60:'TUSD'!$AD$109)))))))</f>
        <v>458326.83035474923</v>
      </c>
      <c r="U9" s="40">
        <f>IF($G$2&lt;&gt;"Não se aplica",SUMIF(TUSD!$G$60:'TUSD'!$G$109,$I$2,TUSD!$AE$60:'TUSD'!$AE$109),IF($F$2&lt;&gt;"Não se aplica",SUMIF(TUSD!$F$60:'TUSD'!$F$109,$I$2,TUSD!$AE$60:'TUSD'!$AE$109),IF($E$2&lt;&gt;"Não se aplica",SUMIF(TUSD!$E$60:'TUSD'!$E$109,$I$2,TUSD!$AE$60:'TUSD'!$AE$109),IF($D$2&lt;&gt;"Não se aplica",SUMIF(TUSD!$D$60:'TUSD'!$D$109,$I$2,TUSD!$AE$60:'TUSD'!$AE$109),IF($C$2&lt;&gt;"Não se aplica",SUMIF(TUSD!$C$60:'TUSD'!$C$109,$I$2,TUSD!$AE$60:'TUSD'!$AE$109),IF($B$2&lt;&gt;"Não se aplica",SUMIF(TUSD!$B$60:'TUSD'!$B$109,$I$2,TUSD!$AE$60:'TUSD'!$AE$109),SUMIF(TUSD!$A$60:'TUSD'!$A$109,$I$2,TUSD!$AE$60:'TUSD'!$AE$109)))))))</f>
        <v>12579.59009106544</v>
      </c>
      <c r="V9" s="40">
        <f ca="1">IF($G$2&lt;&gt;"Não se aplica",SUMIF(TUSD!$G$60:'TUSD'!$G$109,$I$2,TUSD!$AF$60:'TUSD'!$AF$109),IF($F$2&lt;&gt;"Não se aplica",SUMIF(TUSD!$F$60:'TUSD'!$F$109,$I$2,TUSD!$AF$60:'TUSD'!$AF$109),IF($E$2&lt;&gt;"Não se aplica",SUMIF(TUSD!$E$60:'TUSD'!$E$109,$I$2,TUSD!$AF$60:'TUSD'!$AF$109),IF($D$2&lt;&gt;"Não se aplica",SUMIF(TUSD!$D$60:'TUSD'!$D$109,$I$2,TUSD!$AF$60:'TUSD'!$AF$109),IF($C$2&lt;&gt;"Não se aplica",SUMIF(TUSD!$C$60:'TUSD'!$C$109,$I$2,TUSD!$AF$60:'TUSD'!$AF$109),IF($B$2&lt;&gt;"Não se aplica",SUMIF(TUSD!$B$60:'TUSD'!$B$109,$I$2,TUSD!$AF$60:'TUSD'!$AF$109),SUMIF(TUSD!$A$60:'TUSD'!$A$109,$I$2,TUSD!$AF$60:'TUSD'!$AF$109)))))))</f>
        <v>0</v>
      </c>
      <c r="W9" s="40">
        <f ca="1">IF($G$2&lt;&gt;"Não se aplica",SUMIF(TUSD!$G$60:'TUSD'!$G$109,$I$2,TUSD!$AG$60:'TUSD'!$AG$109),IF($F$2&lt;&gt;"Não se aplica",SUMIF(TUSD!$F$60:'TUSD'!$F$109,$I$2,TUSD!$AG$60:'TUSD'!$AG$109),IF($E$2&lt;&gt;"Não se aplica",SUMIF(TUSD!$E$60:'TUSD'!$E$109,$I$2,TUSD!$AG$60:'TUSD'!$AG$109),IF($D$2&lt;&gt;"Não se aplica",SUMIF(TUSD!$D$60:'TUSD'!$D$109,$I$2,TUSD!$AG$60:'TUSD'!$AG$109),IF($C$2&lt;&gt;"Não se aplica",SUMIF(TUSD!$C$60:'TUSD'!$C$109,$I$2,TUSD!$AG$60:'TUSD'!$AG$109),IF($B$2&lt;&gt;"Não se aplica",SUMIF(TUSD!$B$60:'TUSD'!$B$109,$I$2,TUSD!$AG$60:'TUSD'!$AG$109),SUMIF(TUSD!$A$60:'TUSD'!$A$109,$I$2,TUSD!$AG$60:'TUSD'!$AG$109)))))))</f>
        <v>0</v>
      </c>
      <c r="X9" s="40">
        <f t="shared" ca="1" si="0"/>
        <v>16551533.680306032</v>
      </c>
      <c r="AD9" s="14" t="s">
        <v>45</v>
      </c>
    </row>
    <row r="10" spans="1:33" x14ac:dyDescent="0.2">
      <c r="A10" s="14" t="s">
        <v>1102</v>
      </c>
      <c r="B10" s="40">
        <f>SUMIF(TUSD!$A$60:'TUSD'!$A$109,$A$2,TUSD!$AI$60:'TUSD'!$AI$109)</f>
        <v>0</v>
      </c>
      <c r="C10" s="40">
        <f>SUMIF(TUSD!$A$60:'TUSD'!$A$109,$A$2,TUSD!$AJ$60:'TUSD'!$AJ$109)</f>
        <v>35898.267869213414</v>
      </c>
      <c r="D10" s="40">
        <f>SUMIF(TUSD!$A$60:'TUSD'!$A$109,$A$2,TUSD!$AK$60:'TUSD'!$AK$109)</f>
        <v>0</v>
      </c>
      <c r="E10" s="40">
        <f>SUMIF(TUSD!$A$60:'TUSD'!$A$109,$A$2,TUSD!$AL$60:'TUSD'!$AL$109)</f>
        <v>0</v>
      </c>
      <c r="F10" s="40">
        <f>SUMIF(TUSD!$A$60:'TUSD'!$A$109,$A$2,TUSD!$AM$60:'TUSD'!$AM$109)</f>
        <v>0</v>
      </c>
      <c r="G10" s="40">
        <f>SUMIF(TUSD!$A$60:'TUSD'!$A$109,$A$2,TUSD!$AN$60:'TUSD'!$AN$109)</f>
        <v>2358976.6130892374</v>
      </c>
      <c r="H10" s="40">
        <f>SUMIF(TUSD!$A$60:'TUSD'!$A$109,$A$2,TUSD!$AO$60:'TUSD'!$AO$109)</f>
        <v>421742.77999536257</v>
      </c>
      <c r="I10" s="40">
        <f>SUMIF(TUSD!$A$60:'TUSD'!$A$109,$A$2,TUSD!$AP$60:'TUSD'!$AP$109)</f>
        <v>0</v>
      </c>
      <c r="J10" s="40">
        <f>SUMIF(TUSD!$A$60:'TUSD'!$A$109,$A$2,TUSD!$AQ$60:'TUSD'!$AQ$109)</f>
        <v>0</v>
      </c>
      <c r="K10" s="40">
        <f>SUMIF(TUSD!$A$60:'TUSD'!$A$109,$A$2,TUSD!$AR$60:'TUSD'!$AR$109)</f>
        <v>0</v>
      </c>
      <c r="L10" s="40">
        <f>SUMIF(TUSD!$A$60:'TUSD'!$A$109,$A$2,TUSD!$AS$60:'TUSD'!$AS$109)</f>
        <v>0</v>
      </c>
      <c r="M10" s="40">
        <f>SUMIF(TUSD!$A$60:'TUSD'!$A$109,$A$2,TUSD!$AT$60:'TUSD'!$AT$109)</f>
        <v>0</v>
      </c>
      <c r="N10" s="40">
        <f>SUMIF(TUSD!$A$60:'TUSD'!$A$109,$A$2,TUSD!$AU$60:'TUSD'!$AU$109)</f>
        <v>3920115.6966199959</v>
      </c>
      <c r="O10" s="40">
        <f>SUMIF(TUSD!$A$60:'TUSD'!$A$109,$A$2,TUSD!$AV$60:'TUSD'!$AV$109)</f>
        <v>0</v>
      </c>
      <c r="P10" s="40">
        <f>SUMIF(TUSD!$A$60:'TUSD'!$A$109,$A$2,TUSD!$AW$60:'TUSD'!$AW$109)</f>
        <v>0</v>
      </c>
      <c r="Q10" s="40">
        <f>SUMIF(TUSD!$A$60:'TUSD'!$A$109,$A$2,TUSD!$AX$60:'TUSD'!$AX$109)</f>
        <v>6090424.0675936723</v>
      </c>
      <c r="R10" s="40">
        <f>SUMIF(TUSD!$A$60:'TUSD'!$A$109,$A$2,TUSD!$AY$60:'TUSD'!$AY$109)</f>
        <v>0</v>
      </c>
      <c r="S10" s="40">
        <f>SUMIF(TUSD!$A$60:'TUSD'!$A$109,$A$2,TUSD!$AZ$60:'TUSD'!$AZ$109)</f>
        <v>0</v>
      </c>
      <c r="T10" s="40">
        <f>SUMIF(TUSD!$A$60:'TUSD'!$A$109,$A$2,TUSD!$BA$60:'TUSD'!$BA$109)</f>
        <v>555059.72651228728</v>
      </c>
      <c r="U10" s="40">
        <f>SUMIF(TUSD!$A$60:'TUSD'!$A$109,$A$2,TUSD!$BB$60:'TUSD'!$BB$109)</f>
        <v>0</v>
      </c>
      <c r="V10" s="40">
        <f>SUMIF(TUSD!$A$60:'TUSD'!$A$109,$A$2,TUSD!$BC$60:'TUSD'!$BC$109)</f>
        <v>0</v>
      </c>
      <c r="W10" s="40">
        <f>SUMIF(TUSD!$A$60:'TUSD'!$A$109,$A$2,TUSD!$BD$60:'TUSD'!$BD$109)</f>
        <v>0</v>
      </c>
      <c r="X10" s="40">
        <f t="shared" si="0"/>
        <v>13382217.151679769</v>
      </c>
      <c r="AD10" s="14" t="s">
        <v>102</v>
      </c>
    </row>
    <row r="11" spans="1:33" x14ac:dyDescent="0.2">
      <c r="A11" s="14" t="s">
        <v>1103</v>
      </c>
      <c r="B11" s="40">
        <f>SUMIF(TUSD!$A$60:'TUSD'!$A$109,$A$2,TUSD!$L$60:'TUSD'!$L$109)</f>
        <v>0</v>
      </c>
      <c r="C11" s="40">
        <f>SUMIF(TUSD!$A$60:'TUSD'!$A$109,$A$2,TUSD!$M$60:'TUSD'!$M$109)</f>
        <v>44680.732389807039</v>
      </c>
      <c r="D11" s="40">
        <f ca="1">SUMIF(TUSD!$A$60:'TUSD'!$A$109,$A$2,TUSD!$N$60:'TUSD'!$N$109)</f>
        <v>0</v>
      </c>
      <c r="E11" s="40">
        <f>SUMIF(TUSD!$A$60:'TUSD'!$A$109,$A$2,TUSD!$O$60:'TUSD'!$O$109)</f>
        <v>0</v>
      </c>
      <c r="F11" s="40">
        <f>SUMIF(TUSD!$A$60:'TUSD'!$A$109,$A$2,TUSD!$P$60:'TUSD'!$P$109)</f>
        <v>0</v>
      </c>
      <c r="G11" s="40">
        <f>SUMIF(TUSD!$A$60:'TUSD'!$A$109,$A$2,TUSD!$Q$60:'TUSD'!$Q$109)</f>
        <v>3637343.1093675084</v>
      </c>
      <c r="H11" s="40">
        <f>SUMIF(TUSD!$A$60:'TUSD'!$A$109,$A$2,TUSD!$R$60:'TUSD'!$R$109)</f>
        <v>683292.5318367437</v>
      </c>
      <c r="I11" s="40">
        <f>SUMIF(TUSD!$A$60:'TUSD'!$A$109,$A$2,TUSD!$S$60:'TUSD'!$S$109)</f>
        <v>0</v>
      </c>
      <c r="J11" s="40">
        <f>SUMIF(TUSD!$A$60:'TUSD'!$A$109,$A$2,TUSD!$T$60:'TUSD'!$T$109)</f>
        <v>0</v>
      </c>
      <c r="K11" s="40">
        <f>SUMIF(TUSD!$A$60:'TUSD'!$A$109,$A$2,TUSD!$U$60:'TUSD'!$U$109)</f>
        <v>0</v>
      </c>
      <c r="L11" s="40">
        <f>SUMIF(TUSD!$A$60:'TUSD'!$A$109,$A$2,TUSD!$V$60:'TUSD'!$V$109)</f>
        <v>0</v>
      </c>
      <c r="M11" s="40">
        <f>SUMIF(TUSD!$A$60:'TUSD'!$A$109,$A$2,TUSD!$W$60:'TUSD'!$W$109)</f>
        <v>0</v>
      </c>
      <c r="N11" s="40">
        <f>SUMIF(TUSD!$A$60:'TUSD'!$A$109,$A$2,TUSD!$X$60:'TUSD'!$X$109)</f>
        <v>4508712.1576558845</v>
      </c>
      <c r="O11" s="40">
        <f>SUMIF(TUSD!$A$60:'TUSD'!$A$109,$A$2,TUSD!$Y$60:'TUSD'!$Y$109)</f>
        <v>0</v>
      </c>
      <c r="P11" s="40">
        <f>SUMIF(TUSD!$A$60:'TUSD'!$A$109,$A$2,TUSD!$Z$60:'TUSD'!$Z$109)</f>
        <v>0</v>
      </c>
      <c r="Q11" s="40">
        <f>SUMIF(TUSD!$A$60:'TUSD'!$A$109,$A$2,TUSD!$AA$60:'TUSD'!$AA$109)</f>
        <v>7206598.7286102744</v>
      </c>
      <c r="R11" s="40">
        <f ca="1">SUMIF(TUSD!$A$60:'TUSD'!$A$109,$A$2,TUSD!$AB$60:'TUSD'!$AB$109)</f>
        <v>0</v>
      </c>
      <c r="S11" s="40">
        <f ca="1">SUMIF(TUSD!$A$60:'TUSD'!$A$109,$A$2,TUSD!$AC$60:'TUSD'!$AC$109)</f>
        <v>0</v>
      </c>
      <c r="T11" s="40">
        <f>SUMIF(TUSD!$A$60:'TUSD'!$A$109,$A$2,TUSD!$AD$60:'TUSD'!$AD$109)</f>
        <v>458326.83035474923</v>
      </c>
      <c r="U11" s="40">
        <f>SUMIF(TUSD!$A$60:'TUSD'!$A$109,$A$2,TUSD!$AE$60:'TUSD'!$AE$109)</f>
        <v>12579.59009106544</v>
      </c>
      <c r="V11" s="40">
        <f ca="1">SUMIF(TUSD!$A$60:'TUSD'!$A$109,$A$2,TUSD!$AF$60:'TUSD'!$AF$109)</f>
        <v>0</v>
      </c>
      <c r="W11" s="40">
        <f ca="1">SUMIF(TUSD!$A$60:'TUSD'!$A$109,$A$2,TUSD!$AG$60:'TUSD'!$AG$109)</f>
        <v>0</v>
      </c>
      <c r="X11" s="40">
        <f t="shared" ca="1" si="0"/>
        <v>16551533.680306032</v>
      </c>
    </row>
    <row r="13" spans="1:33" x14ac:dyDescent="0.2">
      <c r="A13" s="14" t="s">
        <v>1107</v>
      </c>
      <c r="B13" s="59">
        <f t="shared" ref="B13:X13" si="1">IF($X$6&lt;&gt;0,(B$7-B$6)/$X$6,0)</f>
        <v>0</v>
      </c>
      <c r="C13" s="59">
        <f t="shared" si="1"/>
        <v>7.3218692566858205E-4</v>
      </c>
      <c r="D13" s="59">
        <f t="shared" ca="1" si="1"/>
        <v>0</v>
      </c>
      <c r="E13" s="59">
        <f t="shared" si="1"/>
        <v>0</v>
      </c>
      <c r="F13" s="59">
        <f t="shared" si="1"/>
        <v>0</v>
      </c>
      <c r="G13" s="59">
        <f t="shared" si="1"/>
        <v>0.10929826718532451</v>
      </c>
      <c r="H13" s="59">
        <f t="shared" si="1"/>
        <v>1.9062752078394217E-2</v>
      </c>
      <c r="I13" s="59">
        <f t="shared" si="1"/>
        <v>0</v>
      </c>
      <c r="J13" s="59">
        <f t="shared" si="1"/>
        <v>0</v>
      </c>
      <c r="K13" s="59">
        <f t="shared" si="1"/>
        <v>0</v>
      </c>
      <c r="L13" s="59">
        <f t="shared" si="1"/>
        <v>0</v>
      </c>
      <c r="M13" s="59">
        <f t="shared" si="1"/>
        <v>0</v>
      </c>
      <c r="N13" s="59">
        <f t="shared" si="1"/>
        <v>3.8225569625203633E-2</v>
      </c>
      <c r="O13" s="59">
        <f t="shared" si="1"/>
        <v>0</v>
      </c>
      <c r="P13" s="59">
        <f t="shared" si="1"/>
        <v>0</v>
      </c>
      <c r="Q13" s="59">
        <f t="shared" si="1"/>
        <v>9.7788936405194177E-2</v>
      </c>
      <c r="R13" s="59">
        <f t="shared" ca="1" si="1"/>
        <v>0</v>
      </c>
      <c r="S13" s="59">
        <f t="shared" ca="1" si="1"/>
        <v>0</v>
      </c>
      <c r="T13" s="59">
        <f t="shared" si="1"/>
        <v>-1.1489447587744429E-2</v>
      </c>
      <c r="U13" s="59">
        <f t="shared" si="1"/>
        <v>1.6484587206670653E-3</v>
      </c>
      <c r="V13" s="59">
        <f t="shared" ca="1" si="1"/>
        <v>0</v>
      </c>
      <c r="W13" s="59">
        <f t="shared" ca="1" si="1"/>
        <v>0</v>
      </c>
      <c r="X13" s="59">
        <f t="shared" ca="1" si="1"/>
        <v>0.25526672335270773</v>
      </c>
    </row>
    <row r="14" spans="1:33" x14ac:dyDescent="0.2">
      <c r="A14" s="14" t="s">
        <v>1108</v>
      </c>
      <c r="B14" s="59">
        <f t="shared" ref="B14:X14" si="2">IF($X$10&lt;&gt;0,(B$9-B$8)/$X$10,0)</f>
        <v>0</v>
      </c>
      <c r="C14" s="59">
        <f t="shared" si="2"/>
        <v>6.5627873326590193E-4</v>
      </c>
      <c r="D14" s="59">
        <f t="shared" ca="1" si="2"/>
        <v>0</v>
      </c>
      <c r="E14" s="59">
        <f t="shared" si="2"/>
        <v>0</v>
      </c>
      <c r="F14" s="59">
        <f t="shared" si="2"/>
        <v>0</v>
      </c>
      <c r="G14" s="59">
        <f t="shared" si="2"/>
        <v>9.5527256940215424E-2</v>
      </c>
      <c r="H14" s="59">
        <f t="shared" si="2"/>
        <v>1.9544575377672058E-2</v>
      </c>
      <c r="I14" s="59">
        <f t="shared" si="2"/>
        <v>0</v>
      </c>
      <c r="J14" s="59">
        <f t="shared" si="2"/>
        <v>0</v>
      </c>
      <c r="K14" s="59">
        <f t="shared" si="2"/>
        <v>0</v>
      </c>
      <c r="L14" s="59">
        <f t="shared" si="2"/>
        <v>0</v>
      </c>
      <c r="M14" s="59">
        <f t="shared" si="2"/>
        <v>0</v>
      </c>
      <c r="N14" s="59">
        <f t="shared" si="2"/>
        <v>4.398347854951723E-2</v>
      </c>
      <c r="O14" s="59">
        <f t="shared" si="2"/>
        <v>0</v>
      </c>
      <c r="P14" s="59">
        <f t="shared" si="2"/>
        <v>0</v>
      </c>
      <c r="Q14" s="59">
        <f t="shared" si="2"/>
        <v>8.3407304512055164E-2</v>
      </c>
      <c r="R14" s="59">
        <f t="shared" ca="1" si="2"/>
        <v>0</v>
      </c>
      <c r="S14" s="59">
        <f t="shared" ca="1" si="2"/>
        <v>0</v>
      </c>
      <c r="T14" s="59">
        <f t="shared" si="2"/>
        <v>-7.2284655869147884E-3</v>
      </c>
      <c r="U14" s="59">
        <f t="shared" si="2"/>
        <v>9.4002286381120474E-4</v>
      </c>
      <c r="V14" s="59">
        <f t="shared" ca="1" si="2"/>
        <v>0</v>
      </c>
      <c r="W14" s="59">
        <f t="shared" ca="1" si="2"/>
        <v>0</v>
      </c>
      <c r="X14" s="59">
        <f t="shared" ca="1" si="2"/>
        <v>0.23683045138962214</v>
      </c>
    </row>
    <row r="15" spans="1:33" x14ac:dyDescent="0.2">
      <c r="A15" s="14" t="s">
        <v>1109</v>
      </c>
      <c r="B15" s="59">
        <f t="shared" ref="B15:X15" si="3">IF($X$8&lt;&gt;0,(B$9-B$8)/$X$8,0)</f>
        <v>0</v>
      </c>
      <c r="C15" s="59">
        <f t="shared" si="3"/>
        <v>6.5627873326590193E-4</v>
      </c>
      <c r="D15" s="59">
        <f t="shared" ca="1" si="3"/>
        <v>0</v>
      </c>
      <c r="E15" s="59">
        <f t="shared" si="3"/>
        <v>0</v>
      </c>
      <c r="F15" s="59">
        <f t="shared" si="3"/>
        <v>0</v>
      </c>
      <c r="G15" s="59">
        <f t="shared" si="3"/>
        <v>9.5527256940215424E-2</v>
      </c>
      <c r="H15" s="59">
        <f t="shared" si="3"/>
        <v>1.9544575377672058E-2</v>
      </c>
      <c r="I15" s="59">
        <f t="shared" si="3"/>
        <v>0</v>
      </c>
      <c r="J15" s="59">
        <f t="shared" si="3"/>
        <v>0</v>
      </c>
      <c r="K15" s="59">
        <f t="shared" si="3"/>
        <v>0</v>
      </c>
      <c r="L15" s="59">
        <f t="shared" si="3"/>
        <v>0</v>
      </c>
      <c r="M15" s="59">
        <f t="shared" si="3"/>
        <v>0</v>
      </c>
      <c r="N15" s="59">
        <f t="shared" si="3"/>
        <v>4.398347854951723E-2</v>
      </c>
      <c r="O15" s="59">
        <f t="shared" si="3"/>
        <v>0</v>
      </c>
      <c r="P15" s="59">
        <f t="shared" si="3"/>
        <v>0</v>
      </c>
      <c r="Q15" s="59">
        <f t="shared" si="3"/>
        <v>8.3407304512055164E-2</v>
      </c>
      <c r="R15" s="59">
        <f t="shared" ca="1" si="3"/>
        <v>0</v>
      </c>
      <c r="S15" s="59">
        <f t="shared" ca="1" si="3"/>
        <v>0</v>
      </c>
      <c r="T15" s="59">
        <f t="shared" si="3"/>
        <v>-7.2284655869147884E-3</v>
      </c>
      <c r="U15" s="59">
        <f t="shared" si="3"/>
        <v>9.4002286381120474E-4</v>
      </c>
      <c r="V15" s="59">
        <f t="shared" ca="1" si="3"/>
        <v>0</v>
      </c>
      <c r="W15" s="59">
        <f t="shared" ca="1" si="3"/>
        <v>0</v>
      </c>
      <c r="X15" s="59">
        <f t="shared" ca="1" si="3"/>
        <v>0.23683045138962214</v>
      </c>
    </row>
  </sheetData>
  <dataValidations count="5">
    <dataValidation type="list" allowBlank="1" showInputMessage="1" showErrorMessage="1" error="Deve-se selecionar grupo válido" sqref="A2" xr:uid="{CAA064F6-4E0F-43F6-98F9-A095DC35F39B}">
      <formula1>AA1:AA6</formula1>
    </dataValidation>
    <dataValidation type="list" allowBlank="1" showInputMessage="1" showErrorMessage="1" error="Deve-se selecionar grupo válido" sqref="B2 G2" xr:uid="{F181BF84-5CC0-4881-8DFA-1EEACB8851B7}">
      <formula1>AB1:AB8</formula1>
    </dataValidation>
    <dataValidation type="list" allowBlank="1" showInputMessage="1" showErrorMessage="1" error="Deve-se selecionar grupo válido" sqref="C2 E2" xr:uid="{0D60988A-2884-426C-9CDB-6D9CB2A188B0}">
      <formula1>AC1:AC4</formula1>
    </dataValidation>
    <dataValidation type="list" allowBlank="1" showInputMessage="1" showErrorMessage="1" error="Deve-se selecionar grupo válido" sqref="D2" xr:uid="{059DDF73-BC8F-465C-82D3-480B8E67CC78}">
      <formula1>AD1:AD10</formula1>
    </dataValidation>
    <dataValidation type="list" allowBlank="1" showInputMessage="1" showErrorMessage="1" error="Deve-se selecionar grupo válido" sqref="F2" xr:uid="{476CA90E-0406-442D-BD8C-897C1A912C91}">
      <formula1>AF1:AF2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4478-E206-4649-A7FD-5A34B4650D88}">
  <sheetPr codeName="Planilha26"/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5" width="10.28515625" style="14" bestFit="1" customWidth="1"/>
    <col min="6" max="6" width="10.57031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15</v>
      </c>
      <c r="G1" s="14" t="s">
        <v>78</v>
      </c>
      <c r="I1" s="14" t="s">
        <v>1106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81</v>
      </c>
      <c r="AC2" s="14" t="s">
        <v>24</v>
      </c>
      <c r="AD2" s="14" t="s">
        <v>24</v>
      </c>
      <c r="AE2" s="14" t="s">
        <v>86</v>
      </c>
      <c r="AG2" s="14" t="s">
        <v>83</v>
      </c>
    </row>
    <row r="3" spans="1:33" x14ac:dyDescent="0.2">
      <c r="AA3" s="14" t="s">
        <v>40</v>
      </c>
      <c r="AB3" s="14" t="s">
        <v>85</v>
      </c>
      <c r="AC3" s="14" t="s">
        <v>41</v>
      </c>
      <c r="AD3" s="14" t="s">
        <v>29</v>
      </c>
      <c r="AG3" s="14" t="s">
        <v>84</v>
      </c>
    </row>
    <row r="4" spans="1:33" x14ac:dyDescent="0.2">
      <c r="AA4" s="14" t="s">
        <v>33</v>
      </c>
      <c r="AB4" s="14" t="s">
        <v>91</v>
      </c>
      <c r="AC4" s="14" t="s">
        <v>44</v>
      </c>
      <c r="AD4" s="14" t="s">
        <v>30</v>
      </c>
      <c r="AG4" s="14" t="s">
        <v>87</v>
      </c>
    </row>
    <row r="5" spans="1:33" x14ac:dyDescent="0.2">
      <c r="A5" s="14" t="s">
        <v>1099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502</v>
      </c>
      <c r="AA5" s="14" t="s">
        <v>43</v>
      </c>
      <c r="AB5" s="14" t="s">
        <v>96</v>
      </c>
      <c r="AD5" s="14" t="s">
        <v>31</v>
      </c>
      <c r="AG5" s="14" t="s">
        <v>95</v>
      </c>
    </row>
    <row r="6" spans="1:33" x14ac:dyDescent="0.2">
      <c r="A6" s="14" t="s">
        <v>1100</v>
      </c>
      <c r="B6" s="40">
        <f>SUM(TE!$X$50:'TE'!$X$89)</f>
        <v>0</v>
      </c>
      <c r="C6" s="40">
        <f>SUM(TE!$Y$50:'TE'!$Y$89)</f>
        <v>986936.42000758194</v>
      </c>
      <c r="D6" s="40">
        <f>SUM(TE!$Z$50:'TE'!$Z$89)</f>
        <v>0</v>
      </c>
      <c r="E6" s="40">
        <f>SUM(TE!$AA$50:'TE'!$AA$89)</f>
        <v>0</v>
      </c>
      <c r="F6" s="40">
        <f>SUM(TE!$AB$50:'TE'!$AB$89)</f>
        <v>0</v>
      </c>
      <c r="G6" s="40">
        <f>SUM(TE!$AC$50:'TE'!$AC$89)</f>
        <v>34344850.118044853</v>
      </c>
      <c r="H6" s="40">
        <f>SUM(TE!$AD$50:'TE'!$AD$89)</f>
        <v>0</v>
      </c>
      <c r="I6" s="40">
        <f>SUM(TE!$AE$50:'TE'!$AE$89)</f>
        <v>0</v>
      </c>
      <c r="J6" s="40">
        <f>SUM(TE!$AF$50:'TE'!$AF$89)</f>
        <v>0</v>
      </c>
      <c r="K6" s="40">
        <f>SUM(TE!$AG$50:'TE'!$AG$89)</f>
        <v>0</v>
      </c>
      <c r="L6" s="40">
        <f>SUM(TE!$AH$50:'TE'!$AH$89)</f>
        <v>0</v>
      </c>
      <c r="M6" s="40">
        <f t="shared" ref="M6:M11" si="0">SUM(B6:L6)</f>
        <v>35331786.538052432</v>
      </c>
      <c r="AB6" s="14" t="s">
        <v>98</v>
      </c>
      <c r="AD6" s="14" t="s">
        <v>32</v>
      </c>
    </row>
    <row r="7" spans="1:33" x14ac:dyDescent="0.2">
      <c r="A7" s="14" t="s">
        <v>1101</v>
      </c>
      <c r="B7" s="40">
        <f>SUM(TE!$L$50:'TE'!$L$89)</f>
        <v>0</v>
      </c>
      <c r="C7" s="40">
        <f>SUM(TE!$M$50:'TE'!$M$89)</f>
        <v>5356270.0645780405</v>
      </c>
      <c r="D7" s="40">
        <f>SUM(TE!$N$50:'TE'!$N$89)</f>
        <v>0</v>
      </c>
      <c r="E7" s="40">
        <f>SUM(TE!$O$50:'TE'!$O$89)</f>
        <v>0</v>
      </c>
      <c r="F7" s="40">
        <f>SUM(TE!$P$50:'TE'!$P$89)</f>
        <v>-2361594.6467940859</v>
      </c>
      <c r="G7" s="40">
        <f>SUM(TE!$Q$50:'TE'!$Q$89)</f>
        <v>25487044.428627189</v>
      </c>
      <c r="H7" s="40">
        <f>SUM(TE!$R$50:'TE'!$R$89)</f>
        <v>0</v>
      </c>
      <c r="I7" s="40">
        <f>SUM(TE!$S$50:'TE'!$S$89)</f>
        <v>0</v>
      </c>
      <c r="J7" s="40">
        <f>SUM(TE!$T$50:'TE'!$T$89)</f>
        <v>0</v>
      </c>
      <c r="K7" s="40">
        <f>SUM(TE!$U$50:'TE'!$U$89)</f>
        <v>0</v>
      </c>
      <c r="L7" s="40">
        <f>SUM(TE!$V$50:'TE'!$V$89)</f>
        <v>699536.50239757472</v>
      </c>
      <c r="M7" s="40">
        <f t="shared" si="0"/>
        <v>29181256.348808717</v>
      </c>
      <c r="AD7" s="14" t="s">
        <v>100</v>
      </c>
    </row>
    <row r="8" spans="1:33" x14ac:dyDescent="0.2">
      <c r="A8" s="14" t="s">
        <v>1104</v>
      </c>
      <c r="B8" s="40">
        <f>IF($G$2&lt;&gt;"Não se aplica",SUMIF(TE!$G$50:'TE'!$G$89,$I$2,TE!$X$50:'TE'!$X$89),IF($F$2&lt;&gt;"Não se aplica",SUMIF(TE!$F$50:'TE'!$F$89,$I$2,TE!$X$50:'TE'!$X$89),IF($E$2&lt;&gt;"Não se aplica",SUMIF(TE!$E$50:'TE'!$E$89,$I$2,TE!$X$50:'TE'!$X$89),IF($D$2&lt;&gt;"Não se aplica",SUMIF(TE!$D$50:'TE'!$D$89,$I$2,TE!$X$50:'TE'!$X$89),IF($C$2&lt;&gt;"Não se aplica",SUMIF(TE!$C$50:'TE'!$C$89,$I$2,TE!$X$50:'TE'!$X$89),IF($B$2&lt;&gt;"Não se aplica",SUMIF(TE!$B$50:'TE'!$B$89,$I$2,TE!$X$50:'TE'!$X$89),SUMIF(TE!$A$50:'TE'!$A$89,$I$2,TE!$X$50:'TE'!$X$89)))))))</f>
        <v>0</v>
      </c>
      <c r="C8" s="40">
        <f>IF($G$2&lt;&gt;"Não se aplica",SUMIF(TE!$G$50:'TE'!$G$89,$I$2,TE!$Y$50:'TE'!$Y$89),IF($F$2&lt;&gt;"Não se aplica",SUMIF(TE!$F$50:'TE'!$F$89,$I$2,TE!$Y$50:'TE'!$Y$89),IF($E$2&lt;&gt;"Não se aplica",SUMIF(TE!$E$50:'TE'!$E$89,$I$2,TE!$Y$50:'TE'!$Y$89),IF($D$2&lt;&gt;"Não se aplica",SUMIF(TE!$D$50:'TE'!$D$89,$I$2,TE!$Y$50:'TE'!$Y$89),IF($C$2&lt;&gt;"Não se aplica",SUMIF(TE!$C$50:'TE'!$C$89,$I$2,TE!$Y$50:'TE'!$Y$89),IF($B$2&lt;&gt;"Não se aplica",SUMIF(TE!$B$50:'TE'!$B$89,$I$2,TE!$Y$50:'TE'!$Y$89),SUMIF(TE!$A$50:'TE'!$A$89,$I$2,TE!$Y$50:'TE'!$Y$89)))))))</f>
        <v>419731.7232922063</v>
      </c>
      <c r="D8" s="40">
        <f>IF($G$2&lt;&gt;"Não se aplica",SUMIF(TE!$G$50:'TE'!$G$89,$I$2,TE!$Z$50:'TE'!$Z$89),IF($F$2&lt;&gt;"Não se aplica",SUMIF(TE!$F$50:'TE'!$F$89,$I$2,TE!$Z$50:'TE'!$Z$89),IF($E$2&lt;&gt;"Não se aplica",SUMIF(TE!$E$50:'TE'!$E$89,$I$2,TE!$Z$50:'TE'!$Z$89),IF($D$2&lt;&gt;"Não se aplica",SUMIF(TE!$D$50:'TE'!$D$89,$I$2,TE!$Z$50:'TE'!$Z$89),IF($C$2&lt;&gt;"Não se aplica",SUMIF(TE!$C$50:'TE'!$C$89,$I$2,TE!$Z$50:'TE'!$Z$89),IF($B$2&lt;&gt;"Não se aplica",SUMIF(TE!$B$50:'TE'!$B$89,$I$2,TE!$Z$50:'TE'!$Z$89),SUMIF(TE!$A$50:'TE'!$A$89,$I$2,TE!$Z$50:'TE'!$Z$89)))))))</f>
        <v>0</v>
      </c>
      <c r="E8" s="40">
        <f>IF($G$2&lt;&gt;"Não se aplica",SUMIF(TE!$G$50:'TE'!$G$89,$I$2,TE!$AA$50:'TE'!$AA$89),IF($F$2&lt;&gt;"Não se aplica",SUMIF(TE!$F$50:'TE'!$F$89,$I$2,TE!$AA$50:'TE'!$AA$89),IF($E$2&lt;&gt;"Não se aplica",SUMIF(TE!$E$50:'TE'!$E$89,$I$2,TE!$AA$50:'TE'!$AA$89),IF($D$2&lt;&gt;"Não se aplica",SUMIF(TE!$D$50:'TE'!$D$89,$I$2,TE!$AA$50:'TE'!$AA$89),IF($C$2&lt;&gt;"Não se aplica",SUMIF(TE!$C$50:'TE'!$C$89,$I$2,TE!$AA$50:'TE'!$AA$89),IF($B$2&lt;&gt;"Não se aplica",SUMIF(TE!$B$50:'TE'!$B$89,$I$2,TE!$AA$50:'TE'!$AA$89),SUMIF(TE!$A$50:'TE'!$A$89,$I$2,TE!$AA$50:'TE'!$AA$89)))))))</f>
        <v>0</v>
      </c>
      <c r="F8" s="40">
        <f>IF($G$2&lt;&gt;"Não se aplica",SUMIF(TE!$G$50:'TE'!$G$89,$I$2,TE!$AB$50:'TE'!$AB$89),IF($F$2&lt;&gt;"Não se aplica",SUMIF(TE!$F$50:'TE'!$F$89,$I$2,TE!$AB$50:'TE'!$AB$89),IF($E$2&lt;&gt;"Não se aplica",SUMIF(TE!$E$50:'TE'!$E$89,$I$2,TE!$AB$50:'TE'!$AB$89),IF($D$2&lt;&gt;"Não se aplica",SUMIF(TE!$D$50:'TE'!$D$89,$I$2,TE!$AB$50:'TE'!$AB$89),IF($C$2&lt;&gt;"Não se aplica",SUMIF(TE!$C$50:'TE'!$C$89,$I$2,TE!$AB$50:'TE'!$AB$89),IF($B$2&lt;&gt;"Não se aplica",SUMIF(TE!$B$50:'TE'!$B$89,$I$2,TE!$AB$50:'TE'!$AB$89),SUMIF(TE!$A$50:'TE'!$A$89,$I$2,TE!$AB$50:'TE'!$AB$89)))))))</f>
        <v>0</v>
      </c>
      <c r="G8" s="40">
        <f>IF($G$2&lt;&gt;"Não se aplica",SUMIF(TE!$G$50:'TE'!$G$89,$I$2,TE!$AC$50:'TE'!$AC$89),IF($F$2&lt;&gt;"Não se aplica",SUMIF(TE!$F$50:'TE'!$F$89,$I$2,TE!$AC$50:'TE'!$AC$89),IF($E$2&lt;&gt;"Não se aplica",SUMIF(TE!$E$50:'TE'!$E$89,$I$2,TE!$AC$50:'TE'!$AC$89),IF($D$2&lt;&gt;"Não se aplica",SUMIF(TE!$D$50:'TE'!$D$89,$I$2,TE!$AC$50:'TE'!$AC$89),IF($C$2&lt;&gt;"Não se aplica",SUMIF(TE!$C$50:'TE'!$C$89,$I$2,TE!$AC$50:'TE'!$AC$89),IF($B$2&lt;&gt;"Não se aplica",SUMIF(TE!$B$50:'TE'!$B$89,$I$2,TE!$AC$50:'TE'!$AC$89),SUMIF(TE!$A$50:'TE'!$A$89,$I$2,TE!$AC$50:'TE'!$AC$89)))))))</f>
        <v>14601889.293368043</v>
      </c>
      <c r="H8" s="40">
        <f>IF($G$2&lt;&gt;"Não se aplica",SUMIF(TE!$G$50:'TE'!$G$89,$I$2,TE!$AD$50:'TE'!$AD$89),IF($F$2&lt;&gt;"Não se aplica",SUMIF(TE!$F$50:'TE'!$F$89,$I$2,TE!$AD$50:'TE'!$AD$89),IF($E$2&lt;&gt;"Não se aplica",SUMIF(TE!$E$50:'TE'!$E$89,$I$2,TE!$AD$50:'TE'!$AD$89),IF($D$2&lt;&gt;"Não se aplica",SUMIF(TE!$D$50:'TE'!$D$89,$I$2,TE!$AD$50:'TE'!$AD$89),IF($C$2&lt;&gt;"Não se aplica",SUMIF(TE!$C$50:'TE'!$C$89,$I$2,TE!$AD$50:'TE'!$AD$89),IF($B$2&lt;&gt;"Não se aplica",SUMIF(TE!$B$50:'TE'!$B$89,$I$2,TE!$AD$50:'TE'!$AD$89),SUMIF(TE!$A$50:'TE'!$A$89,$I$2,TE!$AD$50:'TE'!$AD$89)))))))</f>
        <v>0</v>
      </c>
      <c r="I8" s="40">
        <f>IF($G$2&lt;&gt;"Não se aplica",SUMIF(TE!$G$50:'TE'!$G$89,$I$2,TE!$AE$50:'TE'!$AE$89),IF($F$2&lt;&gt;"Não se aplica",SUMIF(TE!$F$50:'TE'!$F$89,$I$2,TE!$AE$50:'TE'!$AE$89),IF($E$2&lt;&gt;"Não se aplica",SUMIF(TE!$E$50:'TE'!$E$89,$I$2,TE!$AE$50:'TE'!$AE$89),IF($D$2&lt;&gt;"Não se aplica",SUMIF(TE!$D$50:'TE'!$D$89,$I$2,TE!$AE$50:'TE'!$AE$89),IF($C$2&lt;&gt;"Não se aplica",SUMIF(TE!$C$50:'TE'!$C$89,$I$2,TE!$AE$50:'TE'!$AE$89),IF($B$2&lt;&gt;"Não se aplica",SUMIF(TE!$B$50:'TE'!$B$89,$I$2,TE!$AE$50:'TE'!$AE$89),SUMIF(TE!$A$50:'TE'!$A$89,$I$2,TE!$AE$50:'TE'!$AE$89)))))))</f>
        <v>0</v>
      </c>
      <c r="J8" s="40">
        <f>IF($G$2&lt;&gt;"Não se aplica",SUMIF(TE!$G$50:'TE'!$G$89,$I$2,TE!$AF$50:'TE'!$AF$89),IF($F$2&lt;&gt;"Não se aplica",SUMIF(TE!$F$50:'TE'!$F$89,$I$2,TE!$AF$50:'TE'!$AF$89),IF($E$2&lt;&gt;"Não se aplica",SUMIF(TE!$E$50:'TE'!$E$89,$I$2,TE!$AF$50:'TE'!$AF$89),IF($D$2&lt;&gt;"Não se aplica",SUMIF(TE!$D$50:'TE'!$D$89,$I$2,TE!$AF$50:'TE'!$AF$89),IF($C$2&lt;&gt;"Não se aplica",SUMIF(TE!$C$50:'TE'!$C$89,$I$2,TE!$AF$50:'TE'!$AF$89),IF($B$2&lt;&gt;"Não se aplica",SUMIF(TE!$B$50:'TE'!$B$89,$I$2,TE!$AF$50:'TE'!$AF$89),SUMIF(TE!$A$50:'TE'!$A$89,$I$2,TE!$AF$50:'TE'!$AF$89)))))))</f>
        <v>0</v>
      </c>
      <c r="K8" s="40">
        <f>IF($G$2&lt;&gt;"Não se aplica",SUMIF(TE!$G$50:'TE'!$G$89,$I$2,TE!$AG$50:'TE'!$AG$89),IF($F$2&lt;&gt;"Não se aplica",SUMIF(TE!$F$50:'TE'!$F$89,$I$2,TE!$AG$50:'TE'!$AG$89),IF($E$2&lt;&gt;"Não se aplica",SUMIF(TE!$E$50:'TE'!$E$89,$I$2,TE!$AG$50:'TE'!$AG$89),IF($D$2&lt;&gt;"Não se aplica",SUMIF(TE!$D$50:'TE'!$D$89,$I$2,TE!$AG$50:'TE'!$AG$89),IF($C$2&lt;&gt;"Não se aplica",SUMIF(TE!$C$50:'TE'!$C$89,$I$2,TE!$AG$50:'TE'!$AG$89),IF($B$2&lt;&gt;"Não se aplica",SUMIF(TE!$B$50:'TE'!$B$89,$I$2,TE!$AG$50:'TE'!$AG$89),SUMIF(TE!$A$50:'TE'!$A$89,$I$2,TE!$AG$50:'TE'!$AG$89)))))))</f>
        <v>0</v>
      </c>
      <c r="L8" s="40">
        <f>IF($G$2&lt;&gt;"Não se aplica",SUMIF(TE!$G$50:'TE'!$G$89,$I$2,TE!$AH$50:'TE'!$AH$89),IF($F$2&lt;&gt;"Não se aplica",SUMIF(TE!$F$50:'TE'!$F$89,$I$2,TE!$AH$50:'TE'!$AH$89),IF($E$2&lt;&gt;"Não se aplica",SUMIF(TE!$E$50:'TE'!$E$89,$I$2,TE!$AH$50:'TE'!$AH$89),IF($D$2&lt;&gt;"Não se aplica",SUMIF(TE!$D$50:'TE'!$D$89,$I$2,TE!$AH$50:'TE'!$AH$89),IF($C$2&lt;&gt;"Não se aplica",SUMIF(TE!$C$50:'TE'!$C$89,$I$2,TE!$AH$50:'TE'!$AH$89),IF($B$2&lt;&gt;"Não se aplica",SUMIF(TE!$B$50:'TE'!$B$89,$I$2,TE!$AH$50:'TE'!$AH$89),SUMIF(TE!$A$50:'TE'!$A$89,$I$2,TE!$AH$50:'TE'!$AH$89)))))))</f>
        <v>0</v>
      </c>
      <c r="M8" s="40">
        <f t="shared" si="0"/>
        <v>15021621.016660249</v>
      </c>
      <c r="AD8" s="14" t="s">
        <v>101</v>
      </c>
    </row>
    <row r="9" spans="1:33" x14ac:dyDescent="0.2">
      <c r="A9" s="14" t="s">
        <v>1105</v>
      </c>
      <c r="B9" s="40">
        <f>IF($G$2&lt;&gt;"Não se aplica",SUMIF(TE!$G$50:'TE'!$G$89,$I$2,TE!$L$50:'TE'!$L$89),IF($F$2&lt;&gt;"Não se aplica",SUMIF(TE!$F$50:'TE'!$F$89,$I$2,TE!$L$50:'TE'!$L$89),IF($E$2&lt;&gt;"Não se aplica",SUMIF(TE!$E$50:'TE'!$E$89,$I$2,TE!$L$50:'TE'!$L$89),IF($D$2&lt;&gt;"Não se aplica",SUMIF(TE!$D$50:'TE'!$D$89,$I$2,TE!$L$50:'TE'!$L$89),IF($C$2&lt;&gt;"Não se aplica",SUMIF(TE!$C$50:'TE'!$C$89,$I$2,TE!$L$50:'TE'!$L$89),IF($B$2&lt;&gt;"Não se aplica",SUMIF(TE!$B$50:'TE'!$B$89,$I$2,TE!$L$50:'TE'!$L$89),SUMIF(TE!$A$50:'TE'!$A$89,$I$2,TE!$L$50:'TE'!$L$89)))))))</f>
        <v>0</v>
      </c>
      <c r="C9" s="40">
        <f>IF($G$2&lt;&gt;"Não se aplica",SUMIF(TE!$G$50:'TE'!$G$89,$I$2,TE!$M$50:'TE'!$M$89),IF($F$2&lt;&gt;"Não se aplica",SUMIF(TE!$F$50:'TE'!$F$89,$I$2,TE!$M$50:'TE'!$M$89),IF($E$2&lt;&gt;"Não se aplica",SUMIF(TE!$E$50:'TE'!$E$89,$I$2,TE!$M$50:'TE'!$M$89),IF($D$2&lt;&gt;"Não se aplica",SUMIF(TE!$D$50:'TE'!$D$89,$I$2,TE!$M$50:'TE'!$M$89),IF($C$2&lt;&gt;"Não se aplica",SUMIF(TE!$C$50:'TE'!$C$89,$I$2,TE!$M$50:'TE'!$M$89),IF($B$2&lt;&gt;"Não se aplica",SUMIF(TE!$B$50:'TE'!$B$89,$I$2,TE!$M$50:'TE'!$M$89),SUMIF(TE!$A$50:'TE'!$A$89,$I$2,TE!$M$50:'TE'!$M$89)))))))</f>
        <v>2251132.9987532427</v>
      </c>
      <c r="D9" s="40">
        <f>IF($G$2&lt;&gt;"Não se aplica",SUMIF(TE!$G$50:'TE'!$G$89,$I$2,TE!$N$50:'TE'!$N$89),IF($F$2&lt;&gt;"Não se aplica",SUMIF(TE!$F$50:'TE'!$F$89,$I$2,TE!$N$50:'TE'!$N$89),IF($E$2&lt;&gt;"Não se aplica",SUMIF(TE!$E$50:'TE'!$E$89,$I$2,TE!$N$50:'TE'!$N$89),IF($D$2&lt;&gt;"Não se aplica",SUMIF(TE!$D$50:'TE'!$D$89,$I$2,TE!$N$50:'TE'!$N$89),IF($C$2&lt;&gt;"Não se aplica",SUMIF(TE!$C$50:'TE'!$C$89,$I$2,TE!$N$50:'TE'!$N$89),IF($B$2&lt;&gt;"Não se aplica",SUMIF(TE!$B$50:'TE'!$B$89,$I$2,TE!$N$50:'TE'!$N$89),SUMIF(TE!$A$50:'TE'!$A$89,$I$2,TE!$N$50:'TE'!$N$89)))))))</f>
        <v>0</v>
      </c>
      <c r="E9" s="40">
        <f>IF($G$2&lt;&gt;"Não se aplica",SUMIF(TE!$G$50:'TE'!$G$89,$I$2,TE!$O$50:'TE'!$O$89),IF($F$2&lt;&gt;"Não se aplica",SUMIF(TE!$F$50:'TE'!$F$89,$I$2,TE!$O$50:'TE'!$O$89),IF($E$2&lt;&gt;"Não se aplica",SUMIF(TE!$E$50:'TE'!$E$89,$I$2,TE!$O$50:'TE'!$O$89),IF($D$2&lt;&gt;"Não se aplica",SUMIF(TE!$D$50:'TE'!$D$89,$I$2,TE!$O$50:'TE'!$O$89),IF($C$2&lt;&gt;"Não se aplica",SUMIF(TE!$C$50:'TE'!$C$89,$I$2,TE!$O$50:'TE'!$O$89),IF($B$2&lt;&gt;"Não se aplica",SUMIF(TE!$B$50:'TE'!$B$89,$I$2,TE!$O$50:'TE'!$O$89),SUMIF(TE!$A$50:'TE'!$A$89,$I$2,TE!$O$50:'TE'!$O$89)))))))</f>
        <v>0</v>
      </c>
      <c r="F9" s="40">
        <f>IF($G$2&lt;&gt;"Não se aplica",SUMIF(TE!$G$50:'TE'!$G$89,$I$2,TE!$P$50:'TE'!$P$89),IF($F$2&lt;&gt;"Não se aplica",SUMIF(TE!$F$50:'TE'!$F$89,$I$2,TE!$P$50:'TE'!$P$89),IF($E$2&lt;&gt;"Não se aplica",SUMIF(TE!$E$50:'TE'!$E$89,$I$2,TE!$P$50:'TE'!$P$89),IF($D$2&lt;&gt;"Não se aplica",SUMIF(TE!$D$50:'TE'!$D$89,$I$2,TE!$P$50:'TE'!$P$89),IF($C$2&lt;&gt;"Não se aplica",SUMIF(TE!$C$50:'TE'!$C$89,$I$2,TE!$P$50:'TE'!$P$89),IF($B$2&lt;&gt;"Não se aplica",SUMIF(TE!$B$50:'TE'!$B$89,$I$2,TE!$P$50:'TE'!$P$89),SUMIF(TE!$A$50:'TE'!$A$89,$I$2,TE!$P$50:'TE'!$P$89)))))))</f>
        <v>-992530.91703395732</v>
      </c>
      <c r="G9" s="40">
        <f>IF($G$2&lt;&gt;"Não se aplica",SUMIF(TE!$G$50:'TE'!$G$89,$I$2,TE!$Q$50:'TE'!$Q$89),IF($F$2&lt;&gt;"Não se aplica",SUMIF(TE!$F$50:'TE'!$F$89,$I$2,TE!$Q$50:'TE'!$Q$89),IF($E$2&lt;&gt;"Não se aplica",SUMIF(TE!$E$50:'TE'!$E$89,$I$2,TE!$Q$50:'TE'!$Q$89),IF($D$2&lt;&gt;"Não se aplica",SUMIF(TE!$D$50:'TE'!$D$89,$I$2,TE!$Q$50:'TE'!$Q$89),IF($C$2&lt;&gt;"Não se aplica",SUMIF(TE!$C$50:'TE'!$C$89,$I$2,TE!$Q$50:'TE'!$Q$89),IF($B$2&lt;&gt;"Não se aplica",SUMIF(TE!$B$50:'TE'!$B$89,$I$2,TE!$Q$50:'TE'!$Q$89),SUMIF(TE!$A$50:'TE'!$A$89,$I$2,TE!$Q$50:'TE'!$Q$89)))))))</f>
        <v>10712443.142341768</v>
      </c>
      <c r="H9" s="40">
        <f>IF($G$2&lt;&gt;"Não se aplica",SUMIF(TE!$G$50:'TE'!$G$89,$I$2,TE!$R$50:'TE'!$R$89),IF($F$2&lt;&gt;"Não se aplica",SUMIF(TE!$F$50:'TE'!$F$89,$I$2,TE!$R$50:'TE'!$R$89),IF($E$2&lt;&gt;"Não se aplica",SUMIF(TE!$E$50:'TE'!$E$89,$I$2,TE!$R$50:'TE'!$R$89),IF($D$2&lt;&gt;"Não se aplica",SUMIF(TE!$D$50:'TE'!$D$89,$I$2,TE!$R$50:'TE'!$R$89),IF($C$2&lt;&gt;"Não se aplica",SUMIF(TE!$C$50:'TE'!$C$89,$I$2,TE!$R$50:'TE'!$R$89),IF($B$2&lt;&gt;"Não se aplica",SUMIF(TE!$B$50:'TE'!$B$89,$I$2,TE!$R$50:'TE'!$R$89),SUMIF(TE!$A$50:'TE'!$A$89,$I$2,TE!$R$50:'TE'!$R$89)))))))</f>
        <v>0</v>
      </c>
      <c r="I9" s="40">
        <f>IF($G$2&lt;&gt;"Não se aplica",SUMIF(TE!$G$50:'TE'!$G$89,$I$2,TE!$S$50:'TE'!$S$89),IF($F$2&lt;&gt;"Não se aplica",SUMIF(TE!$F$50:'TE'!$F$89,$I$2,TE!$S$50:'TE'!$S$89),IF($E$2&lt;&gt;"Não se aplica",SUMIF(TE!$E$50:'TE'!$E$89,$I$2,TE!$S$50:'TE'!$S$89),IF($D$2&lt;&gt;"Não se aplica",SUMIF(TE!$D$50:'TE'!$D$89,$I$2,TE!$S$50:'TE'!$S$89),IF($C$2&lt;&gt;"Não se aplica",SUMIF(TE!$C$50:'TE'!$C$89,$I$2,TE!$S$50:'TE'!$S$89),IF($B$2&lt;&gt;"Não se aplica",SUMIF(TE!$B$50:'TE'!$B$89,$I$2,TE!$S$50:'TE'!$S$89),SUMIF(TE!$A$50:'TE'!$A$89,$I$2,TE!$S$50:'TE'!$S$89)))))))</f>
        <v>0</v>
      </c>
      <c r="J9" s="40">
        <f>IF($G$2&lt;&gt;"Não se aplica",SUMIF(TE!$G$50:'TE'!$G$89,$I$2,TE!$T$50:'TE'!$T$89),IF($F$2&lt;&gt;"Não se aplica",SUMIF(TE!$F$50:'TE'!$F$89,$I$2,TE!$T$50:'TE'!$T$89),IF($E$2&lt;&gt;"Não se aplica",SUMIF(TE!$E$50:'TE'!$E$89,$I$2,TE!$T$50:'TE'!$T$89),IF($D$2&lt;&gt;"Não se aplica",SUMIF(TE!$D$50:'TE'!$D$89,$I$2,TE!$T$50:'TE'!$T$89),IF($C$2&lt;&gt;"Não se aplica",SUMIF(TE!$C$50:'TE'!$C$89,$I$2,TE!$T$50:'TE'!$T$89),IF($B$2&lt;&gt;"Não se aplica",SUMIF(TE!$B$50:'TE'!$B$89,$I$2,TE!$T$50:'TE'!$T$89),SUMIF(TE!$A$50:'TE'!$A$89,$I$2,TE!$T$50:'TE'!$T$89)))))))</f>
        <v>0</v>
      </c>
      <c r="K9" s="40">
        <f>IF($G$2&lt;&gt;"Não se aplica",SUMIF(TE!$G$50:'TE'!$G$89,$I$2,TE!$U$50:'TE'!$U$89),IF($F$2&lt;&gt;"Não se aplica",SUMIF(TE!$F$50:'TE'!$F$89,$I$2,TE!$U$50:'TE'!$U$89),IF($E$2&lt;&gt;"Não se aplica",SUMIF(TE!$E$50:'TE'!$E$89,$I$2,TE!$U$50:'TE'!$U$89),IF($D$2&lt;&gt;"Não se aplica",SUMIF(TE!$D$50:'TE'!$D$89,$I$2,TE!$U$50:'TE'!$U$89),IF($C$2&lt;&gt;"Não se aplica",SUMIF(TE!$C$50:'TE'!$C$89,$I$2,TE!$U$50:'TE'!$U$89),IF($B$2&lt;&gt;"Não se aplica",SUMIF(TE!$B$50:'TE'!$B$89,$I$2,TE!$U$50:'TE'!$U$89),SUMIF(TE!$A$50:'TE'!$A$89,$I$2,TE!$U$50:'TE'!$U$89)))))))</f>
        <v>0</v>
      </c>
      <c r="L9" s="40">
        <f>IF($G$2&lt;&gt;"Não se aplica",SUMIF(TE!$G$50:'TE'!$G$89,$I$2,TE!$V$50:'TE'!$V$89),IF($F$2&lt;&gt;"Não se aplica",SUMIF(TE!$F$50:'TE'!$F$89,$I$2,TE!$V$50:'TE'!$V$89),IF($E$2&lt;&gt;"Não se aplica",SUMIF(TE!$E$50:'TE'!$E$89,$I$2,TE!$V$50:'TE'!$V$89),IF($D$2&lt;&gt;"Não se aplica",SUMIF(TE!$D$50:'TE'!$D$89,$I$2,TE!$V$50:'TE'!$V$89),IF($C$2&lt;&gt;"Não se aplica",SUMIF(TE!$C$50:'TE'!$C$89,$I$2,TE!$V$50:'TE'!$V$89),IF($B$2&lt;&gt;"Não se aplica",SUMIF(TE!$B$50:'TE'!$B$89,$I$2,TE!$V$50:'TE'!$V$89),SUMIF(TE!$A$50:'TE'!$A$89,$I$2,TE!$V$50:'TE'!$V$89)))))))</f>
        <v>294001.17719860788</v>
      </c>
      <c r="M9" s="40">
        <f t="shared" si="0"/>
        <v>12265046.401259661</v>
      </c>
      <c r="AD9" s="14" t="s">
        <v>45</v>
      </c>
    </row>
    <row r="10" spans="1:33" x14ac:dyDescent="0.2">
      <c r="A10" s="14" t="s">
        <v>1102</v>
      </c>
      <c r="B10" s="40">
        <f>SUMIF(TE!$A$50:'TE'!$A$89,$A$2,TE!$X$50:'TE'!$X$89)</f>
        <v>0</v>
      </c>
      <c r="C10" s="40">
        <f>SUMIF(TE!$A$50:'TE'!$A$89,$A$2,TE!$Y$50:'TE'!$Y$89)</f>
        <v>419731.7232922063</v>
      </c>
      <c r="D10" s="40">
        <f>SUMIF(TE!$A$50:'TE'!$A$89,$A$2,TE!$Z$50:'TE'!$Z$89)</f>
        <v>0</v>
      </c>
      <c r="E10" s="40">
        <f>SUMIF(TE!$A$50:'TE'!$A$89,$A$2,TE!$AA$50:'TE'!$AA$89)</f>
        <v>0</v>
      </c>
      <c r="F10" s="40">
        <f>SUMIF(TE!$A$50:'TE'!$A$89,$A$2,TE!$AB$50:'TE'!$AB$89)</f>
        <v>0</v>
      </c>
      <c r="G10" s="40">
        <f>SUMIF(TE!$A$50:'TE'!$A$89,$A$2,TE!$AC$50:'TE'!$AC$89)</f>
        <v>14601889.293368043</v>
      </c>
      <c r="H10" s="40">
        <f>SUMIF(TE!$A$50:'TE'!$A$89,$A$2,TE!$AD$50:'TE'!$AD$89)</f>
        <v>0</v>
      </c>
      <c r="I10" s="40">
        <f>SUMIF(TE!$A$50:'TE'!$A$89,$A$2,TE!$AE$50:'TE'!$AE$89)</f>
        <v>0</v>
      </c>
      <c r="J10" s="40">
        <f>SUMIF(TE!$A$50:'TE'!$A$89,$A$2,TE!$AF$50:'TE'!$AF$89)</f>
        <v>0</v>
      </c>
      <c r="K10" s="40">
        <f>SUMIF(TE!$A$50:'TE'!$A$89,$A$2,TE!$AG$50:'TE'!$AG$89)</f>
        <v>0</v>
      </c>
      <c r="L10" s="40">
        <f>SUMIF(TE!$A$50:'TE'!$A$89,$A$2,TE!$AH$50:'TE'!$AH$89)</f>
        <v>0</v>
      </c>
      <c r="M10" s="40">
        <f t="shared" si="0"/>
        <v>15021621.016660249</v>
      </c>
      <c r="AD10" s="14" t="s">
        <v>102</v>
      </c>
    </row>
    <row r="11" spans="1:33" x14ac:dyDescent="0.2">
      <c r="A11" s="14" t="s">
        <v>1103</v>
      </c>
      <c r="B11" s="40">
        <f>SUMIF(TE!$A$50:'TE'!$A$89,$A$2,TE!$L$50:'TE'!$L$89)</f>
        <v>0</v>
      </c>
      <c r="C11" s="40">
        <f>SUMIF(TE!$A$50:'TE'!$A$89,$A$2,TE!$M$50:'TE'!$M$89)</f>
        <v>2251132.9987532427</v>
      </c>
      <c r="D11" s="40">
        <f>SUMIF(TE!$A$50:'TE'!$A$89,$A$2,TE!$N$50:'TE'!$N$89)</f>
        <v>0</v>
      </c>
      <c r="E11" s="40">
        <f>SUMIF(TE!$A$50:'TE'!$A$89,$A$2,TE!$O$50:'TE'!$O$89)</f>
        <v>0</v>
      </c>
      <c r="F11" s="40">
        <f>SUMIF(TE!$A$50:'TE'!$A$89,$A$2,TE!$P$50:'TE'!$P$89)</f>
        <v>-992530.91703395732</v>
      </c>
      <c r="G11" s="40">
        <f>SUMIF(TE!$A$50:'TE'!$A$89,$A$2,TE!$Q$50:'TE'!$Q$89)</f>
        <v>10712443.142341768</v>
      </c>
      <c r="H11" s="40">
        <f>SUMIF(TE!$A$50:'TE'!$A$89,$A$2,TE!$R$50:'TE'!$R$89)</f>
        <v>0</v>
      </c>
      <c r="I11" s="40">
        <f>SUMIF(TE!$A$50:'TE'!$A$89,$A$2,TE!$S$50:'TE'!$S$89)</f>
        <v>0</v>
      </c>
      <c r="J11" s="40">
        <f>SUMIF(TE!$A$50:'TE'!$A$89,$A$2,TE!$T$50:'TE'!$T$89)</f>
        <v>0</v>
      </c>
      <c r="K11" s="40">
        <f>SUMIF(TE!$A$50:'TE'!$A$89,$A$2,TE!$U$50:'TE'!$U$89)</f>
        <v>0</v>
      </c>
      <c r="L11" s="40">
        <f>SUMIF(TE!$A$50:'TE'!$A$89,$A$2,TE!$V$50:'TE'!$V$89)</f>
        <v>294001.17719860788</v>
      </c>
      <c r="M11" s="40">
        <f t="shared" si="0"/>
        <v>12265046.401259661</v>
      </c>
    </row>
    <row r="13" spans="1:33" x14ac:dyDescent="0.2">
      <c r="A13" s="14" t="s">
        <v>1107</v>
      </c>
      <c r="B13" s="59">
        <f t="shared" ref="B13:M13" si="1">IF($M$6&lt;&gt;0,(B$7-B$6)/$M$6,0)</f>
        <v>0</v>
      </c>
      <c r="C13" s="59">
        <f t="shared" si="1"/>
        <v>0.12366579991262752</v>
      </c>
      <c r="D13" s="59">
        <f t="shared" si="1"/>
        <v>0</v>
      </c>
      <c r="E13" s="59">
        <f t="shared" si="1"/>
        <v>0</v>
      </c>
      <c r="F13" s="59">
        <f t="shared" si="1"/>
        <v>-6.6840510435288686E-2</v>
      </c>
      <c r="G13" s="59">
        <f t="shared" si="1"/>
        <v>-0.2507035889588482</v>
      </c>
      <c r="H13" s="59">
        <f t="shared" si="1"/>
        <v>0</v>
      </c>
      <c r="I13" s="59">
        <f t="shared" si="1"/>
        <v>0</v>
      </c>
      <c r="J13" s="59">
        <f t="shared" si="1"/>
        <v>0</v>
      </c>
      <c r="K13" s="59">
        <f t="shared" si="1"/>
        <v>0</v>
      </c>
      <c r="L13" s="59">
        <f t="shared" si="1"/>
        <v>1.9799069646369905E-2</v>
      </c>
      <c r="M13" s="59">
        <f t="shared" si="1"/>
        <v>-0.17407922983513946</v>
      </c>
    </row>
    <row r="14" spans="1:33" x14ac:dyDescent="0.2">
      <c r="A14" s="14" t="s">
        <v>1108</v>
      </c>
      <c r="B14" s="59">
        <f t="shared" ref="B14:M14" si="2">IF($M$10&lt;&gt;0,(B$9-B$8)/$M$10,0)</f>
        <v>0</v>
      </c>
      <c r="C14" s="59">
        <f t="shared" si="2"/>
        <v>0.12191768607594727</v>
      </c>
      <c r="D14" s="59">
        <f t="shared" si="2"/>
        <v>0</v>
      </c>
      <c r="E14" s="59">
        <f t="shared" si="2"/>
        <v>0</v>
      </c>
      <c r="F14" s="59">
        <f t="shared" si="2"/>
        <v>-6.607348940125414E-2</v>
      </c>
      <c r="G14" s="59">
        <f t="shared" si="2"/>
        <v>-0.25892319788340751</v>
      </c>
      <c r="H14" s="59">
        <f t="shared" si="2"/>
        <v>0</v>
      </c>
      <c r="I14" s="59">
        <f t="shared" si="2"/>
        <v>0</v>
      </c>
      <c r="J14" s="59">
        <f t="shared" si="2"/>
        <v>0</v>
      </c>
      <c r="K14" s="59">
        <f t="shared" si="2"/>
        <v>0</v>
      </c>
      <c r="L14" s="59">
        <f t="shared" si="2"/>
        <v>1.9571867568256161E-2</v>
      </c>
      <c r="M14" s="59">
        <f t="shared" si="2"/>
        <v>-0.18350713364045823</v>
      </c>
    </row>
    <row r="15" spans="1:33" x14ac:dyDescent="0.2">
      <c r="A15" s="14" t="s">
        <v>1109</v>
      </c>
      <c r="B15" s="59">
        <f t="shared" ref="B15:M15" si="3">IF($M$8&lt;&gt;0,(B$9-B$8)/$M$8,0)</f>
        <v>0</v>
      </c>
      <c r="C15" s="59">
        <f t="shared" si="3"/>
        <v>0.12191768607594727</v>
      </c>
      <c r="D15" s="59">
        <f t="shared" si="3"/>
        <v>0</v>
      </c>
      <c r="E15" s="59">
        <f t="shared" si="3"/>
        <v>0</v>
      </c>
      <c r="F15" s="59">
        <f t="shared" si="3"/>
        <v>-6.607348940125414E-2</v>
      </c>
      <c r="G15" s="59">
        <f t="shared" si="3"/>
        <v>-0.25892319788340751</v>
      </c>
      <c r="H15" s="59">
        <f t="shared" si="3"/>
        <v>0</v>
      </c>
      <c r="I15" s="59">
        <f t="shared" si="3"/>
        <v>0</v>
      </c>
      <c r="J15" s="59">
        <f t="shared" si="3"/>
        <v>0</v>
      </c>
      <c r="K15" s="59">
        <f t="shared" si="3"/>
        <v>0</v>
      </c>
      <c r="L15" s="59">
        <f t="shared" si="3"/>
        <v>1.9571867568256161E-2</v>
      </c>
      <c r="M15" s="59">
        <f t="shared" si="3"/>
        <v>-0.18350713364045823</v>
      </c>
    </row>
  </sheetData>
  <dataValidations count="6">
    <dataValidation type="list" allowBlank="1" showInputMessage="1" showErrorMessage="1" sqref="A2 G2" xr:uid="{74C62582-FB81-4016-AE30-B2779674EC82}">
      <formula1>AA1:AA5</formula1>
    </dataValidation>
    <dataValidation type="list" allowBlank="1" showInputMessage="1" showErrorMessage="1" sqref="B2" xr:uid="{0E609D4F-973C-4711-B137-87A68299A605}">
      <formula1>AB1:AB6</formula1>
    </dataValidation>
    <dataValidation type="list" allowBlank="1" showInputMessage="1" showErrorMessage="1" sqref="C2" xr:uid="{78E7B53F-C5BB-4C92-9EF0-1B32BCDB608C}">
      <formula1>AC1:AC4</formula1>
    </dataValidation>
    <dataValidation type="list" allowBlank="1" showInputMessage="1" showErrorMessage="1" sqref="D2" xr:uid="{02018633-CAF7-4E19-BF8E-774352013A78}">
      <formula1>AD1:AD10</formula1>
    </dataValidation>
    <dataValidation type="list" allowBlank="1" showInputMessage="1" showErrorMessage="1" sqref="E2" xr:uid="{E0FC1577-03E3-40E4-9EE7-F388D4086D91}">
      <formula1>AE1:AE2</formula1>
    </dataValidation>
    <dataValidation type="list" allowBlank="1" showInputMessage="1" showErrorMessage="1" sqref="F2" xr:uid="{68FB1C0E-1FC2-432A-BBB6-2FE6DD035FBE}">
      <formula1>AF1:AF1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93F-BB2F-4CD0-AB18-A8347F441421}">
  <sheetPr codeName="Planilha20"/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2" t="s">
        <v>699</v>
      </c>
      <c r="C1" s="52" t="s">
        <v>700</v>
      </c>
      <c r="D1" s="52" t="s">
        <v>701</v>
      </c>
      <c r="E1" s="52" t="s">
        <v>2</v>
      </c>
      <c r="F1" s="52" t="s">
        <v>702</v>
      </c>
      <c r="G1" s="52" t="s">
        <v>607</v>
      </c>
      <c r="H1" s="52" t="s">
        <v>3</v>
      </c>
      <c r="I1" s="52" t="s">
        <v>703</v>
      </c>
      <c r="J1" s="52" t="s">
        <v>5</v>
      </c>
      <c r="K1" s="52" t="s">
        <v>1</v>
      </c>
      <c r="L1" s="52" t="s">
        <v>704</v>
      </c>
      <c r="M1" s="52" t="s">
        <v>705</v>
      </c>
      <c r="N1" s="52" t="s">
        <v>706</v>
      </c>
      <c r="O1" s="52" t="s">
        <v>707</v>
      </c>
      <c r="P1" s="52" t="s">
        <v>708</v>
      </c>
      <c r="Q1" s="52" t="s">
        <v>709</v>
      </c>
      <c r="R1" s="52" t="s">
        <v>710</v>
      </c>
      <c r="S1" s="52" t="s">
        <v>711</v>
      </c>
      <c r="T1" s="52" t="s">
        <v>712</v>
      </c>
      <c r="U1" s="52" t="s">
        <v>713</v>
      </c>
    </row>
    <row r="2" spans="2:21" x14ac:dyDescent="0.25">
      <c r="B2" s="51" t="s">
        <v>680</v>
      </c>
      <c r="C2" s="51">
        <v>8317</v>
      </c>
      <c r="D2" s="51">
        <v>6898</v>
      </c>
      <c r="E2" s="51" t="s">
        <v>48</v>
      </c>
      <c r="F2" s="51">
        <v>1</v>
      </c>
      <c r="G2" s="51" t="s">
        <v>681</v>
      </c>
      <c r="H2" s="51" t="s">
        <v>41</v>
      </c>
      <c r="I2" s="51" t="s">
        <v>25</v>
      </c>
      <c r="J2" s="51" t="s">
        <v>682</v>
      </c>
      <c r="K2" s="51" t="s">
        <v>35</v>
      </c>
      <c r="L2" s="51">
        <v>0.1</v>
      </c>
      <c r="M2" s="51">
        <v>0.08</v>
      </c>
      <c r="N2" s="51">
        <v>0.06</v>
      </c>
      <c r="O2" s="51">
        <v>0.04</v>
      </c>
      <c r="P2" s="51">
        <v>0.02</v>
      </c>
      <c r="Q2" s="51">
        <v>0</v>
      </c>
      <c r="R2" s="51"/>
      <c r="S2" s="51"/>
      <c r="T2" s="51"/>
      <c r="U2" s="51">
        <v>3</v>
      </c>
    </row>
    <row r="3" spans="2:21" x14ac:dyDescent="0.25">
      <c r="B3" s="51" t="s">
        <v>683</v>
      </c>
      <c r="C3" s="51">
        <v>8318</v>
      </c>
      <c r="D3" s="51">
        <v>6898</v>
      </c>
      <c r="E3" s="51" t="s">
        <v>36</v>
      </c>
      <c r="F3" s="51">
        <v>1</v>
      </c>
      <c r="G3" s="51" t="s">
        <v>681</v>
      </c>
      <c r="H3" s="51" t="s">
        <v>41</v>
      </c>
      <c r="I3" s="51" t="s">
        <v>25</v>
      </c>
      <c r="J3" s="51" t="s">
        <v>682</v>
      </c>
      <c r="K3" s="51" t="s">
        <v>35</v>
      </c>
      <c r="L3" s="51">
        <v>0.1</v>
      </c>
      <c r="M3" s="51">
        <v>0.08</v>
      </c>
      <c r="N3" s="51">
        <v>0.06</v>
      </c>
      <c r="O3" s="51">
        <v>0.04</v>
      </c>
      <c r="P3" s="51">
        <v>0.02</v>
      </c>
      <c r="Q3" s="51">
        <v>0</v>
      </c>
      <c r="R3" s="51"/>
      <c r="S3" s="51"/>
      <c r="T3" s="51"/>
      <c r="U3" s="51">
        <v>3</v>
      </c>
    </row>
    <row r="4" spans="2:21" x14ac:dyDescent="0.25">
      <c r="B4" s="51" t="s">
        <v>684</v>
      </c>
      <c r="C4" s="51">
        <v>8319</v>
      </c>
      <c r="D4" s="51">
        <v>6898</v>
      </c>
      <c r="E4" s="51" t="s">
        <v>23</v>
      </c>
      <c r="F4" s="51">
        <v>1</v>
      </c>
      <c r="G4" s="51" t="s">
        <v>681</v>
      </c>
      <c r="H4" s="51" t="s">
        <v>41</v>
      </c>
      <c r="I4" s="51" t="s">
        <v>25</v>
      </c>
      <c r="J4" s="51" t="s">
        <v>682</v>
      </c>
      <c r="K4" s="51" t="s">
        <v>35</v>
      </c>
      <c r="L4" s="51">
        <v>0.1</v>
      </c>
      <c r="M4" s="51">
        <v>0.08</v>
      </c>
      <c r="N4" s="51">
        <v>0.06</v>
      </c>
      <c r="O4" s="51">
        <v>0.04</v>
      </c>
      <c r="P4" s="51">
        <v>0.02</v>
      </c>
      <c r="Q4" s="51">
        <v>0</v>
      </c>
      <c r="R4" s="51"/>
      <c r="S4" s="51"/>
      <c r="T4" s="51"/>
      <c r="U4" s="51">
        <v>3</v>
      </c>
    </row>
    <row r="5" spans="2:21" x14ac:dyDescent="0.25">
      <c r="B5" s="51" t="s">
        <v>685</v>
      </c>
      <c r="C5" s="51">
        <v>8320</v>
      </c>
      <c r="D5" s="51">
        <v>6898</v>
      </c>
      <c r="E5" s="51" t="s">
        <v>48</v>
      </c>
      <c r="F5" s="51">
        <v>1</v>
      </c>
      <c r="G5" s="51" t="s">
        <v>681</v>
      </c>
      <c r="H5" s="51" t="s">
        <v>46</v>
      </c>
      <c r="I5" s="51" t="s">
        <v>47</v>
      </c>
      <c r="J5" s="51" t="s">
        <v>686</v>
      </c>
      <c r="K5" s="51" t="s">
        <v>35</v>
      </c>
      <c r="L5" s="51">
        <v>0.15</v>
      </c>
      <c r="M5" s="51">
        <v>0.12</v>
      </c>
      <c r="N5" s="51">
        <v>0.09</v>
      </c>
      <c r="O5" s="51">
        <v>0.06</v>
      </c>
      <c r="P5" s="51">
        <v>0.03</v>
      </c>
      <c r="Q5" s="51">
        <v>0</v>
      </c>
      <c r="R5" s="51"/>
      <c r="S5" s="51"/>
      <c r="T5" s="51"/>
      <c r="U5" s="51">
        <v>3</v>
      </c>
    </row>
    <row r="6" spans="2:21" x14ac:dyDescent="0.25">
      <c r="B6" s="51" t="s">
        <v>687</v>
      </c>
      <c r="C6" s="51">
        <v>8321</v>
      </c>
      <c r="D6" s="51">
        <v>6898</v>
      </c>
      <c r="E6" s="51" t="s">
        <v>36</v>
      </c>
      <c r="F6" s="51">
        <v>1</v>
      </c>
      <c r="G6" s="51" t="s">
        <v>681</v>
      </c>
      <c r="H6" s="51" t="s">
        <v>46</v>
      </c>
      <c r="I6" s="51" t="s">
        <v>47</v>
      </c>
      <c r="J6" s="51" t="s">
        <v>686</v>
      </c>
      <c r="K6" s="51" t="s">
        <v>35</v>
      </c>
      <c r="L6" s="51">
        <v>0.15</v>
      </c>
      <c r="M6" s="51">
        <v>0.12</v>
      </c>
      <c r="N6" s="51">
        <v>0.09</v>
      </c>
      <c r="O6" s="51">
        <v>0.06</v>
      </c>
      <c r="P6" s="51">
        <v>0.03</v>
      </c>
      <c r="Q6" s="51">
        <v>0</v>
      </c>
      <c r="R6" s="51"/>
      <c r="S6" s="51"/>
      <c r="T6" s="51"/>
      <c r="U6" s="51">
        <v>3</v>
      </c>
    </row>
    <row r="7" spans="2:21" x14ac:dyDescent="0.25">
      <c r="B7" s="51" t="s">
        <v>688</v>
      </c>
      <c r="C7" s="51">
        <v>8322</v>
      </c>
      <c r="D7" s="51">
        <v>6898</v>
      </c>
      <c r="E7" s="51" t="s">
        <v>689</v>
      </c>
      <c r="F7" s="51">
        <v>1</v>
      </c>
      <c r="G7" s="51" t="s">
        <v>681</v>
      </c>
      <c r="H7" s="51" t="s">
        <v>46</v>
      </c>
      <c r="I7" s="51" t="s">
        <v>47</v>
      </c>
      <c r="J7" s="51" t="s">
        <v>686</v>
      </c>
      <c r="K7" s="51" t="s">
        <v>35</v>
      </c>
      <c r="L7" s="51">
        <v>0.15</v>
      </c>
      <c r="M7" s="51">
        <v>0.12</v>
      </c>
      <c r="N7" s="51">
        <v>0.09</v>
      </c>
      <c r="O7" s="51">
        <v>0.06</v>
      </c>
      <c r="P7" s="51">
        <v>0.03</v>
      </c>
      <c r="Q7" s="51">
        <v>0</v>
      </c>
      <c r="R7" s="51"/>
      <c r="S7" s="51"/>
      <c r="T7" s="51"/>
      <c r="U7" s="51">
        <v>3</v>
      </c>
    </row>
    <row r="8" spans="2:21" x14ac:dyDescent="0.25">
      <c r="B8" s="51" t="s">
        <v>690</v>
      </c>
      <c r="C8" s="51">
        <v>8323</v>
      </c>
      <c r="D8" s="51">
        <v>6898</v>
      </c>
      <c r="E8" s="51" t="s">
        <v>23</v>
      </c>
      <c r="F8" s="51">
        <v>1</v>
      </c>
      <c r="G8" s="51" t="s">
        <v>681</v>
      </c>
      <c r="H8" s="51" t="s">
        <v>41</v>
      </c>
      <c r="I8" s="51" t="s">
        <v>25</v>
      </c>
      <c r="J8" s="51" t="s">
        <v>41</v>
      </c>
      <c r="K8" s="51" t="s">
        <v>40</v>
      </c>
      <c r="L8" s="51">
        <v>0.3</v>
      </c>
      <c r="M8" s="51">
        <v>0.24</v>
      </c>
      <c r="N8" s="51">
        <v>0.18</v>
      </c>
      <c r="O8" s="51">
        <v>0.12</v>
      </c>
      <c r="P8" s="51">
        <v>0.06</v>
      </c>
      <c r="Q8" s="51">
        <v>0</v>
      </c>
      <c r="R8" s="51"/>
      <c r="S8" s="51"/>
      <c r="T8" s="51"/>
      <c r="U8" s="51">
        <v>3</v>
      </c>
    </row>
    <row r="9" spans="2:21" x14ac:dyDescent="0.25">
      <c r="B9" s="51" t="s">
        <v>691</v>
      </c>
      <c r="C9" s="51">
        <v>8324</v>
      </c>
      <c r="D9" s="51">
        <v>6898</v>
      </c>
      <c r="E9" s="51" t="s">
        <v>97</v>
      </c>
      <c r="F9" s="51">
        <v>1</v>
      </c>
      <c r="G9" s="51" t="s">
        <v>681</v>
      </c>
      <c r="H9" s="51" t="s">
        <v>41</v>
      </c>
      <c r="I9" s="51" t="s">
        <v>25</v>
      </c>
      <c r="J9" s="51" t="s">
        <v>41</v>
      </c>
      <c r="K9" s="51" t="s">
        <v>40</v>
      </c>
      <c r="L9" s="51">
        <v>0.3</v>
      </c>
      <c r="M9" s="51">
        <v>0.24</v>
      </c>
      <c r="N9" s="51">
        <v>0.18</v>
      </c>
      <c r="O9" s="51">
        <v>0.12</v>
      </c>
      <c r="P9" s="51">
        <v>0.06</v>
      </c>
      <c r="Q9" s="51">
        <v>0</v>
      </c>
      <c r="R9" s="51"/>
      <c r="S9" s="51"/>
      <c r="T9" s="51"/>
      <c r="U9" s="51">
        <v>3</v>
      </c>
    </row>
    <row r="10" spans="2:21" x14ac:dyDescent="0.25">
      <c r="B10" s="51" t="s">
        <v>692</v>
      </c>
      <c r="C10" s="51">
        <v>8325</v>
      </c>
      <c r="D10" s="51">
        <v>6898</v>
      </c>
      <c r="E10" s="51" t="s">
        <v>23</v>
      </c>
      <c r="F10" s="51">
        <v>1</v>
      </c>
      <c r="G10" s="51" t="s">
        <v>681</v>
      </c>
      <c r="H10" s="51" t="s">
        <v>41</v>
      </c>
      <c r="I10" s="51" t="s">
        <v>100</v>
      </c>
      <c r="J10" s="51" t="s">
        <v>686</v>
      </c>
      <c r="K10" s="51" t="s">
        <v>40</v>
      </c>
      <c r="L10" s="51">
        <v>0.3</v>
      </c>
      <c r="M10" s="51">
        <v>0.24</v>
      </c>
      <c r="N10" s="51">
        <v>0.18</v>
      </c>
      <c r="O10" s="51">
        <v>0.12</v>
      </c>
      <c r="P10" s="51">
        <v>0.06</v>
      </c>
      <c r="Q10" s="51">
        <v>0</v>
      </c>
      <c r="R10" s="51"/>
      <c r="S10" s="51"/>
      <c r="T10" s="51"/>
      <c r="U10" s="51">
        <v>3</v>
      </c>
    </row>
    <row r="11" spans="2:21" x14ac:dyDescent="0.25">
      <c r="B11" s="51" t="s">
        <v>693</v>
      </c>
      <c r="C11" s="51">
        <v>8326</v>
      </c>
      <c r="D11" s="51">
        <v>6898</v>
      </c>
      <c r="E11" s="51" t="s">
        <v>694</v>
      </c>
      <c r="F11" s="51">
        <v>1</v>
      </c>
      <c r="G11" s="51" t="s">
        <v>681</v>
      </c>
      <c r="H11" s="51" t="s">
        <v>41</v>
      </c>
      <c r="I11" s="51" t="s">
        <v>100</v>
      </c>
      <c r="J11" s="51" t="s">
        <v>686</v>
      </c>
      <c r="K11" s="51" t="s">
        <v>40</v>
      </c>
      <c r="L11" s="51">
        <v>0.3</v>
      </c>
      <c r="M11" s="51">
        <v>0.24</v>
      </c>
      <c r="N11" s="51">
        <v>0.18</v>
      </c>
      <c r="O11" s="51">
        <v>0.12</v>
      </c>
      <c r="P11" s="51">
        <v>0.06</v>
      </c>
      <c r="Q11" s="51">
        <v>0</v>
      </c>
      <c r="R11" s="51"/>
      <c r="S11" s="51"/>
      <c r="T11" s="51"/>
      <c r="U11" s="51">
        <v>3</v>
      </c>
    </row>
    <row r="12" spans="2:21" x14ac:dyDescent="0.25">
      <c r="B12" s="51" t="s">
        <v>695</v>
      </c>
      <c r="C12" s="51">
        <v>8327</v>
      </c>
      <c r="D12" s="51">
        <v>6898</v>
      </c>
      <c r="E12" s="51" t="s">
        <v>23</v>
      </c>
      <c r="F12" s="51">
        <v>1</v>
      </c>
      <c r="G12" s="51" t="s">
        <v>681</v>
      </c>
      <c r="H12" s="51" t="s">
        <v>41</v>
      </c>
      <c r="I12" s="51" t="s">
        <v>101</v>
      </c>
      <c r="J12" s="51" t="s">
        <v>686</v>
      </c>
      <c r="K12" s="51" t="s">
        <v>40</v>
      </c>
      <c r="L12" s="51">
        <v>0.4</v>
      </c>
      <c r="M12" s="51">
        <v>0.32</v>
      </c>
      <c r="N12" s="51">
        <v>0.24</v>
      </c>
      <c r="O12" s="51">
        <v>0.16</v>
      </c>
      <c r="P12" s="51">
        <v>0.08</v>
      </c>
      <c r="Q12" s="51">
        <v>0</v>
      </c>
      <c r="R12" s="51"/>
      <c r="S12" s="51"/>
      <c r="T12" s="51"/>
      <c r="U12" s="51">
        <v>3</v>
      </c>
    </row>
    <row r="13" spans="2:21" x14ac:dyDescent="0.25">
      <c r="B13" s="51" t="s">
        <v>696</v>
      </c>
      <c r="C13" s="51">
        <v>8328</v>
      </c>
      <c r="D13" s="51">
        <v>6898</v>
      </c>
      <c r="E13" s="51" t="s">
        <v>694</v>
      </c>
      <c r="F13" s="51">
        <v>1</v>
      </c>
      <c r="G13" s="51" t="s">
        <v>681</v>
      </c>
      <c r="H13" s="51" t="s">
        <v>41</v>
      </c>
      <c r="I13" s="51" t="s">
        <v>101</v>
      </c>
      <c r="J13" s="51" t="s">
        <v>686</v>
      </c>
      <c r="K13" s="51" t="s">
        <v>40</v>
      </c>
      <c r="L13" s="51">
        <v>0.4</v>
      </c>
      <c r="M13" s="51">
        <v>0.32</v>
      </c>
      <c r="N13" s="51">
        <v>0.24</v>
      </c>
      <c r="O13" s="51">
        <v>0.16</v>
      </c>
      <c r="P13" s="51">
        <v>0.08</v>
      </c>
      <c r="Q13" s="51">
        <v>0</v>
      </c>
      <c r="R13" s="51"/>
      <c r="S13" s="51"/>
      <c r="T13" s="51"/>
      <c r="U13" s="51">
        <v>3</v>
      </c>
    </row>
    <row r="14" spans="2:21" x14ac:dyDescent="0.25">
      <c r="B14" s="51" t="s">
        <v>697</v>
      </c>
      <c r="C14" s="51">
        <v>8329</v>
      </c>
      <c r="D14" s="51">
        <v>6898</v>
      </c>
      <c r="E14" s="51" t="s">
        <v>23</v>
      </c>
      <c r="F14" s="51">
        <v>1</v>
      </c>
      <c r="G14" s="51" t="s">
        <v>681</v>
      </c>
      <c r="H14" s="51" t="s">
        <v>46</v>
      </c>
      <c r="I14" s="51" t="s">
        <v>47</v>
      </c>
      <c r="J14" s="51" t="s">
        <v>686</v>
      </c>
      <c r="K14" s="51" t="s">
        <v>33</v>
      </c>
      <c r="L14" s="51">
        <v>0.15</v>
      </c>
      <c r="M14" s="51">
        <v>0.12</v>
      </c>
      <c r="N14" s="51">
        <v>0.09</v>
      </c>
      <c r="O14" s="51">
        <v>0.06</v>
      </c>
      <c r="P14" s="51">
        <v>0.03</v>
      </c>
      <c r="Q14" s="51">
        <v>0</v>
      </c>
      <c r="R14" s="51"/>
      <c r="S14" s="51"/>
      <c r="T14" s="51"/>
      <c r="U14" s="51">
        <v>3</v>
      </c>
    </row>
    <row r="15" spans="2:21" x14ac:dyDescent="0.25">
      <c r="B15" s="51" t="s">
        <v>698</v>
      </c>
      <c r="C15" s="51">
        <v>8330</v>
      </c>
      <c r="D15" s="51">
        <v>6898</v>
      </c>
      <c r="E15" s="51" t="s">
        <v>97</v>
      </c>
      <c r="F15" s="51">
        <v>1</v>
      </c>
      <c r="G15" s="51" t="s">
        <v>681</v>
      </c>
      <c r="H15" s="51" t="s">
        <v>46</v>
      </c>
      <c r="I15" s="51" t="s">
        <v>47</v>
      </c>
      <c r="J15" s="51" t="s">
        <v>686</v>
      </c>
      <c r="K15" s="51" t="s">
        <v>33</v>
      </c>
      <c r="L15" s="51">
        <v>0.15</v>
      </c>
      <c r="M15" s="51">
        <v>0.12</v>
      </c>
      <c r="N15" s="51">
        <v>0.09</v>
      </c>
      <c r="O15" s="51">
        <v>0.06</v>
      </c>
      <c r="P15" s="51">
        <v>0.03</v>
      </c>
      <c r="Q15" s="51">
        <v>0</v>
      </c>
      <c r="R15" s="51"/>
      <c r="S15" s="51"/>
      <c r="T15" s="51"/>
      <c r="U15" s="5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568B-B6A8-4C4A-8093-18F462BBE025}">
  <dimension ref="B1:AT52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5.1406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1149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465</v>
      </c>
      <c r="M2" s="118"/>
      <c r="N2" s="118"/>
      <c r="O2" s="118"/>
      <c r="P2" s="118"/>
      <c r="Q2" s="118"/>
      <c r="R2" s="118"/>
      <c r="S2" s="119"/>
      <c r="T2" s="118" t="s">
        <v>474</v>
      </c>
      <c r="U2" s="118"/>
      <c r="V2" s="118"/>
      <c r="W2" s="118"/>
      <c r="X2" s="118"/>
      <c r="Y2" s="118"/>
      <c r="Z2" s="119"/>
      <c r="AA2" s="82" t="s">
        <v>482</v>
      </c>
      <c r="AB2" s="118" t="s">
        <v>25</v>
      </c>
      <c r="AC2" s="118"/>
      <c r="AD2" s="119"/>
      <c r="AE2" s="118" t="s">
        <v>1148</v>
      </c>
      <c r="AF2" s="118"/>
      <c r="AG2" s="118"/>
      <c r="AH2" s="119"/>
      <c r="AI2" s="118" t="s">
        <v>465</v>
      </c>
      <c r="AJ2" s="118"/>
      <c r="AK2" s="118"/>
      <c r="AL2" s="118"/>
      <c r="AM2" s="119"/>
      <c r="AN2" s="82" t="s">
        <v>496</v>
      </c>
      <c r="AO2" s="118" t="s">
        <v>474</v>
      </c>
      <c r="AP2" s="118"/>
      <c r="AQ2" s="118"/>
      <c r="AR2" s="118"/>
      <c r="AS2" s="119"/>
      <c r="AT2" s="81" t="s">
        <v>1148</v>
      </c>
    </row>
    <row r="3" spans="2:46" ht="12" customHeight="1" x14ac:dyDescent="0.25">
      <c r="B3" s="72" t="s">
        <v>72</v>
      </c>
      <c r="C3" s="73" t="s">
        <v>73</v>
      </c>
      <c r="D3" s="73" t="s">
        <v>74</v>
      </c>
      <c r="E3" s="73" t="s">
        <v>75</v>
      </c>
      <c r="F3" s="73" t="s">
        <v>76</v>
      </c>
      <c r="G3" s="73" t="s">
        <v>78</v>
      </c>
      <c r="H3" s="73" t="s">
        <v>79</v>
      </c>
      <c r="I3" s="73" t="s">
        <v>744</v>
      </c>
      <c r="J3" s="73" t="s">
        <v>1110</v>
      </c>
      <c r="K3" s="73" t="s">
        <v>1111</v>
      </c>
      <c r="L3" s="73" t="s">
        <v>1112</v>
      </c>
      <c r="M3" s="73" t="s">
        <v>1113</v>
      </c>
      <c r="N3" s="73" t="s">
        <v>1114</v>
      </c>
      <c r="O3" s="73" t="s">
        <v>1115</v>
      </c>
      <c r="P3" s="73" t="s">
        <v>1116</v>
      </c>
      <c r="Q3" s="73" t="s">
        <v>1117</v>
      </c>
      <c r="R3" s="73" t="s">
        <v>1118</v>
      </c>
      <c r="S3" s="73" t="s">
        <v>1119</v>
      </c>
      <c r="T3" s="73" t="s">
        <v>1120</v>
      </c>
      <c r="U3" s="73" t="s">
        <v>1121</v>
      </c>
      <c r="V3" s="73" t="s">
        <v>1122</v>
      </c>
      <c r="W3" s="73" t="s">
        <v>1123</v>
      </c>
      <c r="X3" s="73" t="s">
        <v>1124</v>
      </c>
      <c r="Y3" s="73" t="s">
        <v>1125</v>
      </c>
      <c r="Z3" s="73" t="s">
        <v>1126</v>
      </c>
      <c r="AA3" s="73" t="s">
        <v>1127</v>
      </c>
      <c r="AB3" s="73" t="s">
        <v>1128</v>
      </c>
      <c r="AC3" s="73" t="s">
        <v>1129</v>
      </c>
      <c r="AD3" s="73" t="s">
        <v>1130</v>
      </c>
      <c r="AE3" s="73" t="s">
        <v>1131</v>
      </c>
      <c r="AF3" s="73" t="s">
        <v>1132</v>
      </c>
      <c r="AG3" s="73" t="s">
        <v>1133</v>
      </c>
      <c r="AH3" s="73" t="s">
        <v>1134</v>
      </c>
      <c r="AI3" s="73" t="s">
        <v>1135</v>
      </c>
      <c r="AJ3" s="73" t="s">
        <v>1136</v>
      </c>
      <c r="AK3" s="73" t="s">
        <v>1137</v>
      </c>
      <c r="AL3" s="73" t="s">
        <v>1138</v>
      </c>
      <c r="AM3" s="73" t="s">
        <v>1139</v>
      </c>
      <c r="AN3" s="73" t="s">
        <v>1140</v>
      </c>
      <c r="AO3" s="73" t="s">
        <v>1141</v>
      </c>
      <c r="AP3" s="73" t="s">
        <v>1142</v>
      </c>
      <c r="AQ3" s="73" t="s">
        <v>1143</v>
      </c>
      <c r="AR3" s="73" t="s">
        <v>1144</v>
      </c>
      <c r="AS3" s="73" t="s">
        <v>1145</v>
      </c>
      <c r="AT3" s="74" t="s">
        <v>1146</v>
      </c>
    </row>
    <row r="4" spans="2:46" ht="12" customHeight="1" x14ac:dyDescent="0.25">
      <c r="B4" s="75" t="s">
        <v>35</v>
      </c>
      <c r="C4" s="76" t="s">
        <v>48</v>
      </c>
      <c r="D4" s="76" t="s">
        <v>25</v>
      </c>
      <c r="E4" s="76" t="s">
        <v>25</v>
      </c>
      <c r="F4" s="76" t="s">
        <v>54</v>
      </c>
      <c r="G4" s="76" t="s">
        <v>37</v>
      </c>
      <c r="H4" s="76" t="s">
        <v>82</v>
      </c>
      <c r="I4" s="76" t="s">
        <v>25</v>
      </c>
      <c r="J4" s="76">
        <v>9.8699999999999992</v>
      </c>
      <c r="K4" s="76">
        <v>0</v>
      </c>
      <c r="L4" s="76">
        <v>0</v>
      </c>
      <c r="M4" s="76">
        <v>0.94803261709431397</v>
      </c>
      <c r="N4" s="76">
        <v>0</v>
      </c>
      <c r="O4" s="76">
        <v>0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  <c r="AA4" s="76">
        <v>0</v>
      </c>
      <c r="AB4" s="76">
        <v>0</v>
      </c>
      <c r="AC4" s="76">
        <v>0</v>
      </c>
      <c r="AD4" s="76">
        <v>0</v>
      </c>
      <c r="AE4" s="76">
        <v>8.6867683047146205</v>
      </c>
      <c r="AF4" s="76">
        <v>0.23842371262618201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7">
        <v>0</v>
      </c>
    </row>
    <row r="5" spans="2:46" ht="12" customHeight="1" x14ac:dyDescent="0.25">
      <c r="B5" s="75" t="s">
        <v>35</v>
      </c>
      <c r="C5" s="76" t="s">
        <v>48</v>
      </c>
      <c r="D5" s="76" t="s">
        <v>25</v>
      </c>
      <c r="E5" s="76" t="s">
        <v>25</v>
      </c>
      <c r="F5" s="76" t="s">
        <v>54</v>
      </c>
      <c r="G5" s="76" t="s">
        <v>37</v>
      </c>
      <c r="H5" s="76" t="s">
        <v>88</v>
      </c>
      <c r="I5" s="76" t="s">
        <v>25</v>
      </c>
      <c r="J5" s="76">
        <v>66.22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s="76">
        <v>0</v>
      </c>
      <c r="W5" s="76">
        <v>0</v>
      </c>
      <c r="X5" s="76">
        <v>22.244168846610499</v>
      </c>
      <c r="Y5" s="76">
        <v>0</v>
      </c>
      <c r="Z5" s="76">
        <v>0</v>
      </c>
      <c r="AA5" s="76">
        <v>43.973012873109397</v>
      </c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7">
        <v>0</v>
      </c>
    </row>
    <row r="6" spans="2:46" ht="12" customHeight="1" x14ac:dyDescent="0.25">
      <c r="B6" s="75" t="s">
        <v>35</v>
      </c>
      <c r="C6" s="76" t="s">
        <v>48</v>
      </c>
      <c r="D6" s="76" t="s">
        <v>25</v>
      </c>
      <c r="E6" s="76" t="s">
        <v>25</v>
      </c>
      <c r="F6" s="76" t="s">
        <v>54</v>
      </c>
      <c r="G6" s="76" t="s">
        <v>38</v>
      </c>
      <c r="H6" s="76" t="s">
        <v>82</v>
      </c>
      <c r="I6" s="76" t="s">
        <v>25</v>
      </c>
      <c r="J6" s="76">
        <v>9.8699999999999992</v>
      </c>
      <c r="K6" s="76">
        <v>0</v>
      </c>
      <c r="L6" s="76">
        <v>0</v>
      </c>
      <c r="M6" s="76">
        <v>0.94803261709431397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76">
        <v>0</v>
      </c>
      <c r="AC6" s="76">
        <v>0</v>
      </c>
      <c r="AD6" s="76">
        <v>0</v>
      </c>
      <c r="AE6" s="76">
        <v>8.6867683047146205</v>
      </c>
      <c r="AF6" s="76">
        <v>0.23842371262618201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7">
        <v>0</v>
      </c>
    </row>
    <row r="7" spans="2:46" ht="12" customHeight="1" x14ac:dyDescent="0.25">
      <c r="B7" s="75" t="s">
        <v>35</v>
      </c>
      <c r="C7" s="76" t="s">
        <v>48</v>
      </c>
      <c r="D7" s="76" t="s">
        <v>25</v>
      </c>
      <c r="E7" s="76" t="s">
        <v>25</v>
      </c>
      <c r="F7" s="76" t="s">
        <v>54</v>
      </c>
      <c r="G7" s="76" t="s">
        <v>38</v>
      </c>
      <c r="H7" s="76" t="s">
        <v>88</v>
      </c>
      <c r="I7" s="76" t="s">
        <v>25</v>
      </c>
      <c r="J7" s="76">
        <v>21.28</v>
      </c>
      <c r="K7" s="76">
        <v>0</v>
      </c>
      <c r="L7" s="76">
        <v>0</v>
      </c>
      <c r="M7" s="76">
        <v>0</v>
      </c>
      <c r="N7" s="76">
        <v>0</v>
      </c>
      <c r="O7" s="76">
        <v>0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0</v>
      </c>
      <c r="X7" s="76">
        <v>8.9907855267304502</v>
      </c>
      <c r="Y7" s="76">
        <v>0</v>
      </c>
      <c r="Z7" s="76">
        <v>0</v>
      </c>
      <c r="AA7" s="76">
        <v>12.2875483148239</v>
      </c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7">
        <v>0</v>
      </c>
    </row>
    <row r="8" spans="2:46" ht="12" customHeight="1" x14ac:dyDescent="0.25">
      <c r="B8" s="75" t="s">
        <v>35</v>
      </c>
      <c r="C8" s="76" t="s">
        <v>48</v>
      </c>
      <c r="D8" s="76" t="s">
        <v>25</v>
      </c>
      <c r="E8" s="76" t="s">
        <v>25</v>
      </c>
      <c r="F8" s="76" t="s">
        <v>25</v>
      </c>
      <c r="G8" s="76" t="s">
        <v>37</v>
      </c>
      <c r="H8" s="76" t="s">
        <v>82</v>
      </c>
      <c r="I8" s="76" t="s">
        <v>25</v>
      </c>
      <c r="J8" s="76">
        <v>102.89</v>
      </c>
      <c r="K8" s="76">
        <v>203.38</v>
      </c>
      <c r="L8" s="76">
        <v>0</v>
      </c>
      <c r="M8" s="76">
        <v>0.94803261709431397</v>
      </c>
      <c r="N8" s="76">
        <v>0</v>
      </c>
      <c r="O8" s="76">
        <v>0</v>
      </c>
      <c r="P8" s="76">
        <v>0</v>
      </c>
      <c r="Q8" s="76">
        <v>78.303435258359997</v>
      </c>
      <c r="R8" s="76">
        <v>14.7096798186034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  <c r="Z8" s="76">
        <v>0</v>
      </c>
      <c r="AA8" s="76">
        <v>0</v>
      </c>
      <c r="AB8" s="76">
        <v>0</v>
      </c>
      <c r="AC8" s="76">
        <v>0</v>
      </c>
      <c r="AD8" s="76">
        <v>0</v>
      </c>
      <c r="AE8" s="76">
        <v>8.6867683047146205</v>
      </c>
      <c r="AF8" s="76">
        <v>0.23842371262618201</v>
      </c>
      <c r="AG8" s="76">
        <v>0</v>
      </c>
      <c r="AH8" s="76">
        <v>0</v>
      </c>
      <c r="AI8" s="76">
        <v>0</v>
      </c>
      <c r="AJ8" s="76">
        <v>-16.460184444410501</v>
      </c>
      <c r="AK8" s="76">
        <v>0</v>
      </c>
      <c r="AL8" s="76">
        <v>37.332906947733498</v>
      </c>
      <c r="AM8" s="76">
        <v>0</v>
      </c>
      <c r="AN8" s="76">
        <v>177.63428902429001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7">
        <v>4.8757308417399496</v>
      </c>
    </row>
    <row r="9" spans="2:46" ht="12" customHeight="1" x14ac:dyDescent="0.25">
      <c r="B9" s="75" t="s">
        <v>35</v>
      </c>
      <c r="C9" s="76" t="s">
        <v>48</v>
      </c>
      <c r="D9" s="76" t="s">
        <v>25</v>
      </c>
      <c r="E9" s="76" t="s">
        <v>25</v>
      </c>
      <c r="F9" s="76" t="s">
        <v>25</v>
      </c>
      <c r="G9" s="76" t="s">
        <v>37</v>
      </c>
      <c r="H9" s="76" t="s">
        <v>88</v>
      </c>
      <c r="I9" s="76" t="s">
        <v>25</v>
      </c>
      <c r="J9" s="76">
        <v>66.22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22.244168846610499</v>
      </c>
      <c r="Y9" s="76">
        <v>0</v>
      </c>
      <c r="Z9" s="76">
        <v>0</v>
      </c>
      <c r="AA9" s="76">
        <v>43.973012873109397</v>
      </c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7">
        <v>0</v>
      </c>
    </row>
    <row r="10" spans="2:46" ht="12" customHeight="1" x14ac:dyDescent="0.25">
      <c r="B10" s="75" t="s">
        <v>35</v>
      </c>
      <c r="C10" s="76" t="s">
        <v>48</v>
      </c>
      <c r="D10" s="76" t="s">
        <v>25</v>
      </c>
      <c r="E10" s="76" t="s">
        <v>25</v>
      </c>
      <c r="F10" s="76" t="s">
        <v>25</v>
      </c>
      <c r="G10" s="76" t="s">
        <v>38</v>
      </c>
      <c r="H10" s="76" t="s">
        <v>82</v>
      </c>
      <c r="I10" s="76" t="s">
        <v>25</v>
      </c>
      <c r="J10" s="76">
        <v>102.89</v>
      </c>
      <c r="K10" s="76">
        <v>203.38</v>
      </c>
      <c r="L10" s="76">
        <v>0</v>
      </c>
      <c r="M10" s="76">
        <v>0.94803261709431397</v>
      </c>
      <c r="N10" s="76">
        <v>0</v>
      </c>
      <c r="O10" s="76">
        <v>0</v>
      </c>
      <c r="P10" s="76">
        <v>0</v>
      </c>
      <c r="Q10" s="76">
        <v>78.303435258359997</v>
      </c>
      <c r="R10" s="76">
        <v>14.7096798186034</v>
      </c>
      <c r="S10" s="76">
        <v>0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>
        <v>0</v>
      </c>
      <c r="Z10" s="76">
        <v>0</v>
      </c>
      <c r="AA10" s="76">
        <v>0</v>
      </c>
      <c r="AB10" s="76">
        <v>0</v>
      </c>
      <c r="AC10" s="76">
        <v>0</v>
      </c>
      <c r="AD10" s="76">
        <v>0</v>
      </c>
      <c r="AE10" s="76">
        <v>8.6867683047146205</v>
      </c>
      <c r="AF10" s="76">
        <v>0.23842371262618201</v>
      </c>
      <c r="AG10" s="76">
        <v>0</v>
      </c>
      <c r="AH10" s="76">
        <v>0</v>
      </c>
      <c r="AI10" s="76">
        <v>0</v>
      </c>
      <c r="AJ10" s="76">
        <v>-16.460184444410501</v>
      </c>
      <c r="AK10" s="76">
        <v>0</v>
      </c>
      <c r="AL10" s="76">
        <v>37.332906947733498</v>
      </c>
      <c r="AM10" s="76">
        <v>0</v>
      </c>
      <c r="AN10" s="76">
        <v>177.63428902429001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7">
        <v>4.8757308417399496</v>
      </c>
    </row>
    <row r="11" spans="2:46" ht="12" customHeight="1" x14ac:dyDescent="0.25">
      <c r="B11" s="75" t="s">
        <v>35</v>
      </c>
      <c r="C11" s="76" t="s">
        <v>48</v>
      </c>
      <c r="D11" s="76" t="s">
        <v>25</v>
      </c>
      <c r="E11" s="76" t="s">
        <v>25</v>
      </c>
      <c r="F11" s="76" t="s">
        <v>25</v>
      </c>
      <c r="G11" s="76" t="s">
        <v>38</v>
      </c>
      <c r="H11" s="76" t="s">
        <v>88</v>
      </c>
      <c r="I11" s="76" t="s">
        <v>25</v>
      </c>
      <c r="J11" s="76">
        <v>21.28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0</v>
      </c>
      <c r="X11" s="76">
        <v>8.9907855267304502</v>
      </c>
      <c r="Y11" s="76">
        <v>0</v>
      </c>
      <c r="Z11" s="76">
        <v>0</v>
      </c>
      <c r="AA11" s="76">
        <v>12.2875483148239</v>
      </c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7">
        <v>0</v>
      </c>
    </row>
    <row r="12" spans="2:46" ht="12" customHeight="1" x14ac:dyDescent="0.25">
      <c r="B12" s="75" t="s">
        <v>35</v>
      </c>
      <c r="C12" s="76" t="s">
        <v>56</v>
      </c>
      <c r="D12" s="76" t="s">
        <v>25</v>
      </c>
      <c r="E12" s="76" t="s">
        <v>25</v>
      </c>
      <c r="F12" s="76" t="s">
        <v>25</v>
      </c>
      <c r="G12" s="76" t="s">
        <v>37</v>
      </c>
      <c r="H12" s="76" t="s">
        <v>88</v>
      </c>
      <c r="I12" s="76" t="s">
        <v>58</v>
      </c>
      <c r="J12" s="76">
        <v>50.4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22.244168846610499</v>
      </c>
      <c r="Y12" s="76">
        <v>0</v>
      </c>
      <c r="Z12" s="76">
        <v>0</v>
      </c>
      <c r="AA12" s="76">
        <v>28.158739504332701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7">
        <v>0</v>
      </c>
    </row>
    <row r="13" spans="2:46" ht="12" customHeight="1" x14ac:dyDescent="0.25">
      <c r="B13" s="75" t="s">
        <v>35</v>
      </c>
      <c r="C13" s="76" t="s">
        <v>56</v>
      </c>
      <c r="D13" s="76" t="s">
        <v>25</v>
      </c>
      <c r="E13" s="76" t="s">
        <v>25</v>
      </c>
      <c r="F13" s="76" t="s">
        <v>25</v>
      </c>
      <c r="G13" s="76" t="s">
        <v>25</v>
      </c>
      <c r="H13" s="76" t="s">
        <v>82</v>
      </c>
      <c r="I13" s="76" t="s">
        <v>58</v>
      </c>
      <c r="J13" s="76">
        <v>8.93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  <c r="AA13" s="76">
        <v>0</v>
      </c>
      <c r="AB13" s="76">
        <v>0</v>
      </c>
      <c r="AC13" s="76">
        <v>0</v>
      </c>
      <c r="AD13" s="76">
        <v>0</v>
      </c>
      <c r="AE13" s="76">
        <v>8.6867683047146205</v>
      </c>
      <c r="AF13" s="76">
        <v>0.23842371262618201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7">
        <v>0</v>
      </c>
    </row>
    <row r="14" spans="2:46" ht="12" customHeight="1" x14ac:dyDescent="0.25">
      <c r="B14" s="75" t="s">
        <v>35</v>
      </c>
      <c r="C14" s="76" t="s">
        <v>56</v>
      </c>
      <c r="D14" s="76" t="s">
        <v>25</v>
      </c>
      <c r="E14" s="76" t="s">
        <v>25</v>
      </c>
      <c r="F14" s="76" t="s">
        <v>25</v>
      </c>
      <c r="G14" s="76" t="s">
        <v>38</v>
      </c>
      <c r="H14" s="76" t="s">
        <v>88</v>
      </c>
      <c r="I14" s="76" t="s">
        <v>58</v>
      </c>
      <c r="J14" s="76">
        <v>16.86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8.9907855267304502</v>
      </c>
      <c r="Y14" s="76">
        <v>0</v>
      </c>
      <c r="Z14" s="76">
        <v>0</v>
      </c>
      <c r="AA14" s="76">
        <v>7.8683033910946003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7">
        <v>0</v>
      </c>
    </row>
    <row r="15" spans="2:46" ht="12" customHeight="1" x14ac:dyDescent="0.25">
      <c r="B15" s="75" t="s">
        <v>35</v>
      </c>
      <c r="C15" s="76" t="s">
        <v>60</v>
      </c>
      <c r="D15" s="76" t="s">
        <v>25</v>
      </c>
      <c r="E15" s="76" t="s">
        <v>25</v>
      </c>
      <c r="F15" s="76" t="s">
        <v>25</v>
      </c>
      <c r="G15" s="76" t="s">
        <v>25</v>
      </c>
      <c r="H15" s="76" t="s">
        <v>88</v>
      </c>
      <c r="I15" s="76" t="s">
        <v>25</v>
      </c>
      <c r="J15" s="76">
        <v>3.55</v>
      </c>
      <c r="K15" s="76">
        <v>0</v>
      </c>
      <c r="L15" s="76">
        <v>0</v>
      </c>
      <c r="M15" s="76">
        <v>1.0857870058464E-2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3.5437600329236498</v>
      </c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7">
        <v>0</v>
      </c>
    </row>
    <row r="16" spans="2:46" ht="12" customHeight="1" x14ac:dyDescent="0.25">
      <c r="B16" s="75" t="s">
        <v>35</v>
      </c>
      <c r="C16" s="76" t="s">
        <v>36</v>
      </c>
      <c r="D16" s="76" t="s">
        <v>25</v>
      </c>
      <c r="E16" s="76" t="s">
        <v>25</v>
      </c>
      <c r="F16" s="76" t="s">
        <v>54</v>
      </c>
      <c r="G16" s="76" t="s">
        <v>37</v>
      </c>
      <c r="H16" s="76" t="s">
        <v>82</v>
      </c>
      <c r="I16" s="76" t="s">
        <v>25</v>
      </c>
      <c r="J16" s="76">
        <v>1602.61</v>
      </c>
      <c r="K16" s="76">
        <v>0</v>
      </c>
      <c r="L16" s="76">
        <v>0</v>
      </c>
      <c r="M16" s="76">
        <v>0.94803261709431397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535.18380972056798</v>
      </c>
      <c r="Y16" s="76">
        <v>0</v>
      </c>
      <c r="Z16" s="76">
        <v>0</v>
      </c>
      <c r="AA16" s="76">
        <v>1057.5527276837799</v>
      </c>
      <c r="AB16" s="76">
        <v>0</v>
      </c>
      <c r="AC16" s="76">
        <v>0</v>
      </c>
      <c r="AD16" s="76">
        <v>0</v>
      </c>
      <c r="AE16" s="76">
        <v>8.6867683047146205</v>
      </c>
      <c r="AF16" s="76">
        <v>0.23842371262618201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7">
        <v>0</v>
      </c>
    </row>
    <row r="17" spans="2:46" ht="12" customHeight="1" x14ac:dyDescent="0.25">
      <c r="B17" s="75" t="s">
        <v>35</v>
      </c>
      <c r="C17" s="76" t="s">
        <v>36</v>
      </c>
      <c r="D17" s="76" t="s">
        <v>25</v>
      </c>
      <c r="E17" s="76" t="s">
        <v>25</v>
      </c>
      <c r="F17" s="76" t="s">
        <v>54</v>
      </c>
      <c r="G17" s="76" t="s">
        <v>25</v>
      </c>
      <c r="H17" s="76" t="s">
        <v>88</v>
      </c>
      <c r="I17" s="76" t="s">
        <v>25</v>
      </c>
      <c r="J17" s="76">
        <v>21.28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8.9907855267304502</v>
      </c>
      <c r="Y17" s="76">
        <v>0</v>
      </c>
      <c r="Z17" s="76">
        <v>0</v>
      </c>
      <c r="AA17" s="76">
        <v>12.2875483148239</v>
      </c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7">
        <v>0</v>
      </c>
    </row>
    <row r="18" spans="2:46" ht="12" customHeight="1" x14ac:dyDescent="0.25">
      <c r="B18" s="75" t="s">
        <v>35</v>
      </c>
      <c r="C18" s="76" t="s">
        <v>36</v>
      </c>
      <c r="D18" s="76" t="s">
        <v>25</v>
      </c>
      <c r="E18" s="76" t="s">
        <v>25</v>
      </c>
      <c r="F18" s="76" t="s">
        <v>54</v>
      </c>
      <c r="G18" s="76" t="s">
        <v>38</v>
      </c>
      <c r="H18" s="76" t="s">
        <v>82</v>
      </c>
      <c r="I18" s="76" t="s">
        <v>25</v>
      </c>
      <c r="J18" s="76">
        <v>9.8699999999999992</v>
      </c>
      <c r="K18" s="76">
        <v>0</v>
      </c>
      <c r="L18" s="76">
        <v>0</v>
      </c>
      <c r="M18" s="76">
        <v>0.94803261709431397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8.6867683047146205</v>
      </c>
      <c r="AF18" s="76">
        <v>0.23842371262618201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7">
        <v>0</v>
      </c>
    </row>
    <row r="19" spans="2:46" ht="12" customHeight="1" x14ac:dyDescent="0.25">
      <c r="B19" s="75" t="s">
        <v>35</v>
      </c>
      <c r="C19" s="76" t="s">
        <v>36</v>
      </c>
      <c r="D19" s="76" t="s">
        <v>25</v>
      </c>
      <c r="E19" s="76" t="s">
        <v>25</v>
      </c>
      <c r="F19" s="76" t="s">
        <v>25</v>
      </c>
      <c r="G19" s="76" t="s">
        <v>37</v>
      </c>
      <c r="H19" s="76" t="s">
        <v>82</v>
      </c>
      <c r="I19" s="76" t="s">
        <v>25</v>
      </c>
      <c r="J19" s="76">
        <v>1695.62</v>
      </c>
      <c r="K19" s="76">
        <v>203.38</v>
      </c>
      <c r="L19" s="76">
        <v>0</v>
      </c>
      <c r="M19" s="76">
        <v>0.94803261709431397</v>
      </c>
      <c r="N19" s="76">
        <v>0</v>
      </c>
      <c r="O19" s="76">
        <v>0</v>
      </c>
      <c r="P19" s="76">
        <v>0</v>
      </c>
      <c r="Q19" s="76">
        <v>78.303435258359997</v>
      </c>
      <c r="R19" s="76">
        <v>14.7096798186034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535.18380972056798</v>
      </c>
      <c r="Y19" s="76">
        <v>0</v>
      </c>
      <c r="Z19" s="76">
        <v>0</v>
      </c>
      <c r="AA19" s="76">
        <v>1057.5527276837799</v>
      </c>
      <c r="AB19" s="76">
        <v>0</v>
      </c>
      <c r="AC19" s="76">
        <v>0</v>
      </c>
      <c r="AD19" s="76">
        <v>0</v>
      </c>
      <c r="AE19" s="76">
        <v>8.6867683047146205</v>
      </c>
      <c r="AF19" s="76">
        <v>0.23842371262618201</v>
      </c>
      <c r="AG19" s="76">
        <v>0</v>
      </c>
      <c r="AH19" s="76">
        <v>0</v>
      </c>
      <c r="AI19" s="76">
        <v>0</v>
      </c>
      <c r="AJ19" s="76">
        <v>-16.460184444410501</v>
      </c>
      <c r="AK19" s="76">
        <v>0</v>
      </c>
      <c r="AL19" s="76">
        <v>37.332906947733498</v>
      </c>
      <c r="AM19" s="76">
        <v>0</v>
      </c>
      <c r="AN19" s="76">
        <v>177.63428902429001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7">
        <v>4.8757308417399496</v>
      </c>
    </row>
    <row r="20" spans="2:46" ht="12" customHeight="1" x14ac:dyDescent="0.25">
      <c r="B20" s="75" t="s">
        <v>35</v>
      </c>
      <c r="C20" s="76" t="s">
        <v>36</v>
      </c>
      <c r="D20" s="76" t="s">
        <v>25</v>
      </c>
      <c r="E20" s="76" t="s">
        <v>25</v>
      </c>
      <c r="F20" s="76" t="s">
        <v>25</v>
      </c>
      <c r="G20" s="76" t="s">
        <v>25</v>
      </c>
      <c r="H20" s="76" t="s">
        <v>88</v>
      </c>
      <c r="I20" s="76" t="s">
        <v>25</v>
      </c>
      <c r="J20" s="76">
        <v>21.28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8.9907855267304502</v>
      </c>
      <c r="Y20" s="76">
        <v>0</v>
      </c>
      <c r="Z20" s="76">
        <v>0</v>
      </c>
      <c r="AA20" s="76">
        <v>12.2875483148239</v>
      </c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7">
        <v>0</v>
      </c>
    </row>
    <row r="21" spans="2:46" ht="12" customHeight="1" x14ac:dyDescent="0.25">
      <c r="B21" s="75" t="s">
        <v>35</v>
      </c>
      <c r="C21" s="76" t="s">
        <v>36</v>
      </c>
      <c r="D21" s="76" t="s">
        <v>25</v>
      </c>
      <c r="E21" s="76" t="s">
        <v>25</v>
      </c>
      <c r="F21" s="76" t="s">
        <v>25</v>
      </c>
      <c r="G21" s="76" t="s">
        <v>38</v>
      </c>
      <c r="H21" s="76" t="s">
        <v>82</v>
      </c>
      <c r="I21" s="76" t="s">
        <v>25</v>
      </c>
      <c r="J21" s="76">
        <v>102.89</v>
      </c>
      <c r="K21" s="76">
        <v>203.38</v>
      </c>
      <c r="L21" s="76">
        <v>0</v>
      </c>
      <c r="M21" s="76">
        <v>0.94803261709431397</v>
      </c>
      <c r="N21" s="76">
        <v>0</v>
      </c>
      <c r="O21" s="76">
        <v>0</v>
      </c>
      <c r="P21" s="76">
        <v>0</v>
      </c>
      <c r="Q21" s="76">
        <v>78.303435258359997</v>
      </c>
      <c r="R21" s="76">
        <v>14.7096798186034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8.6867683047146205</v>
      </c>
      <c r="AF21" s="76">
        <v>0.23842371262618201</v>
      </c>
      <c r="AG21" s="76">
        <v>0</v>
      </c>
      <c r="AH21" s="76">
        <v>0</v>
      </c>
      <c r="AI21" s="76">
        <v>0</v>
      </c>
      <c r="AJ21" s="76">
        <v>-16.460184444410501</v>
      </c>
      <c r="AK21" s="76">
        <v>0</v>
      </c>
      <c r="AL21" s="76">
        <v>37.332906947733498</v>
      </c>
      <c r="AM21" s="76">
        <v>0</v>
      </c>
      <c r="AN21" s="76">
        <v>177.63428902429001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7">
        <v>4.8757308417399496</v>
      </c>
    </row>
    <row r="22" spans="2:46" ht="12" customHeight="1" x14ac:dyDescent="0.25">
      <c r="B22" s="75" t="s">
        <v>92</v>
      </c>
      <c r="C22" s="76" t="s">
        <v>60</v>
      </c>
      <c r="D22" s="76" t="s">
        <v>25</v>
      </c>
      <c r="E22" s="76" t="s">
        <v>25</v>
      </c>
      <c r="F22" s="76" t="s">
        <v>93</v>
      </c>
      <c r="G22" s="76" t="s">
        <v>25</v>
      </c>
      <c r="H22" s="76" t="s">
        <v>88</v>
      </c>
      <c r="I22" s="76" t="s">
        <v>25</v>
      </c>
      <c r="J22" s="76">
        <v>5.75</v>
      </c>
      <c r="K22" s="76">
        <v>0</v>
      </c>
      <c r="L22" s="76">
        <v>0</v>
      </c>
      <c r="M22" s="76">
        <v>1.1171077848612E-2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5.7340062153901803</v>
      </c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7">
        <v>0</v>
      </c>
    </row>
    <row r="23" spans="2:46" ht="12" customHeight="1" x14ac:dyDescent="0.25">
      <c r="B23" s="75" t="s">
        <v>92</v>
      </c>
      <c r="C23" s="76" t="s">
        <v>60</v>
      </c>
      <c r="D23" s="76" t="s">
        <v>25</v>
      </c>
      <c r="E23" s="76" t="s">
        <v>25</v>
      </c>
      <c r="F23" s="76" t="s">
        <v>94</v>
      </c>
      <c r="G23" s="76" t="s">
        <v>25</v>
      </c>
      <c r="H23" s="76" t="s">
        <v>88</v>
      </c>
      <c r="I23" s="76" t="s">
        <v>25</v>
      </c>
      <c r="J23" s="76">
        <v>11.68</v>
      </c>
      <c r="K23" s="76">
        <v>0</v>
      </c>
      <c r="L23" s="76">
        <v>0</v>
      </c>
      <c r="M23" s="76">
        <v>1.1171077848612E-2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  <c r="Z23" s="76">
        <v>0</v>
      </c>
      <c r="AA23" s="76">
        <v>11.6659734186313</v>
      </c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7">
        <v>0</v>
      </c>
    </row>
    <row r="24" spans="2:46" ht="12" customHeight="1" x14ac:dyDescent="0.25">
      <c r="B24" s="75" t="s">
        <v>22</v>
      </c>
      <c r="C24" s="76" t="s">
        <v>97</v>
      </c>
      <c r="D24" s="76" t="s">
        <v>24</v>
      </c>
      <c r="E24" s="76" t="s">
        <v>24</v>
      </c>
      <c r="F24" s="76" t="s">
        <v>25</v>
      </c>
      <c r="G24" s="76" t="s">
        <v>37</v>
      </c>
      <c r="H24" s="76" t="s">
        <v>82</v>
      </c>
      <c r="I24" s="76" t="s">
        <v>25</v>
      </c>
      <c r="J24" s="76">
        <v>822.25</v>
      </c>
      <c r="K24" s="76">
        <v>203.38</v>
      </c>
      <c r="L24" s="76">
        <v>0</v>
      </c>
      <c r="M24" s="76">
        <v>1.1501202344605099</v>
      </c>
      <c r="N24" s="76">
        <v>0</v>
      </c>
      <c r="O24" s="76">
        <v>0</v>
      </c>
      <c r="P24" s="76">
        <v>0</v>
      </c>
      <c r="Q24" s="76">
        <v>93.218375307571506</v>
      </c>
      <c r="R24" s="76">
        <v>14.7096798186034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195.93431841792</v>
      </c>
      <c r="Y24" s="76">
        <v>0</v>
      </c>
      <c r="Z24" s="76">
        <v>0</v>
      </c>
      <c r="AA24" s="76">
        <v>494.11942573615198</v>
      </c>
      <c r="AB24" s="76">
        <v>0</v>
      </c>
      <c r="AC24" s="76">
        <v>0</v>
      </c>
      <c r="AD24" s="76">
        <v>0</v>
      </c>
      <c r="AE24" s="76">
        <v>22.499110639816699</v>
      </c>
      <c r="AF24" s="76">
        <v>0.61752786552634498</v>
      </c>
      <c r="AG24" s="76">
        <v>0</v>
      </c>
      <c r="AH24" s="76">
        <v>0</v>
      </c>
      <c r="AI24" s="76">
        <v>0</v>
      </c>
      <c r="AJ24" s="76">
        <v>-16.460184444410501</v>
      </c>
      <c r="AK24" s="76">
        <v>0</v>
      </c>
      <c r="AL24" s="76">
        <v>37.332906947733498</v>
      </c>
      <c r="AM24" s="76">
        <v>0</v>
      </c>
      <c r="AN24" s="76">
        <v>177.63428902429001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7">
        <v>4.8757308417399496</v>
      </c>
    </row>
    <row r="25" spans="2:46" ht="12" customHeight="1" x14ac:dyDescent="0.25">
      <c r="B25" s="75" t="s">
        <v>22</v>
      </c>
      <c r="C25" s="76" t="s">
        <v>97</v>
      </c>
      <c r="D25" s="76" t="s">
        <v>24</v>
      </c>
      <c r="E25" s="76" t="s">
        <v>24</v>
      </c>
      <c r="F25" s="76" t="s">
        <v>25</v>
      </c>
      <c r="G25" s="76" t="s">
        <v>612</v>
      </c>
      <c r="H25" s="76" t="s">
        <v>82</v>
      </c>
      <c r="I25" s="76" t="s">
        <v>25</v>
      </c>
      <c r="J25" s="76">
        <v>546.23</v>
      </c>
      <c r="K25" s="76">
        <v>203.38</v>
      </c>
      <c r="L25" s="76">
        <v>0</v>
      </c>
      <c r="M25" s="76">
        <v>1.1501202344605099</v>
      </c>
      <c r="N25" s="76">
        <v>0</v>
      </c>
      <c r="O25" s="76">
        <v>0</v>
      </c>
      <c r="P25" s="76">
        <v>0</v>
      </c>
      <c r="Q25" s="76">
        <v>93.218375307571506</v>
      </c>
      <c r="R25" s="76">
        <v>14.7096798186034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117.560615187089</v>
      </c>
      <c r="Y25" s="76">
        <v>0</v>
      </c>
      <c r="Z25" s="76">
        <v>0</v>
      </c>
      <c r="AA25" s="76">
        <v>296.47184920448501</v>
      </c>
      <c r="AB25" s="76">
        <v>0</v>
      </c>
      <c r="AC25" s="76">
        <v>0</v>
      </c>
      <c r="AD25" s="76">
        <v>0</v>
      </c>
      <c r="AE25" s="76">
        <v>22.499110639816699</v>
      </c>
      <c r="AF25" s="76">
        <v>0.61752786552634498</v>
      </c>
      <c r="AG25" s="76">
        <v>0</v>
      </c>
      <c r="AH25" s="76">
        <v>0</v>
      </c>
      <c r="AI25" s="76">
        <v>0</v>
      </c>
      <c r="AJ25" s="76">
        <v>-16.460184444410501</v>
      </c>
      <c r="AK25" s="76">
        <v>0</v>
      </c>
      <c r="AL25" s="76">
        <v>37.332906947733498</v>
      </c>
      <c r="AM25" s="76">
        <v>0</v>
      </c>
      <c r="AN25" s="76">
        <v>177.63428902429001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7">
        <v>4.8757308417399496</v>
      </c>
    </row>
    <row r="26" spans="2:46" ht="12" customHeight="1" x14ac:dyDescent="0.25">
      <c r="B26" s="75" t="s">
        <v>22</v>
      </c>
      <c r="C26" s="76" t="s">
        <v>97</v>
      </c>
      <c r="D26" s="76" t="s">
        <v>24</v>
      </c>
      <c r="E26" s="76" t="s">
        <v>24</v>
      </c>
      <c r="F26" s="76" t="s">
        <v>25</v>
      </c>
      <c r="G26" s="76" t="s">
        <v>38</v>
      </c>
      <c r="H26" s="76" t="s">
        <v>82</v>
      </c>
      <c r="I26" s="76" t="s">
        <v>25</v>
      </c>
      <c r="J26" s="76">
        <v>270.24</v>
      </c>
      <c r="K26" s="76">
        <v>203.38</v>
      </c>
      <c r="L26" s="76">
        <v>0</v>
      </c>
      <c r="M26" s="76">
        <v>1.1501202344605099</v>
      </c>
      <c r="N26" s="76">
        <v>0</v>
      </c>
      <c r="O26" s="76">
        <v>0</v>
      </c>
      <c r="P26" s="76">
        <v>0</v>
      </c>
      <c r="Q26" s="76">
        <v>93.218375307571506</v>
      </c>
      <c r="R26" s="76">
        <v>14.7096798186034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39.222754416679997</v>
      </c>
      <c r="Y26" s="76">
        <v>0</v>
      </c>
      <c r="Z26" s="76">
        <v>0</v>
      </c>
      <c r="AA26" s="76">
        <v>98.8237882658335</v>
      </c>
      <c r="AB26" s="76">
        <v>0</v>
      </c>
      <c r="AC26" s="76">
        <v>0</v>
      </c>
      <c r="AD26" s="76">
        <v>0</v>
      </c>
      <c r="AE26" s="76">
        <v>22.499110639816699</v>
      </c>
      <c r="AF26" s="76">
        <v>0.61752786552634498</v>
      </c>
      <c r="AG26" s="76">
        <v>0</v>
      </c>
      <c r="AH26" s="76">
        <v>0</v>
      </c>
      <c r="AI26" s="76">
        <v>0</v>
      </c>
      <c r="AJ26" s="76">
        <v>-16.460184444410501</v>
      </c>
      <c r="AK26" s="76">
        <v>0</v>
      </c>
      <c r="AL26" s="76">
        <v>37.332906947733498</v>
      </c>
      <c r="AM26" s="76">
        <v>0</v>
      </c>
      <c r="AN26" s="76">
        <v>177.63428902429001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7">
        <v>4.8757308417399496</v>
      </c>
    </row>
    <row r="27" spans="2:46" ht="12" customHeight="1" x14ac:dyDescent="0.25">
      <c r="B27" s="75" t="s">
        <v>22</v>
      </c>
      <c r="C27" s="76" t="s">
        <v>23</v>
      </c>
      <c r="D27" s="76" t="s">
        <v>24</v>
      </c>
      <c r="E27" s="76" t="s">
        <v>1147</v>
      </c>
      <c r="F27" s="76" t="s">
        <v>25</v>
      </c>
      <c r="G27" s="76" t="s">
        <v>25</v>
      </c>
      <c r="H27" s="76" t="s">
        <v>82</v>
      </c>
      <c r="I27" s="76" t="s">
        <v>25</v>
      </c>
      <c r="J27" s="76">
        <v>279.81</v>
      </c>
      <c r="K27" s="76">
        <v>203.38</v>
      </c>
      <c r="L27" s="76">
        <v>0</v>
      </c>
      <c r="M27" s="76">
        <v>1.1501202344605099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72.535123314277897</v>
      </c>
      <c r="Y27" s="76">
        <v>0</v>
      </c>
      <c r="Z27" s="76">
        <v>0</v>
      </c>
      <c r="AA27" s="76">
        <v>183.007263490925</v>
      </c>
      <c r="AB27" s="76">
        <v>0</v>
      </c>
      <c r="AC27" s="76">
        <v>0</v>
      </c>
      <c r="AD27" s="76">
        <v>0</v>
      </c>
      <c r="AE27" s="76">
        <v>22.499110639816699</v>
      </c>
      <c r="AF27" s="76">
        <v>0.61752786552634498</v>
      </c>
      <c r="AG27" s="76">
        <v>0</v>
      </c>
      <c r="AH27" s="76">
        <v>0</v>
      </c>
      <c r="AI27" s="76">
        <v>0</v>
      </c>
      <c r="AJ27" s="76">
        <v>-16.460184444410501</v>
      </c>
      <c r="AK27" s="76">
        <v>0</v>
      </c>
      <c r="AL27" s="76">
        <v>37.332906947733498</v>
      </c>
      <c r="AM27" s="76">
        <v>0</v>
      </c>
      <c r="AN27" s="76">
        <v>177.63428902429001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7">
        <v>4.8757308417399496</v>
      </c>
    </row>
    <row r="28" spans="2:46" ht="12" customHeight="1" x14ac:dyDescent="0.25">
      <c r="B28" s="75" t="s">
        <v>22</v>
      </c>
      <c r="C28" s="76" t="s">
        <v>23</v>
      </c>
      <c r="D28" s="76" t="s">
        <v>24</v>
      </c>
      <c r="E28" s="76" t="s">
        <v>24</v>
      </c>
      <c r="F28" s="76" t="s">
        <v>25</v>
      </c>
      <c r="G28" s="76" t="s">
        <v>25</v>
      </c>
      <c r="H28" s="76" t="s">
        <v>82</v>
      </c>
      <c r="I28" s="76" t="s">
        <v>25</v>
      </c>
      <c r="J28" s="76">
        <v>387.74</v>
      </c>
      <c r="K28" s="76">
        <v>203.38</v>
      </c>
      <c r="L28" s="76">
        <v>0</v>
      </c>
      <c r="M28" s="76">
        <v>1.1501202344605099</v>
      </c>
      <c r="N28" s="76">
        <v>0</v>
      </c>
      <c r="O28" s="76">
        <v>0</v>
      </c>
      <c r="P28" s="76">
        <v>0</v>
      </c>
      <c r="Q28" s="76">
        <v>93.218375307571506</v>
      </c>
      <c r="R28" s="76">
        <v>14.7096798186034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72.535123314277897</v>
      </c>
      <c r="Y28" s="76">
        <v>0</v>
      </c>
      <c r="Z28" s="76">
        <v>0</v>
      </c>
      <c r="AA28" s="76">
        <v>183.007263490925</v>
      </c>
      <c r="AB28" s="76">
        <v>0</v>
      </c>
      <c r="AC28" s="76">
        <v>0</v>
      </c>
      <c r="AD28" s="76">
        <v>0</v>
      </c>
      <c r="AE28" s="76">
        <v>22.499110639816699</v>
      </c>
      <c r="AF28" s="76">
        <v>0.61752786552634498</v>
      </c>
      <c r="AG28" s="76">
        <v>0</v>
      </c>
      <c r="AH28" s="76">
        <v>0</v>
      </c>
      <c r="AI28" s="76">
        <v>0</v>
      </c>
      <c r="AJ28" s="76">
        <v>-16.460184444410501</v>
      </c>
      <c r="AK28" s="76">
        <v>0</v>
      </c>
      <c r="AL28" s="76">
        <v>37.332906947733498</v>
      </c>
      <c r="AM28" s="76">
        <v>0</v>
      </c>
      <c r="AN28" s="76">
        <v>177.63428902429001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7">
        <v>4.8757308417399496</v>
      </c>
    </row>
    <row r="29" spans="2:46" ht="12" customHeight="1" x14ac:dyDescent="0.25">
      <c r="B29" s="75" t="s">
        <v>22</v>
      </c>
      <c r="C29" s="76" t="s">
        <v>99</v>
      </c>
      <c r="D29" s="76" t="s">
        <v>24</v>
      </c>
      <c r="E29" s="76" t="s">
        <v>1147</v>
      </c>
      <c r="F29" s="76" t="s">
        <v>25</v>
      </c>
      <c r="G29" s="76" t="s">
        <v>25</v>
      </c>
      <c r="H29" s="76" t="s">
        <v>82</v>
      </c>
      <c r="I29" s="76" t="s">
        <v>25</v>
      </c>
      <c r="J29" s="76">
        <v>279.81</v>
      </c>
      <c r="K29" s="76">
        <v>203.38</v>
      </c>
      <c r="L29" s="76">
        <v>0</v>
      </c>
      <c r="M29" s="76">
        <v>1.1501202344605099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72.535123314277897</v>
      </c>
      <c r="Y29" s="76">
        <v>0</v>
      </c>
      <c r="Z29" s="76">
        <v>0</v>
      </c>
      <c r="AA29" s="76">
        <v>183.007263490925</v>
      </c>
      <c r="AB29" s="76">
        <v>0</v>
      </c>
      <c r="AC29" s="76">
        <v>0</v>
      </c>
      <c r="AD29" s="76">
        <v>0</v>
      </c>
      <c r="AE29" s="76">
        <v>22.499110639816699</v>
      </c>
      <c r="AF29" s="76">
        <v>0.61752786552634498</v>
      </c>
      <c r="AG29" s="76">
        <v>0</v>
      </c>
      <c r="AH29" s="76">
        <v>0</v>
      </c>
      <c r="AI29" s="76">
        <v>0</v>
      </c>
      <c r="AJ29" s="76">
        <v>-16.460184444410501</v>
      </c>
      <c r="AK29" s="76">
        <v>0</v>
      </c>
      <c r="AL29" s="76">
        <v>37.332906947733498</v>
      </c>
      <c r="AM29" s="76">
        <v>0</v>
      </c>
      <c r="AN29" s="76">
        <v>177.63428902429001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7">
        <v>4.8757308417399496</v>
      </c>
    </row>
    <row r="30" spans="2:46" ht="12" customHeight="1" x14ac:dyDescent="0.25">
      <c r="B30" s="75" t="s">
        <v>22</v>
      </c>
      <c r="C30" s="76" t="s">
        <v>99</v>
      </c>
      <c r="D30" s="76" t="s">
        <v>24</v>
      </c>
      <c r="E30" s="76" t="s">
        <v>24</v>
      </c>
      <c r="F30" s="76" t="s">
        <v>25</v>
      </c>
      <c r="G30" s="76" t="s">
        <v>25</v>
      </c>
      <c r="H30" s="76" t="s">
        <v>82</v>
      </c>
      <c r="I30" s="76" t="s">
        <v>25</v>
      </c>
      <c r="J30" s="76">
        <v>387.74</v>
      </c>
      <c r="K30" s="76">
        <v>203.38</v>
      </c>
      <c r="L30" s="76">
        <v>0</v>
      </c>
      <c r="M30" s="76">
        <v>1.1501202344605099</v>
      </c>
      <c r="N30" s="76">
        <v>0</v>
      </c>
      <c r="O30" s="76">
        <v>0</v>
      </c>
      <c r="P30" s="76">
        <v>0</v>
      </c>
      <c r="Q30" s="76">
        <v>93.218375307571506</v>
      </c>
      <c r="R30" s="76">
        <v>14.7096798186034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72.535123314277897</v>
      </c>
      <c r="Y30" s="76">
        <v>0</v>
      </c>
      <c r="Z30" s="76">
        <v>0</v>
      </c>
      <c r="AA30" s="76">
        <v>183.007263490925</v>
      </c>
      <c r="AB30" s="76">
        <v>0</v>
      </c>
      <c r="AC30" s="76">
        <v>0</v>
      </c>
      <c r="AD30" s="76">
        <v>0</v>
      </c>
      <c r="AE30" s="76">
        <v>22.499110639816699</v>
      </c>
      <c r="AF30" s="76">
        <v>0.61752786552634498</v>
      </c>
      <c r="AG30" s="76">
        <v>0</v>
      </c>
      <c r="AH30" s="76">
        <v>0</v>
      </c>
      <c r="AI30" s="76">
        <v>0</v>
      </c>
      <c r="AJ30" s="76">
        <v>-16.460184444410501</v>
      </c>
      <c r="AK30" s="76">
        <v>0</v>
      </c>
      <c r="AL30" s="76">
        <v>37.332906947733498</v>
      </c>
      <c r="AM30" s="76">
        <v>0</v>
      </c>
      <c r="AN30" s="76">
        <v>177.63428902429001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7">
        <v>4.8757308417399496</v>
      </c>
    </row>
    <row r="31" spans="2:46" ht="12" customHeight="1" x14ac:dyDescent="0.25">
      <c r="B31" s="75" t="s">
        <v>40</v>
      </c>
      <c r="C31" s="76" t="s">
        <v>97</v>
      </c>
      <c r="D31" s="76" t="s">
        <v>41</v>
      </c>
      <c r="E31" s="76" t="s">
        <v>100</v>
      </c>
      <c r="F31" s="76" t="s">
        <v>25</v>
      </c>
      <c r="G31" s="76" t="s">
        <v>37</v>
      </c>
      <c r="H31" s="76" t="s">
        <v>82</v>
      </c>
      <c r="I31" s="76" t="s">
        <v>25</v>
      </c>
      <c r="J31" s="76">
        <v>867.03</v>
      </c>
      <c r="K31" s="76">
        <v>191.18</v>
      </c>
      <c r="L31" s="76">
        <v>0</v>
      </c>
      <c r="M31" s="76">
        <v>1.08111302039288</v>
      </c>
      <c r="N31" s="76">
        <v>0</v>
      </c>
      <c r="O31" s="76">
        <v>0</v>
      </c>
      <c r="P31" s="76">
        <v>0</v>
      </c>
      <c r="Q31" s="76">
        <v>87.625272789117204</v>
      </c>
      <c r="R31" s="76">
        <v>13.827099029487201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235.29036575559701</v>
      </c>
      <c r="Y31" s="76">
        <v>0</v>
      </c>
      <c r="Z31" s="76">
        <v>0</v>
      </c>
      <c r="AA31" s="76">
        <v>507.47906197538498</v>
      </c>
      <c r="AB31" s="76">
        <v>0</v>
      </c>
      <c r="AC31" s="76">
        <v>0</v>
      </c>
      <c r="AD31" s="76">
        <v>0</v>
      </c>
      <c r="AE31" s="76">
        <v>21.1491640014277</v>
      </c>
      <c r="AF31" s="76">
        <v>0.58047619359476399</v>
      </c>
      <c r="AG31" s="76">
        <v>0</v>
      </c>
      <c r="AH31" s="76">
        <v>0</v>
      </c>
      <c r="AI31" s="76">
        <v>0</v>
      </c>
      <c r="AJ31" s="76">
        <v>-15.472573377745899</v>
      </c>
      <c r="AK31" s="76">
        <v>0</v>
      </c>
      <c r="AL31" s="76">
        <v>35.092932530869398</v>
      </c>
      <c r="AM31" s="76">
        <v>0</v>
      </c>
      <c r="AN31" s="76">
        <v>166.97623168283201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7">
        <v>4.5831869912355501</v>
      </c>
    </row>
    <row r="32" spans="2:46" ht="12" customHeight="1" x14ac:dyDescent="0.25">
      <c r="B32" s="75" t="s">
        <v>40</v>
      </c>
      <c r="C32" s="76" t="s">
        <v>97</v>
      </c>
      <c r="D32" s="76" t="s">
        <v>41</v>
      </c>
      <c r="E32" s="76" t="s">
        <v>100</v>
      </c>
      <c r="F32" s="76" t="s">
        <v>25</v>
      </c>
      <c r="G32" s="76" t="s">
        <v>612</v>
      </c>
      <c r="H32" s="76" t="s">
        <v>82</v>
      </c>
      <c r="I32" s="76" t="s">
        <v>25</v>
      </c>
      <c r="J32" s="76">
        <v>569.9</v>
      </c>
      <c r="K32" s="76">
        <v>191.18</v>
      </c>
      <c r="L32" s="76">
        <v>0</v>
      </c>
      <c r="M32" s="76">
        <v>1.08111302039288</v>
      </c>
      <c r="N32" s="76">
        <v>0</v>
      </c>
      <c r="O32" s="76">
        <v>0</v>
      </c>
      <c r="P32" s="76">
        <v>0</v>
      </c>
      <c r="Q32" s="76">
        <v>87.625272789117204</v>
      </c>
      <c r="R32" s="76">
        <v>13.827099029487201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141.147220546808</v>
      </c>
      <c r="Y32" s="76">
        <v>0</v>
      </c>
      <c r="Z32" s="76">
        <v>0</v>
      </c>
      <c r="AA32" s="76">
        <v>304.48734611671802</v>
      </c>
      <c r="AB32" s="76">
        <v>0</v>
      </c>
      <c r="AC32" s="76">
        <v>0</v>
      </c>
      <c r="AD32" s="76">
        <v>0</v>
      </c>
      <c r="AE32" s="76">
        <v>21.1491640014277</v>
      </c>
      <c r="AF32" s="76">
        <v>0.58047619359476399</v>
      </c>
      <c r="AG32" s="76">
        <v>0</v>
      </c>
      <c r="AH32" s="76">
        <v>0</v>
      </c>
      <c r="AI32" s="76">
        <v>0</v>
      </c>
      <c r="AJ32" s="76">
        <v>-15.472573377745899</v>
      </c>
      <c r="AK32" s="76">
        <v>0</v>
      </c>
      <c r="AL32" s="76">
        <v>35.092932530869398</v>
      </c>
      <c r="AM32" s="76">
        <v>0</v>
      </c>
      <c r="AN32" s="76">
        <v>166.97623168283201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7">
        <v>4.5831869912355501</v>
      </c>
    </row>
    <row r="33" spans="2:46" ht="12" customHeight="1" x14ac:dyDescent="0.25">
      <c r="B33" s="75" t="s">
        <v>40</v>
      </c>
      <c r="C33" s="76" t="s">
        <v>97</v>
      </c>
      <c r="D33" s="76" t="s">
        <v>41</v>
      </c>
      <c r="E33" s="76" t="s">
        <v>100</v>
      </c>
      <c r="F33" s="76" t="s">
        <v>25</v>
      </c>
      <c r="G33" s="76" t="s">
        <v>38</v>
      </c>
      <c r="H33" s="76" t="s">
        <v>82</v>
      </c>
      <c r="I33" s="76" t="s">
        <v>25</v>
      </c>
      <c r="J33" s="76">
        <v>272.8</v>
      </c>
      <c r="K33" s="76">
        <v>191.18</v>
      </c>
      <c r="L33" s="76">
        <v>0</v>
      </c>
      <c r="M33" s="76">
        <v>1.08111302039288</v>
      </c>
      <c r="N33" s="76">
        <v>0</v>
      </c>
      <c r="O33" s="76">
        <v>0</v>
      </c>
      <c r="P33" s="76">
        <v>0</v>
      </c>
      <c r="Q33" s="76">
        <v>87.625272789117204</v>
      </c>
      <c r="R33" s="76">
        <v>13.827099029487201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47.037880691598197</v>
      </c>
      <c r="Y33" s="76">
        <v>0</v>
      </c>
      <c r="Z33" s="76">
        <v>0</v>
      </c>
      <c r="AA33" s="76">
        <v>101.495782038906</v>
      </c>
      <c r="AB33" s="76">
        <v>0</v>
      </c>
      <c r="AC33" s="76">
        <v>0</v>
      </c>
      <c r="AD33" s="76">
        <v>0</v>
      </c>
      <c r="AE33" s="76">
        <v>21.1491640014277</v>
      </c>
      <c r="AF33" s="76">
        <v>0.58047619359476399</v>
      </c>
      <c r="AG33" s="76">
        <v>0</v>
      </c>
      <c r="AH33" s="76">
        <v>0</v>
      </c>
      <c r="AI33" s="76">
        <v>0</v>
      </c>
      <c r="AJ33" s="76">
        <v>-15.472573377745899</v>
      </c>
      <c r="AK33" s="76">
        <v>0</v>
      </c>
      <c r="AL33" s="76">
        <v>35.092932530869398</v>
      </c>
      <c r="AM33" s="76">
        <v>0</v>
      </c>
      <c r="AN33" s="76">
        <v>166.97623168283201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7">
        <v>4.5831869912355501</v>
      </c>
    </row>
    <row r="34" spans="2:46" ht="12" customHeight="1" x14ac:dyDescent="0.25">
      <c r="B34" s="75" t="s">
        <v>40</v>
      </c>
      <c r="C34" s="76" t="s">
        <v>97</v>
      </c>
      <c r="D34" s="76" t="s">
        <v>41</v>
      </c>
      <c r="E34" s="76" t="s">
        <v>25</v>
      </c>
      <c r="F34" s="76" t="s">
        <v>25</v>
      </c>
      <c r="G34" s="76" t="s">
        <v>37</v>
      </c>
      <c r="H34" s="76" t="s">
        <v>82</v>
      </c>
      <c r="I34" s="76" t="s">
        <v>25</v>
      </c>
      <c r="J34" s="76">
        <v>867.03</v>
      </c>
      <c r="K34" s="76">
        <v>191.18</v>
      </c>
      <c r="L34" s="76">
        <v>0</v>
      </c>
      <c r="M34" s="76">
        <v>1.08111302039288</v>
      </c>
      <c r="N34" s="76">
        <v>0</v>
      </c>
      <c r="O34" s="76">
        <v>0</v>
      </c>
      <c r="P34" s="76">
        <v>0</v>
      </c>
      <c r="Q34" s="76">
        <v>87.625272789117204</v>
      </c>
      <c r="R34" s="76">
        <v>13.827099029487201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235.29036575559701</v>
      </c>
      <c r="Y34" s="76">
        <v>0</v>
      </c>
      <c r="Z34" s="76">
        <v>0</v>
      </c>
      <c r="AA34" s="76">
        <v>507.47906197538498</v>
      </c>
      <c r="AB34" s="76">
        <v>0</v>
      </c>
      <c r="AC34" s="76">
        <v>0</v>
      </c>
      <c r="AD34" s="76">
        <v>0</v>
      </c>
      <c r="AE34" s="76">
        <v>21.1491640014277</v>
      </c>
      <c r="AF34" s="76">
        <v>0.58047619359476399</v>
      </c>
      <c r="AG34" s="76">
        <v>0</v>
      </c>
      <c r="AH34" s="76">
        <v>0</v>
      </c>
      <c r="AI34" s="76">
        <v>0</v>
      </c>
      <c r="AJ34" s="76">
        <v>-15.472573377745899</v>
      </c>
      <c r="AK34" s="76">
        <v>0</v>
      </c>
      <c r="AL34" s="76">
        <v>35.092932530869398</v>
      </c>
      <c r="AM34" s="76">
        <v>0</v>
      </c>
      <c r="AN34" s="76">
        <v>166.97623168283201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7">
        <v>4.5831869912355501</v>
      </c>
    </row>
    <row r="35" spans="2:46" ht="12" customHeight="1" x14ac:dyDescent="0.25">
      <c r="B35" s="75" t="s">
        <v>40</v>
      </c>
      <c r="C35" s="76" t="s">
        <v>97</v>
      </c>
      <c r="D35" s="76" t="s">
        <v>41</v>
      </c>
      <c r="E35" s="76" t="s">
        <v>25</v>
      </c>
      <c r="F35" s="76" t="s">
        <v>25</v>
      </c>
      <c r="G35" s="76" t="s">
        <v>612</v>
      </c>
      <c r="H35" s="76" t="s">
        <v>82</v>
      </c>
      <c r="I35" s="76" t="s">
        <v>25</v>
      </c>
      <c r="J35" s="76">
        <v>569.9</v>
      </c>
      <c r="K35" s="76">
        <v>191.18</v>
      </c>
      <c r="L35" s="76">
        <v>0</v>
      </c>
      <c r="M35" s="76">
        <v>1.08111302039288</v>
      </c>
      <c r="N35" s="76">
        <v>0</v>
      </c>
      <c r="O35" s="76">
        <v>0</v>
      </c>
      <c r="P35" s="76">
        <v>0</v>
      </c>
      <c r="Q35" s="76">
        <v>87.625272789117204</v>
      </c>
      <c r="R35" s="76">
        <v>13.827099029487201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141.147220546808</v>
      </c>
      <c r="Y35" s="76">
        <v>0</v>
      </c>
      <c r="Z35" s="76">
        <v>0</v>
      </c>
      <c r="AA35" s="76">
        <v>304.48734611671802</v>
      </c>
      <c r="AB35" s="76">
        <v>0</v>
      </c>
      <c r="AC35" s="76">
        <v>0</v>
      </c>
      <c r="AD35" s="76">
        <v>0</v>
      </c>
      <c r="AE35" s="76">
        <v>21.1491640014277</v>
      </c>
      <c r="AF35" s="76">
        <v>0.58047619359476399</v>
      </c>
      <c r="AG35" s="76">
        <v>0</v>
      </c>
      <c r="AH35" s="76">
        <v>0</v>
      </c>
      <c r="AI35" s="76">
        <v>0</v>
      </c>
      <c r="AJ35" s="76">
        <v>-15.472573377745899</v>
      </c>
      <c r="AK35" s="76">
        <v>0</v>
      </c>
      <c r="AL35" s="76">
        <v>35.092932530869398</v>
      </c>
      <c r="AM35" s="76">
        <v>0</v>
      </c>
      <c r="AN35" s="76">
        <v>166.97623168283201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7">
        <v>4.5831869912355501</v>
      </c>
    </row>
    <row r="36" spans="2:46" ht="12" customHeight="1" x14ac:dyDescent="0.25">
      <c r="B36" s="75" t="s">
        <v>40</v>
      </c>
      <c r="C36" s="76" t="s">
        <v>97</v>
      </c>
      <c r="D36" s="76" t="s">
        <v>41</v>
      </c>
      <c r="E36" s="76" t="s">
        <v>25</v>
      </c>
      <c r="F36" s="76" t="s">
        <v>25</v>
      </c>
      <c r="G36" s="76" t="s">
        <v>38</v>
      </c>
      <c r="H36" s="76" t="s">
        <v>82</v>
      </c>
      <c r="I36" s="76" t="s">
        <v>25</v>
      </c>
      <c r="J36" s="76">
        <v>272.8</v>
      </c>
      <c r="K36" s="76">
        <v>191.18</v>
      </c>
      <c r="L36" s="76">
        <v>0</v>
      </c>
      <c r="M36" s="76">
        <v>1.08111302039288</v>
      </c>
      <c r="N36" s="76">
        <v>0</v>
      </c>
      <c r="O36" s="76">
        <v>0</v>
      </c>
      <c r="P36" s="76">
        <v>0</v>
      </c>
      <c r="Q36" s="76">
        <v>87.625272789117204</v>
      </c>
      <c r="R36" s="76">
        <v>13.827099029487201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47.037880691598197</v>
      </c>
      <c r="Y36" s="76">
        <v>0</v>
      </c>
      <c r="Z36" s="76">
        <v>0</v>
      </c>
      <c r="AA36" s="76">
        <v>101.495782038906</v>
      </c>
      <c r="AB36" s="76">
        <v>0</v>
      </c>
      <c r="AC36" s="76">
        <v>0</v>
      </c>
      <c r="AD36" s="76">
        <v>0</v>
      </c>
      <c r="AE36" s="76">
        <v>21.1491640014277</v>
      </c>
      <c r="AF36" s="76">
        <v>0.58047619359476399</v>
      </c>
      <c r="AG36" s="76">
        <v>0</v>
      </c>
      <c r="AH36" s="76">
        <v>0</v>
      </c>
      <c r="AI36" s="76">
        <v>0</v>
      </c>
      <c r="AJ36" s="76">
        <v>-15.472573377745899</v>
      </c>
      <c r="AK36" s="76">
        <v>0</v>
      </c>
      <c r="AL36" s="76">
        <v>35.092932530869398</v>
      </c>
      <c r="AM36" s="76">
        <v>0</v>
      </c>
      <c r="AN36" s="76">
        <v>166.97623168283201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7">
        <v>4.5831869912355501</v>
      </c>
    </row>
    <row r="37" spans="2:46" ht="12" customHeight="1" x14ac:dyDescent="0.25">
      <c r="B37" s="75" t="s">
        <v>40</v>
      </c>
      <c r="C37" s="76" t="s">
        <v>97</v>
      </c>
      <c r="D37" s="76" t="s">
        <v>41</v>
      </c>
      <c r="E37" s="76" t="s">
        <v>101</v>
      </c>
      <c r="F37" s="76" t="s">
        <v>25</v>
      </c>
      <c r="G37" s="76" t="s">
        <v>37</v>
      </c>
      <c r="H37" s="76" t="s">
        <v>82</v>
      </c>
      <c r="I37" s="76" t="s">
        <v>25</v>
      </c>
      <c r="J37" s="76">
        <v>848.59</v>
      </c>
      <c r="K37" s="76">
        <v>187.11</v>
      </c>
      <c r="L37" s="76">
        <v>0</v>
      </c>
      <c r="M37" s="76">
        <v>1.0581106157036699</v>
      </c>
      <c r="N37" s="76">
        <v>0</v>
      </c>
      <c r="O37" s="76">
        <v>0</v>
      </c>
      <c r="P37" s="76">
        <v>0</v>
      </c>
      <c r="Q37" s="76">
        <v>85.760905282965794</v>
      </c>
      <c r="R37" s="76">
        <v>13.532905433115101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230.28418776079701</v>
      </c>
      <c r="Y37" s="76">
        <v>0</v>
      </c>
      <c r="Z37" s="76">
        <v>0</v>
      </c>
      <c r="AA37" s="76">
        <v>496.681635124845</v>
      </c>
      <c r="AB37" s="76">
        <v>0</v>
      </c>
      <c r="AC37" s="76">
        <v>0</v>
      </c>
      <c r="AD37" s="76">
        <v>0</v>
      </c>
      <c r="AE37" s="76">
        <v>20.6991817886314</v>
      </c>
      <c r="AF37" s="76">
        <v>0.56812563628423696</v>
      </c>
      <c r="AG37" s="76">
        <v>0</v>
      </c>
      <c r="AH37" s="76">
        <v>0</v>
      </c>
      <c r="AI37" s="76">
        <v>0</v>
      </c>
      <c r="AJ37" s="76">
        <v>-15.1433696888577</v>
      </c>
      <c r="AK37" s="76">
        <v>0</v>
      </c>
      <c r="AL37" s="76">
        <v>34.346274391914797</v>
      </c>
      <c r="AM37" s="76">
        <v>0</v>
      </c>
      <c r="AN37" s="76">
        <v>163.42354590234601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7">
        <v>4.4856723744007496</v>
      </c>
    </row>
    <row r="38" spans="2:46" ht="12" customHeight="1" x14ac:dyDescent="0.25">
      <c r="B38" s="75" t="s">
        <v>40</v>
      </c>
      <c r="C38" s="76" t="s">
        <v>97</v>
      </c>
      <c r="D38" s="76" t="s">
        <v>41</v>
      </c>
      <c r="E38" s="76" t="s">
        <v>101</v>
      </c>
      <c r="F38" s="76" t="s">
        <v>25</v>
      </c>
      <c r="G38" s="76" t="s">
        <v>612</v>
      </c>
      <c r="H38" s="76" t="s">
        <v>82</v>
      </c>
      <c r="I38" s="76" t="s">
        <v>25</v>
      </c>
      <c r="J38" s="76">
        <v>557.77</v>
      </c>
      <c r="K38" s="76">
        <v>187.11</v>
      </c>
      <c r="L38" s="76">
        <v>0</v>
      </c>
      <c r="M38" s="76">
        <v>1.0581106157036699</v>
      </c>
      <c r="N38" s="76">
        <v>0</v>
      </c>
      <c r="O38" s="76">
        <v>0</v>
      </c>
      <c r="P38" s="76">
        <v>0</v>
      </c>
      <c r="Q38" s="76">
        <v>85.760905282965794</v>
      </c>
      <c r="R38" s="76">
        <v>13.532905433115101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138.14408819474801</v>
      </c>
      <c r="Y38" s="76">
        <v>0</v>
      </c>
      <c r="Z38" s="76">
        <v>0</v>
      </c>
      <c r="AA38" s="76">
        <v>298.00889194402203</v>
      </c>
      <c r="AB38" s="76">
        <v>0</v>
      </c>
      <c r="AC38" s="76">
        <v>0</v>
      </c>
      <c r="AD38" s="76">
        <v>0</v>
      </c>
      <c r="AE38" s="76">
        <v>20.6991817886314</v>
      </c>
      <c r="AF38" s="76">
        <v>0.56812563628423696</v>
      </c>
      <c r="AG38" s="76">
        <v>0</v>
      </c>
      <c r="AH38" s="76">
        <v>0</v>
      </c>
      <c r="AI38" s="76">
        <v>0</v>
      </c>
      <c r="AJ38" s="76">
        <v>-15.1433696888577</v>
      </c>
      <c r="AK38" s="76">
        <v>0</v>
      </c>
      <c r="AL38" s="76">
        <v>34.346274391914797</v>
      </c>
      <c r="AM38" s="76">
        <v>0</v>
      </c>
      <c r="AN38" s="76">
        <v>163.42354590234601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7">
        <v>4.4856723744007496</v>
      </c>
    </row>
    <row r="39" spans="2:46" ht="12" customHeight="1" x14ac:dyDescent="0.25">
      <c r="B39" s="75" t="s">
        <v>40</v>
      </c>
      <c r="C39" s="76" t="s">
        <v>97</v>
      </c>
      <c r="D39" s="76" t="s">
        <v>41</v>
      </c>
      <c r="E39" s="76" t="s">
        <v>101</v>
      </c>
      <c r="F39" s="76" t="s">
        <v>25</v>
      </c>
      <c r="G39" s="76" t="s">
        <v>38</v>
      </c>
      <c r="H39" s="76" t="s">
        <v>82</v>
      </c>
      <c r="I39" s="76" t="s">
        <v>25</v>
      </c>
      <c r="J39" s="76">
        <v>266.99</v>
      </c>
      <c r="K39" s="76">
        <v>187.11</v>
      </c>
      <c r="L39" s="76">
        <v>0</v>
      </c>
      <c r="M39" s="76">
        <v>1.0581106157036699</v>
      </c>
      <c r="N39" s="76">
        <v>0</v>
      </c>
      <c r="O39" s="76">
        <v>0</v>
      </c>
      <c r="P39" s="76">
        <v>0</v>
      </c>
      <c r="Q39" s="76">
        <v>85.760905282965794</v>
      </c>
      <c r="R39" s="76">
        <v>13.532905433115101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46.037074719436603</v>
      </c>
      <c r="Y39" s="76">
        <v>0</v>
      </c>
      <c r="Z39" s="76">
        <v>0</v>
      </c>
      <c r="AA39" s="76">
        <v>99.336297314673999</v>
      </c>
      <c r="AB39" s="76">
        <v>0</v>
      </c>
      <c r="AC39" s="76">
        <v>0</v>
      </c>
      <c r="AD39" s="76">
        <v>0</v>
      </c>
      <c r="AE39" s="76">
        <v>20.6991817886314</v>
      </c>
      <c r="AF39" s="76">
        <v>0.56812563628423696</v>
      </c>
      <c r="AG39" s="76">
        <v>0</v>
      </c>
      <c r="AH39" s="76">
        <v>0</v>
      </c>
      <c r="AI39" s="76">
        <v>0</v>
      </c>
      <c r="AJ39" s="76">
        <v>-15.1433696888577</v>
      </c>
      <c r="AK39" s="76">
        <v>0</v>
      </c>
      <c r="AL39" s="76">
        <v>34.346274391914797</v>
      </c>
      <c r="AM39" s="76">
        <v>0</v>
      </c>
      <c r="AN39" s="76">
        <v>163.42354590234601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7">
        <v>4.4856723744007496</v>
      </c>
    </row>
    <row r="40" spans="2:46" ht="12" customHeight="1" x14ac:dyDescent="0.25">
      <c r="B40" s="75" t="s">
        <v>40</v>
      </c>
      <c r="C40" s="76" t="s">
        <v>23</v>
      </c>
      <c r="D40" s="76" t="s">
        <v>41</v>
      </c>
      <c r="E40" s="76" t="s">
        <v>100</v>
      </c>
      <c r="F40" s="76" t="s">
        <v>25</v>
      </c>
      <c r="G40" s="76" t="s">
        <v>25</v>
      </c>
      <c r="H40" s="76" t="s">
        <v>82</v>
      </c>
      <c r="I40" s="76" t="s">
        <v>25</v>
      </c>
      <c r="J40" s="76">
        <v>364.47</v>
      </c>
      <c r="K40" s="76">
        <v>191.18</v>
      </c>
      <c r="L40" s="76">
        <v>0</v>
      </c>
      <c r="M40" s="76">
        <v>1.08111302039288</v>
      </c>
      <c r="N40" s="76">
        <v>0</v>
      </c>
      <c r="O40" s="76">
        <v>0</v>
      </c>
      <c r="P40" s="76">
        <v>0</v>
      </c>
      <c r="Q40" s="76">
        <v>87.625272789117204</v>
      </c>
      <c r="R40" s="76">
        <v>13.827099029487201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68.183015915421194</v>
      </c>
      <c r="Y40" s="76">
        <v>0</v>
      </c>
      <c r="Z40" s="76">
        <v>0</v>
      </c>
      <c r="AA40" s="76">
        <v>172.026827681469</v>
      </c>
      <c r="AB40" s="76">
        <v>0</v>
      </c>
      <c r="AC40" s="76">
        <v>0</v>
      </c>
      <c r="AD40" s="76">
        <v>0</v>
      </c>
      <c r="AE40" s="76">
        <v>21.1491640014277</v>
      </c>
      <c r="AF40" s="76">
        <v>0.58047619359476399</v>
      </c>
      <c r="AG40" s="76">
        <v>0</v>
      </c>
      <c r="AH40" s="76">
        <v>0</v>
      </c>
      <c r="AI40" s="76">
        <v>0</v>
      </c>
      <c r="AJ40" s="76">
        <v>-15.472573377745899</v>
      </c>
      <c r="AK40" s="76">
        <v>0</v>
      </c>
      <c r="AL40" s="76">
        <v>35.092932530869398</v>
      </c>
      <c r="AM40" s="76">
        <v>0</v>
      </c>
      <c r="AN40" s="76">
        <v>166.97623168283201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7">
        <v>4.5831869912355501</v>
      </c>
    </row>
    <row r="41" spans="2:46" ht="12" customHeight="1" x14ac:dyDescent="0.25">
      <c r="B41" s="75" t="s">
        <v>40</v>
      </c>
      <c r="C41" s="76" t="s">
        <v>23</v>
      </c>
      <c r="D41" s="76" t="s">
        <v>41</v>
      </c>
      <c r="E41" s="76" t="s">
        <v>25</v>
      </c>
      <c r="F41" s="76" t="s">
        <v>25</v>
      </c>
      <c r="G41" s="76" t="s">
        <v>25</v>
      </c>
      <c r="H41" s="76" t="s">
        <v>82</v>
      </c>
      <c r="I41" s="76" t="s">
        <v>25</v>
      </c>
      <c r="J41" s="76">
        <v>364.47</v>
      </c>
      <c r="K41" s="76">
        <v>191.18</v>
      </c>
      <c r="L41" s="76">
        <v>0</v>
      </c>
      <c r="M41" s="76">
        <v>1.08111302039288</v>
      </c>
      <c r="N41" s="76">
        <v>0</v>
      </c>
      <c r="O41" s="76">
        <v>0</v>
      </c>
      <c r="P41" s="76">
        <v>0</v>
      </c>
      <c r="Q41" s="76">
        <v>87.625272789117204</v>
      </c>
      <c r="R41" s="76">
        <v>13.827099029487201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68.183015915421194</v>
      </c>
      <c r="Y41" s="76">
        <v>0</v>
      </c>
      <c r="Z41" s="76">
        <v>0</v>
      </c>
      <c r="AA41" s="76">
        <v>172.026827681469</v>
      </c>
      <c r="AB41" s="76">
        <v>0</v>
      </c>
      <c r="AC41" s="76">
        <v>0</v>
      </c>
      <c r="AD41" s="76">
        <v>0</v>
      </c>
      <c r="AE41" s="76">
        <v>21.1491640014277</v>
      </c>
      <c r="AF41" s="76">
        <v>0.58047619359476399</v>
      </c>
      <c r="AG41" s="76">
        <v>0</v>
      </c>
      <c r="AH41" s="76">
        <v>0</v>
      </c>
      <c r="AI41" s="76">
        <v>0</v>
      </c>
      <c r="AJ41" s="76">
        <v>-15.472573377745899</v>
      </c>
      <c r="AK41" s="76">
        <v>0</v>
      </c>
      <c r="AL41" s="76">
        <v>35.092932530869398</v>
      </c>
      <c r="AM41" s="76">
        <v>0</v>
      </c>
      <c r="AN41" s="76">
        <v>166.97623168283201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7">
        <v>4.5831869912355501</v>
      </c>
    </row>
    <row r="42" spans="2:46" ht="12" customHeight="1" x14ac:dyDescent="0.25">
      <c r="B42" s="75" t="s">
        <v>40</v>
      </c>
      <c r="C42" s="76" t="s">
        <v>23</v>
      </c>
      <c r="D42" s="76" t="s">
        <v>41</v>
      </c>
      <c r="E42" s="76" t="s">
        <v>101</v>
      </c>
      <c r="F42" s="76" t="s">
        <v>25</v>
      </c>
      <c r="G42" s="76" t="s">
        <v>25</v>
      </c>
      <c r="H42" s="76" t="s">
        <v>82</v>
      </c>
      <c r="I42" s="76" t="s">
        <v>25</v>
      </c>
      <c r="J42" s="76">
        <v>356.72</v>
      </c>
      <c r="K42" s="76">
        <v>187.11</v>
      </c>
      <c r="L42" s="76">
        <v>0</v>
      </c>
      <c r="M42" s="76">
        <v>1.0581106157036699</v>
      </c>
      <c r="N42" s="76">
        <v>0</v>
      </c>
      <c r="O42" s="76">
        <v>0</v>
      </c>
      <c r="P42" s="76">
        <v>0</v>
      </c>
      <c r="Q42" s="76">
        <v>85.760905282965794</v>
      </c>
      <c r="R42" s="76">
        <v>13.532905433115101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76">
        <v>66.732313449135702</v>
      </c>
      <c r="Y42" s="76">
        <v>0</v>
      </c>
      <c r="Z42" s="76">
        <v>0</v>
      </c>
      <c r="AA42" s="76">
        <v>168.366682411651</v>
      </c>
      <c r="AB42" s="76">
        <v>0</v>
      </c>
      <c r="AC42" s="76">
        <v>0</v>
      </c>
      <c r="AD42" s="76">
        <v>0</v>
      </c>
      <c r="AE42" s="76">
        <v>20.6991817886314</v>
      </c>
      <c r="AF42" s="76">
        <v>0.56812563628423696</v>
      </c>
      <c r="AG42" s="76">
        <v>0</v>
      </c>
      <c r="AH42" s="76">
        <v>0</v>
      </c>
      <c r="AI42" s="76">
        <v>0</v>
      </c>
      <c r="AJ42" s="76">
        <v>-15.1433696888577</v>
      </c>
      <c r="AK42" s="76">
        <v>0</v>
      </c>
      <c r="AL42" s="76">
        <v>34.346274391914797</v>
      </c>
      <c r="AM42" s="76">
        <v>0</v>
      </c>
      <c r="AN42" s="76">
        <v>163.42354590234601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7">
        <v>4.4856723744007496</v>
      </c>
    </row>
    <row r="43" spans="2:46" ht="12" customHeight="1" x14ac:dyDescent="0.25">
      <c r="B43" s="75" t="s">
        <v>40</v>
      </c>
      <c r="C43" s="76" t="s">
        <v>99</v>
      </c>
      <c r="D43" s="76" t="s">
        <v>41</v>
      </c>
      <c r="E43" s="76" t="s">
        <v>100</v>
      </c>
      <c r="F43" s="76" t="s">
        <v>25</v>
      </c>
      <c r="G43" s="76" t="s">
        <v>25</v>
      </c>
      <c r="H43" s="76" t="s">
        <v>82</v>
      </c>
      <c r="I43" s="76" t="s">
        <v>25</v>
      </c>
      <c r="J43" s="76">
        <v>364.47</v>
      </c>
      <c r="K43" s="76">
        <v>191.18</v>
      </c>
      <c r="L43" s="76">
        <v>0</v>
      </c>
      <c r="M43" s="76">
        <v>1.08111302039288</v>
      </c>
      <c r="N43" s="76">
        <v>0</v>
      </c>
      <c r="O43" s="76">
        <v>0</v>
      </c>
      <c r="P43" s="76">
        <v>0</v>
      </c>
      <c r="Q43" s="76">
        <v>87.625272789117204</v>
      </c>
      <c r="R43" s="76">
        <v>13.827099029487201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68.183015915421194</v>
      </c>
      <c r="Y43" s="76">
        <v>0</v>
      </c>
      <c r="Z43" s="76">
        <v>0</v>
      </c>
      <c r="AA43" s="76">
        <v>172.026827681469</v>
      </c>
      <c r="AB43" s="76">
        <v>0</v>
      </c>
      <c r="AC43" s="76">
        <v>0</v>
      </c>
      <c r="AD43" s="76">
        <v>0</v>
      </c>
      <c r="AE43" s="76">
        <v>21.1491640014277</v>
      </c>
      <c r="AF43" s="76">
        <v>0.58047619359476399</v>
      </c>
      <c r="AG43" s="76">
        <v>0</v>
      </c>
      <c r="AH43" s="76">
        <v>0</v>
      </c>
      <c r="AI43" s="76">
        <v>0</v>
      </c>
      <c r="AJ43" s="76">
        <v>-15.472573377745899</v>
      </c>
      <c r="AK43" s="76">
        <v>0</v>
      </c>
      <c r="AL43" s="76">
        <v>35.092932530869398</v>
      </c>
      <c r="AM43" s="76">
        <v>0</v>
      </c>
      <c r="AN43" s="76">
        <v>166.97623168283201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7">
        <v>4.5831869912355501</v>
      </c>
    </row>
    <row r="44" spans="2:46" ht="12" customHeight="1" x14ac:dyDescent="0.25">
      <c r="B44" s="75" t="s">
        <v>40</v>
      </c>
      <c r="C44" s="76" t="s">
        <v>99</v>
      </c>
      <c r="D44" s="76" t="s">
        <v>41</v>
      </c>
      <c r="E44" s="76" t="s">
        <v>25</v>
      </c>
      <c r="F44" s="76" t="s">
        <v>25</v>
      </c>
      <c r="G44" s="76" t="s">
        <v>25</v>
      </c>
      <c r="H44" s="76" t="s">
        <v>82</v>
      </c>
      <c r="I44" s="76" t="s">
        <v>25</v>
      </c>
      <c r="J44" s="76">
        <v>364.47</v>
      </c>
      <c r="K44" s="76">
        <v>191.18</v>
      </c>
      <c r="L44" s="76">
        <v>0</v>
      </c>
      <c r="M44" s="76">
        <v>1.08111302039288</v>
      </c>
      <c r="N44" s="76">
        <v>0</v>
      </c>
      <c r="O44" s="76">
        <v>0</v>
      </c>
      <c r="P44" s="76">
        <v>0</v>
      </c>
      <c r="Q44" s="76">
        <v>87.625272789117204</v>
      </c>
      <c r="R44" s="76">
        <v>13.827099029487201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68.183015915421194</v>
      </c>
      <c r="Y44" s="76">
        <v>0</v>
      </c>
      <c r="Z44" s="76">
        <v>0</v>
      </c>
      <c r="AA44" s="76">
        <v>172.026827681469</v>
      </c>
      <c r="AB44" s="76">
        <v>0</v>
      </c>
      <c r="AC44" s="76">
        <v>0</v>
      </c>
      <c r="AD44" s="76">
        <v>0</v>
      </c>
      <c r="AE44" s="76">
        <v>21.1491640014277</v>
      </c>
      <c r="AF44" s="76">
        <v>0.58047619359476399</v>
      </c>
      <c r="AG44" s="76">
        <v>0</v>
      </c>
      <c r="AH44" s="76">
        <v>0</v>
      </c>
      <c r="AI44" s="76">
        <v>0</v>
      </c>
      <c r="AJ44" s="76">
        <v>-15.472573377745899</v>
      </c>
      <c r="AK44" s="76">
        <v>0</v>
      </c>
      <c r="AL44" s="76">
        <v>35.092932530869398</v>
      </c>
      <c r="AM44" s="76">
        <v>0</v>
      </c>
      <c r="AN44" s="76">
        <v>166.97623168283201</v>
      </c>
      <c r="AO44" s="76">
        <v>0</v>
      </c>
      <c r="AP44" s="76">
        <v>0</v>
      </c>
      <c r="AQ44" s="76">
        <v>0</v>
      </c>
      <c r="AR44" s="76">
        <v>0</v>
      </c>
      <c r="AS44" s="76">
        <v>0</v>
      </c>
      <c r="AT44" s="77">
        <v>4.5831869912355501</v>
      </c>
    </row>
    <row r="45" spans="2:46" ht="12" customHeight="1" x14ac:dyDescent="0.25">
      <c r="B45" s="75" t="s">
        <v>40</v>
      </c>
      <c r="C45" s="76" t="s">
        <v>99</v>
      </c>
      <c r="D45" s="76" t="s">
        <v>41</v>
      </c>
      <c r="E45" s="76" t="s">
        <v>101</v>
      </c>
      <c r="F45" s="76" t="s">
        <v>25</v>
      </c>
      <c r="G45" s="76" t="s">
        <v>25</v>
      </c>
      <c r="H45" s="76" t="s">
        <v>82</v>
      </c>
      <c r="I45" s="76" t="s">
        <v>25</v>
      </c>
      <c r="J45" s="76">
        <v>356.72</v>
      </c>
      <c r="K45" s="76">
        <v>187.11</v>
      </c>
      <c r="L45" s="76">
        <v>0</v>
      </c>
      <c r="M45" s="76">
        <v>1.0581106157036699</v>
      </c>
      <c r="N45" s="76">
        <v>0</v>
      </c>
      <c r="O45" s="76">
        <v>0</v>
      </c>
      <c r="P45" s="76">
        <v>0</v>
      </c>
      <c r="Q45" s="76">
        <v>85.760905282965794</v>
      </c>
      <c r="R45" s="76">
        <v>13.532905433115101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66.732313449135702</v>
      </c>
      <c r="Y45" s="76">
        <v>0</v>
      </c>
      <c r="Z45" s="76">
        <v>0</v>
      </c>
      <c r="AA45" s="76">
        <v>168.366682411651</v>
      </c>
      <c r="AB45" s="76">
        <v>0</v>
      </c>
      <c r="AC45" s="76">
        <v>0</v>
      </c>
      <c r="AD45" s="76">
        <v>0</v>
      </c>
      <c r="AE45" s="76">
        <v>20.6991817886314</v>
      </c>
      <c r="AF45" s="76">
        <v>0.56812563628423696</v>
      </c>
      <c r="AG45" s="76">
        <v>0</v>
      </c>
      <c r="AH45" s="76">
        <v>0</v>
      </c>
      <c r="AI45" s="76">
        <v>0</v>
      </c>
      <c r="AJ45" s="76">
        <v>-15.1433696888577</v>
      </c>
      <c r="AK45" s="76">
        <v>0</v>
      </c>
      <c r="AL45" s="76">
        <v>34.346274391914797</v>
      </c>
      <c r="AM45" s="76">
        <v>0</v>
      </c>
      <c r="AN45" s="76">
        <v>163.42354590234601</v>
      </c>
      <c r="AO45" s="76">
        <v>0</v>
      </c>
      <c r="AP45" s="76">
        <v>0</v>
      </c>
      <c r="AQ45" s="76">
        <v>0</v>
      </c>
      <c r="AR45" s="76">
        <v>0</v>
      </c>
      <c r="AS45" s="76">
        <v>0</v>
      </c>
      <c r="AT45" s="77">
        <v>4.4856723744007496</v>
      </c>
    </row>
    <row r="46" spans="2:46" ht="12" customHeight="1" x14ac:dyDescent="0.25">
      <c r="B46" s="75" t="s">
        <v>33</v>
      </c>
      <c r="C46" s="76" t="s">
        <v>97</v>
      </c>
      <c r="D46" s="76" t="s">
        <v>25</v>
      </c>
      <c r="E46" s="76" t="s">
        <v>25</v>
      </c>
      <c r="F46" s="76" t="s">
        <v>25</v>
      </c>
      <c r="G46" s="76" t="s">
        <v>37</v>
      </c>
      <c r="H46" s="76" t="s">
        <v>82</v>
      </c>
      <c r="I46" s="76" t="s">
        <v>25</v>
      </c>
      <c r="J46" s="76">
        <v>1013.88</v>
      </c>
      <c r="K46" s="76">
        <v>203.38</v>
      </c>
      <c r="L46" s="76">
        <v>0</v>
      </c>
      <c r="M46" s="76">
        <v>1.1501202344605099</v>
      </c>
      <c r="N46" s="76">
        <v>0</v>
      </c>
      <c r="O46" s="76">
        <v>0</v>
      </c>
      <c r="P46" s="76">
        <v>0</v>
      </c>
      <c r="Q46" s="76">
        <v>93.218375307571506</v>
      </c>
      <c r="R46" s="76">
        <v>14.7096798186034</v>
      </c>
      <c r="S46" s="76">
        <v>0</v>
      </c>
      <c r="T46" s="76">
        <v>0</v>
      </c>
      <c r="U46" s="76">
        <v>0</v>
      </c>
      <c r="V46" s="76">
        <v>0</v>
      </c>
      <c r="W46" s="76">
        <v>0</v>
      </c>
      <c r="X46" s="76">
        <v>250.308899739997</v>
      </c>
      <c r="Y46" s="76">
        <v>0</v>
      </c>
      <c r="Z46" s="76">
        <v>0</v>
      </c>
      <c r="AA46" s="76">
        <v>631.37485317072196</v>
      </c>
      <c r="AB46" s="76">
        <v>0</v>
      </c>
      <c r="AC46" s="76">
        <v>0</v>
      </c>
      <c r="AD46" s="76">
        <v>0</v>
      </c>
      <c r="AE46" s="76">
        <v>22.499110639816699</v>
      </c>
      <c r="AF46" s="76">
        <v>0.61752786552634498</v>
      </c>
      <c r="AG46" s="76">
        <v>0</v>
      </c>
      <c r="AH46" s="76">
        <v>0</v>
      </c>
      <c r="AI46" s="76">
        <v>0</v>
      </c>
      <c r="AJ46" s="76">
        <v>-16.460184444410501</v>
      </c>
      <c r="AK46" s="76">
        <v>0</v>
      </c>
      <c r="AL46" s="76">
        <v>37.332906947733498</v>
      </c>
      <c r="AM46" s="76">
        <v>0</v>
      </c>
      <c r="AN46" s="76">
        <v>177.63428902429001</v>
      </c>
      <c r="AO46" s="76">
        <v>0</v>
      </c>
      <c r="AP46" s="76">
        <v>0</v>
      </c>
      <c r="AQ46" s="76">
        <v>0</v>
      </c>
      <c r="AR46" s="76">
        <v>0</v>
      </c>
      <c r="AS46" s="76">
        <v>0</v>
      </c>
      <c r="AT46" s="77">
        <v>4.8757308417399496</v>
      </c>
    </row>
    <row r="47" spans="2:46" ht="12" customHeight="1" x14ac:dyDescent="0.25">
      <c r="B47" s="75" t="s">
        <v>33</v>
      </c>
      <c r="C47" s="76" t="s">
        <v>97</v>
      </c>
      <c r="D47" s="76" t="s">
        <v>25</v>
      </c>
      <c r="E47" s="76" t="s">
        <v>25</v>
      </c>
      <c r="F47" s="76" t="s">
        <v>25</v>
      </c>
      <c r="G47" s="76" t="s">
        <v>612</v>
      </c>
      <c r="H47" s="76" t="s">
        <v>82</v>
      </c>
      <c r="I47" s="76" t="s">
        <v>25</v>
      </c>
      <c r="J47" s="76">
        <v>661.18</v>
      </c>
      <c r="K47" s="76">
        <v>203.38</v>
      </c>
      <c r="L47" s="76">
        <v>0</v>
      </c>
      <c r="M47" s="76">
        <v>1.1501202344605099</v>
      </c>
      <c r="N47" s="76">
        <v>0</v>
      </c>
      <c r="O47" s="76">
        <v>0</v>
      </c>
      <c r="P47" s="76">
        <v>0</v>
      </c>
      <c r="Q47" s="76">
        <v>93.218375307571506</v>
      </c>
      <c r="R47" s="76">
        <v>14.7096798186034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150.15661760298701</v>
      </c>
      <c r="Y47" s="76">
        <v>0</v>
      </c>
      <c r="Z47" s="76">
        <v>0</v>
      </c>
      <c r="AA47" s="76">
        <v>378.82491190243297</v>
      </c>
      <c r="AB47" s="76">
        <v>0</v>
      </c>
      <c r="AC47" s="76">
        <v>0</v>
      </c>
      <c r="AD47" s="76">
        <v>0</v>
      </c>
      <c r="AE47" s="76">
        <v>22.499110639816699</v>
      </c>
      <c r="AF47" s="76">
        <v>0.61752786552634498</v>
      </c>
      <c r="AG47" s="76">
        <v>0</v>
      </c>
      <c r="AH47" s="76">
        <v>0</v>
      </c>
      <c r="AI47" s="76">
        <v>0</v>
      </c>
      <c r="AJ47" s="76">
        <v>-16.460184444410501</v>
      </c>
      <c r="AK47" s="76">
        <v>0</v>
      </c>
      <c r="AL47" s="76">
        <v>37.332906947733498</v>
      </c>
      <c r="AM47" s="76">
        <v>0</v>
      </c>
      <c r="AN47" s="76">
        <v>177.63428902429001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7">
        <v>4.8757308417399496</v>
      </c>
    </row>
    <row r="48" spans="2:46" ht="12" customHeight="1" x14ac:dyDescent="0.25">
      <c r="B48" s="75" t="s">
        <v>33</v>
      </c>
      <c r="C48" s="76" t="s">
        <v>97</v>
      </c>
      <c r="D48" s="76" t="s">
        <v>25</v>
      </c>
      <c r="E48" s="76" t="s">
        <v>25</v>
      </c>
      <c r="F48" s="76" t="s">
        <v>25</v>
      </c>
      <c r="G48" s="76" t="s">
        <v>38</v>
      </c>
      <c r="H48" s="76" t="s">
        <v>82</v>
      </c>
      <c r="I48" s="76" t="s">
        <v>25</v>
      </c>
      <c r="J48" s="76">
        <v>308.51</v>
      </c>
      <c r="K48" s="76">
        <v>203.38</v>
      </c>
      <c r="L48" s="76">
        <v>0</v>
      </c>
      <c r="M48" s="76">
        <v>1.1501202344605099</v>
      </c>
      <c r="N48" s="76">
        <v>0</v>
      </c>
      <c r="O48" s="76">
        <v>0</v>
      </c>
      <c r="P48" s="76">
        <v>0</v>
      </c>
      <c r="Q48" s="76">
        <v>93.218375307571506</v>
      </c>
      <c r="R48" s="76">
        <v>14.7096798186034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50.040298608083198</v>
      </c>
      <c r="Y48" s="76">
        <v>0</v>
      </c>
      <c r="Z48" s="76">
        <v>0</v>
      </c>
      <c r="AA48" s="76">
        <v>126.275132103139</v>
      </c>
      <c r="AB48" s="76">
        <v>0</v>
      </c>
      <c r="AC48" s="76">
        <v>0</v>
      </c>
      <c r="AD48" s="76">
        <v>0</v>
      </c>
      <c r="AE48" s="76">
        <v>22.499110639816699</v>
      </c>
      <c r="AF48" s="76">
        <v>0.61752786552634498</v>
      </c>
      <c r="AG48" s="76">
        <v>0</v>
      </c>
      <c r="AH48" s="76">
        <v>0</v>
      </c>
      <c r="AI48" s="76">
        <v>0</v>
      </c>
      <c r="AJ48" s="76">
        <v>-16.460184444410501</v>
      </c>
      <c r="AK48" s="76">
        <v>0</v>
      </c>
      <c r="AL48" s="76">
        <v>37.332906947733498</v>
      </c>
      <c r="AM48" s="76">
        <v>0</v>
      </c>
      <c r="AN48" s="76">
        <v>177.63428902429001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7">
        <v>4.8757308417399496</v>
      </c>
    </row>
    <row r="49" spans="2:46" ht="12" customHeight="1" x14ac:dyDescent="0.25">
      <c r="B49" s="75" t="s">
        <v>33</v>
      </c>
      <c r="C49" s="76" t="s">
        <v>23</v>
      </c>
      <c r="D49" s="76" t="s">
        <v>25</v>
      </c>
      <c r="E49" s="76" t="s">
        <v>25</v>
      </c>
      <c r="F49" s="76" t="s">
        <v>25</v>
      </c>
      <c r="G49" s="76" t="s">
        <v>25</v>
      </c>
      <c r="H49" s="76" t="s">
        <v>82</v>
      </c>
      <c r="I49" s="76" t="s">
        <v>25</v>
      </c>
      <c r="J49" s="76">
        <v>387.74</v>
      </c>
      <c r="K49" s="76">
        <v>203.38</v>
      </c>
      <c r="L49" s="76">
        <v>0</v>
      </c>
      <c r="M49" s="76">
        <v>1.1501202344605099</v>
      </c>
      <c r="N49" s="76">
        <v>0</v>
      </c>
      <c r="O49" s="76">
        <v>0</v>
      </c>
      <c r="P49" s="76">
        <v>0</v>
      </c>
      <c r="Q49" s="76">
        <v>93.218375307571506</v>
      </c>
      <c r="R49" s="76">
        <v>14.7096798186034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72.535123314277897</v>
      </c>
      <c r="Y49" s="76">
        <v>0</v>
      </c>
      <c r="Z49" s="76">
        <v>0</v>
      </c>
      <c r="AA49" s="76">
        <v>183.007263490925</v>
      </c>
      <c r="AB49" s="76">
        <v>0</v>
      </c>
      <c r="AC49" s="76">
        <v>0</v>
      </c>
      <c r="AD49" s="76">
        <v>0</v>
      </c>
      <c r="AE49" s="76">
        <v>22.499110639816699</v>
      </c>
      <c r="AF49" s="76">
        <v>0.61752786552634498</v>
      </c>
      <c r="AG49" s="76">
        <v>0</v>
      </c>
      <c r="AH49" s="76">
        <v>0</v>
      </c>
      <c r="AI49" s="76">
        <v>0</v>
      </c>
      <c r="AJ49" s="76">
        <v>-16.460184444410501</v>
      </c>
      <c r="AK49" s="76">
        <v>0</v>
      </c>
      <c r="AL49" s="76">
        <v>37.332906947733498</v>
      </c>
      <c r="AM49" s="76">
        <v>0</v>
      </c>
      <c r="AN49" s="76">
        <v>177.63428902429001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7">
        <v>4.8757308417399496</v>
      </c>
    </row>
    <row r="50" spans="2:46" ht="12" customHeight="1" x14ac:dyDescent="0.25">
      <c r="B50" s="75" t="s">
        <v>33</v>
      </c>
      <c r="C50" s="76" t="s">
        <v>99</v>
      </c>
      <c r="D50" s="76" t="s">
        <v>25</v>
      </c>
      <c r="E50" s="76" t="s">
        <v>25</v>
      </c>
      <c r="F50" s="76" t="s">
        <v>25</v>
      </c>
      <c r="G50" s="76" t="s">
        <v>25</v>
      </c>
      <c r="H50" s="76" t="s">
        <v>82</v>
      </c>
      <c r="I50" s="76" t="s">
        <v>25</v>
      </c>
      <c r="J50" s="76">
        <v>387.74</v>
      </c>
      <c r="K50" s="76">
        <v>203.38</v>
      </c>
      <c r="L50" s="76">
        <v>0</v>
      </c>
      <c r="M50" s="76">
        <v>1.1501202344605099</v>
      </c>
      <c r="N50" s="76">
        <v>0</v>
      </c>
      <c r="O50" s="76">
        <v>0</v>
      </c>
      <c r="P50" s="76">
        <v>0</v>
      </c>
      <c r="Q50" s="76">
        <v>93.218375307571506</v>
      </c>
      <c r="R50" s="76">
        <v>14.7096798186034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72.535123314277897</v>
      </c>
      <c r="Y50" s="76">
        <v>0</v>
      </c>
      <c r="Z50" s="76">
        <v>0</v>
      </c>
      <c r="AA50" s="76">
        <v>183.007263490925</v>
      </c>
      <c r="AB50" s="76">
        <v>0</v>
      </c>
      <c r="AC50" s="76">
        <v>0</v>
      </c>
      <c r="AD50" s="76">
        <v>0</v>
      </c>
      <c r="AE50" s="76">
        <v>22.499110639816699</v>
      </c>
      <c r="AF50" s="76">
        <v>0.61752786552634498</v>
      </c>
      <c r="AG50" s="76">
        <v>0</v>
      </c>
      <c r="AH50" s="76">
        <v>0</v>
      </c>
      <c r="AI50" s="76">
        <v>0</v>
      </c>
      <c r="AJ50" s="76">
        <v>-16.460184444410501</v>
      </c>
      <c r="AK50" s="76">
        <v>0</v>
      </c>
      <c r="AL50" s="76">
        <v>37.332906947733498</v>
      </c>
      <c r="AM50" s="76">
        <v>0</v>
      </c>
      <c r="AN50" s="76">
        <v>177.63428902429001</v>
      </c>
      <c r="AO50" s="76">
        <v>0</v>
      </c>
      <c r="AP50" s="76">
        <v>0</v>
      </c>
      <c r="AQ50" s="76">
        <v>0</v>
      </c>
      <c r="AR50" s="76">
        <v>0</v>
      </c>
      <c r="AS50" s="76">
        <v>0</v>
      </c>
      <c r="AT50" s="77">
        <v>4.8757308417399496</v>
      </c>
    </row>
    <row r="51" spans="2:46" ht="12" customHeight="1" x14ac:dyDescent="0.25">
      <c r="B51" s="75" t="s">
        <v>43</v>
      </c>
      <c r="C51" s="76" t="s">
        <v>23</v>
      </c>
      <c r="D51" s="76" t="s">
        <v>44</v>
      </c>
      <c r="E51" s="76" t="s">
        <v>45</v>
      </c>
      <c r="F51" s="76" t="s">
        <v>25</v>
      </c>
      <c r="G51" s="76" t="s">
        <v>25</v>
      </c>
      <c r="H51" s="76" t="s">
        <v>82</v>
      </c>
      <c r="I51" s="76" t="s">
        <v>25</v>
      </c>
      <c r="J51" s="76">
        <v>213.26</v>
      </c>
      <c r="K51" s="76">
        <v>111.86</v>
      </c>
      <c r="L51" s="76">
        <v>0</v>
      </c>
      <c r="M51" s="76">
        <v>0.63256612895327902</v>
      </c>
      <c r="N51" s="76">
        <v>0</v>
      </c>
      <c r="O51" s="76">
        <v>0</v>
      </c>
      <c r="P51" s="76">
        <v>0</v>
      </c>
      <c r="Q51" s="76">
        <v>51.2701064191643</v>
      </c>
      <c r="R51" s="76">
        <v>8.0903239002318692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39.894317822852798</v>
      </c>
      <c r="Y51" s="76">
        <v>0</v>
      </c>
      <c r="Z51" s="76">
        <v>0</v>
      </c>
      <c r="AA51" s="76">
        <v>100.653994920009</v>
      </c>
      <c r="AB51" s="76">
        <v>0</v>
      </c>
      <c r="AC51" s="76">
        <v>0</v>
      </c>
      <c r="AD51" s="76">
        <v>0</v>
      </c>
      <c r="AE51" s="76">
        <v>12.374510851899201</v>
      </c>
      <c r="AF51" s="76">
        <v>0.33964032603949001</v>
      </c>
      <c r="AG51" s="76">
        <v>0</v>
      </c>
      <c r="AH51" s="76">
        <v>0</v>
      </c>
      <c r="AI51" s="76">
        <v>0</v>
      </c>
      <c r="AJ51" s="76">
        <v>-9.0531014444257707</v>
      </c>
      <c r="AK51" s="76">
        <v>0</v>
      </c>
      <c r="AL51" s="76">
        <v>20.5330988212534</v>
      </c>
      <c r="AM51" s="76">
        <v>0</v>
      </c>
      <c r="AN51" s="76">
        <v>97.698858963359299</v>
      </c>
      <c r="AO51" s="76">
        <v>0</v>
      </c>
      <c r="AP51" s="76">
        <v>0</v>
      </c>
      <c r="AQ51" s="76">
        <v>0</v>
      </c>
      <c r="AR51" s="76">
        <v>0</v>
      </c>
      <c r="AS51" s="76">
        <v>0</v>
      </c>
      <c r="AT51" s="77">
        <v>2.6816519629569702</v>
      </c>
    </row>
    <row r="52" spans="2:46" ht="12" customHeight="1" x14ac:dyDescent="0.25">
      <c r="B52" s="78" t="s">
        <v>43</v>
      </c>
      <c r="C52" s="79" t="s">
        <v>23</v>
      </c>
      <c r="D52" s="79" t="s">
        <v>44</v>
      </c>
      <c r="E52" s="79" t="s">
        <v>102</v>
      </c>
      <c r="F52" s="79" t="s">
        <v>25</v>
      </c>
      <c r="G52" s="79" t="s">
        <v>25</v>
      </c>
      <c r="H52" s="79" t="s">
        <v>82</v>
      </c>
      <c r="I52" s="79" t="s">
        <v>25</v>
      </c>
      <c r="J52" s="79">
        <v>232.64</v>
      </c>
      <c r="K52" s="79">
        <v>122.03</v>
      </c>
      <c r="L52" s="79">
        <v>0</v>
      </c>
      <c r="M52" s="79">
        <v>0.69007214067630396</v>
      </c>
      <c r="N52" s="79">
        <v>0</v>
      </c>
      <c r="O52" s="79">
        <v>0</v>
      </c>
      <c r="P52" s="79">
        <v>0</v>
      </c>
      <c r="Q52" s="79">
        <v>55.931025184542897</v>
      </c>
      <c r="R52" s="79">
        <v>8.8258078911620395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43.521073988566698</v>
      </c>
      <c r="Y52" s="79">
        <v>0</v>
      </c>
      <c r="Z52" s="79">
        <v>0</v>
      </c>
      <c r="AA52" s="79">
        <v>109.804358094555</v>
      </c>
      <c r="AB52" s="79">
        <v>0</v>
      </c>
      <c r="AC52" s="79">
        <v>0</v>
      </c>
      <c r="AD52" s="79">
        <v>0</v>
      </c>
      <c r="AE52" s="79">
        <v>13.499466383890001</v>
      </c>
      <c r="AF52" s="79">
        <v>0.37051671931580699</v>
      </c>
      <c r="AG52" s="79">
        <v>0</v>
      </c>
      <c r="AH52" s="79">
        <v>0</v>
      </c>
      <c r="AI52" s="79">
        <v>0</v>
      </c>
      <c r="AJ52" s="79">
        <v>-9.8761106666462997</v>
      </c>
      <c r="AK52" s="79">
        <v>0</v>
      </c>
      <c r="AL52" s="79">
        <v>22.399744168640101</v>
      </c>
      <c r="AM52" s="79">
        <v>0</v>
      </c>
      <c r="AN52" s="79">
        <v>106.580573414574</v>
      </c>
      <c r="AO52" s="79">
        <v>0</v>
      </c>
      <c r="AP52" s="79">
        <v>0</v>
      </c>
      <c r="AQ52" s="79">
        <v>0</v>
      </c>
      <c r="AR52" s="79">
        <v>0</v>
      </c>
      <c r="AS52" s="79">
        <v>0</v>
      </c>
      <c r="AT52" s="80">
        <v>2.92543850504397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6738-634F-44E7-8656-A9767DBBFBAA}">
  <dimension ref="B1:AT52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5.1406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1149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465</v>
      </c>
      <c r="M2" s="118"/>
      <c r="N2" s="118"/>
      <c r="O2" s="118"/>
      <c r="P2" s="118"/>
      <c r="Q2" s="118"/>
      <c r="R2" s="118"/>
      <c r="S2" s="119"/>
      <c r="T2" s="118" t="s">
        <v>474</v>
      </c>
      <c r="U2" s="118"/>
      <c r="V2" s="118"/>
      <c r="W2" s="118"/>
      <c r="X2" s="118"/>
      <c r="Y2" s="118"/>
      <c r="Z2" s="119"/>
      <c r="AA2" s="82" t="s">
        <v>482</v>
      </c>
      <c r="AB2" s="118" t="s">
        <v>25</v>
      </c>
      <c r="AC2" s="118"/>
      <c r="AD2" s="119"/>
      <c r="AE2" s="118" t="s">
        <v>1148</v>
      </c>
      <c r="AF2" s="118"/>
      <c r="AG2" s="118"/>
      <c r="AH2" s="119"/>
      <c r="AI2" s="118" t="s">
        <v>465</v>
      </c>
      <c r="AJ2" s="118"/>
      <c r="AK2" s="118"/>
      <c r="AL2" s="118"/>
      <c r="AM2" s="119"/>
      <c r="AN2" s="82" t="s">
        <v>496</v>
      </c>
      <c r="AO2" s="118" t="s">
        <v>474</v>
      </c>
      <c r="AP2" s="118"/>
      <c r="AQ2" s="118"/>
      <c r="AR2" s="118"/>
      <c r="AS2" s="119"/>
      <c r="AT2" s="81" t="s">
        <v>1148</v>
      </c>
    </row>
    <row r="3" spans="2:46" ht="12" customHeight="1" x14ac:dyDescent="0.25">
      <c r="B3" s="72" t="s">
        <v>72</v>
      </c>
      <c r="C3" s="73" t="s">
        <v>73</v>
      </c>
      <c r="D3" s="73" t="s">
        <v>74</v>
      </c>
      <c r="E3" s="73" t="s">
        <v>75</v>
      </c>
      <c r="F3" s="73" t="s">
        <v>76</v>
      </c>
      <c r="G3" s="73" t="s">
        <v>78</v>
      </c>
      <c r="H3" s="73" t="s">
        <v>79</v>
      </c>
      <c r="I3" s="73" t="s">
        <v>744</v>
      </c>
      <c r="J3" s="73" t="s">
        <v>1110</v>
      </c>
      <c r="K3" s="73" t="s">
        <v>1111</v>
      </c>
      <c r="L3" s="73" t="s">
        <v>1112</v>
      </c>
      <c r="M3" s="73" t="s">
        <v>1113</v>
      </c>
      <c r="N3" s="73" t="s">
        <v>1114</v>
      </c>
      <c r="O3" s="73" t="s">
        <v>1115</v>
      </c>
      <c r="P3" s="73" t="s">
        <v>1116</v>
      </c>
      <c r="Q3" s="73" t="s">
        <v>1117</v>
      </c>
      <c r="R3" s="73" t="s">
        <v>1118</v>
      </c>
      <c r="S3" s="73" t="s">
        <v>1119</v>
      </c>
      <c r="T3" s="73" t="s">
        <v>1120</v>
      </c>
      <c r="U3" s="73" t="s">
        <v>1121</v>
      </c>
      <c r="V3" s="73" t="s">
        <v>1122</v>
      </c>
      <c r="W3" s="73" t="s">
        <v>1123</v>
      </c>
      <c r="X3" s="73" t="s">
        <v>1124</v>
      </c>
      <c r="Y3" s="73" t="s">
        <v>1125</v>
      </c>
      <c r="Z3" s="73" t="s">
        <v>1126</v>
      </c>
      <c r="AA3" s="73" t="s">
        <v>1127</v>
      </c>
      <c r="AB3" s="73" t="s">
        <v>1128</v>
      </c>
      <c r="AC3" s="73" t="s">
        <v>1129</v>
      </c>
      <c r="AD3" s="73" t="s">
        <v>1130</v>
      </c>
      <c r="AE3" s="73" t="s">
        <v>1131</v>
      </c>
      <c r="AF3" s="73" t="s">
        <v>1132</v>
      </c>
      <c r="AG3" s="73" t="s">
        <v>1133</v>
      </c>
      <c r="AH3" s="73" t="s">
        <v>1134</v>
      </c>
      <c r="AI3" s="73" t="s">
        <v>1135</v>
      </c>
      <c r="AJ3" s="73" t="s">
        <v>1136</v>
      </c>
      <c r="AK3" s="73" t="s">
        <v>1137</v>
      </c>
      <c r="AL3" s="73" t="s">
        <v>1138</v>
      </c>
      <c r="AM3" s="73" t="s">
        <v>1139</v>
      </c>
      <c r="AN3" s="73" t="s">
        <v>1140</v>
      </c>
      <c r="AO3" s="73" t="s">
        <v>1141</v>
      </c>
      <c r="AP3" s="73" t="s">
        <v>1142</v>
      </c>
      <c r="AQ3" s="73" t="s">
        <v>1143</v>
      </c>
      <c r="AR3" s="73" t="s">
        <v>1144</v>
      </c>
      <c r="AS3" s="73" t="s">
        <v>1145</v>
      </c>
      <c r="AT3" s="74" t="s">
        <v>1146</v>
      </c>
    </row>
    <row r="4" spans="2:46" ht="12" customHeight="1" x14ac:dyDescent="0.25">
      <c r="B4" s="75" t="s">
        <v>35</v>
      </c>
      <c r="C4" s="76" t="s">
        <v>48</v>
      </c>
      <c r="D4" s="76" t="s">
        <v>25</v>
      </c>
      <c r="E4" s="76" t="s">
        <v>25</v>
      </c>
      <c r="F4" s="76" t="s">
        <v>54</v>
      </c>
      <c r="G4" s="76" t="s">
        <v>37</v>
      </c>
      <c r="H4" s="76" t="s">
        <v>82</v>
      </c>
      <c r="I4" s="76" t="s">
        <v>25</v>
      </c>
      <c r="J4" s="76">
        <v>10.51</v>
      </c>
      <c r="K4" s="76">
        <v>0</v>
      </c>
      <c r="L4" s="76">
        <v>0</v>
      </c>
      <c r="M4" s="76">
        <v>0.91934546165588504</v>
      </c>
      <c r="N4" s="76">
        <v>0</v>
      </c>
      <c r="O4" s="76">
        <v>0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  <c r="AA4" s="76">
        <v>0</v>
      </c>
      <c r="AB4" s="76">
        <v>0</v>
      </c>
      <c r="AC4" s="76">
        <v>0</v>
      </c>
      <c r="AD4" s="76">
        <v>0</v>
      </c>
      <c r="AE4" s="76">
        <v>9.3336074833259293</v>
      </c>
      <c r="AF4" s="76">
        <v>0.256177357368021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7">
        <v>0</v>
      </c>
    </row>
    <row r="5" spans="2:46" ht="12" customHeight="1" x14ac:dyDescent="0.25">
      <c r="B5" s="75" t="s">
        <v>35</v>
      </c>
      <c r="C5" s="76" t="s">
        <v>48</v>
      </c>
      <c r="D5" s="76" t="s">
        <v>25</v>
      </c>
      <c r="E5" s="76" t="s">
        <v>25</v>
      </c>
      <c r="F5" s="76" t="s">
        <v>54</v>
      </c>
      <c r="G5" s="76" t="s">
        <v>37</v>
      </c>
      <c r="H5" s="76" t="s">
        <v>88</v>
      </c>
      <c r="I5" s="76" t="s">
        <v>25</v>
      </c>
      <c r="J5" s="76">
        <v>85.34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s="76">
        <v>0</v>
      </c>
      <c r="W5" s="76">
        <v>0</v>
      </c>
      <c r="X5" s="76">
        <v>21.505990955123501</v>
      </c>
      <c r="Y5" s="76">
        <v>0</v>
      </c>
      <c r="Z5" s="76">
        <v>0</v>
      </c>
      <c r="AA5" s="76">
        <v>63.836818283129404</v>
      </c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7">
        <v>0</v>
      </c>
    </row>
    <row r="6" spans="2:46" ht="12" customHeight="1" x14ac:dyDescent="0.25">
      <c r="B6" s="75" t="s">
        <v>35</v>
      </c>
      <c r="C6" s="76" t="s">
        <v>48</v>
      </c>
      <c r="D6" s="76" t="s">
        <v>25</v>
      </c>
      <c r="E6" s="76" t="s">
        <v>25</v>
      </c>
      <c r="F6" s="76" t="s">
        <v>54</v>
      </c>
      <c r="G6" s="76" t="s">
        <v>38</v>
      </c>
      <c r="H6" s="76" t="s">
        <v>82</v>
      </c>
      <c r="I6" s="76" t="s">
        <v>25</v>
      </c>
      <c r="J6" s="76">
        <v>10.51</v>
      </c>
      <c r="K6" s="76">
        <v>0</v>
      </c>
      <c r="L6" s="76">
        <v>0</v>
      </c>
      <c r="M6" s="76">
        <v>0.91934546165588504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76">
        <v>0</v>
      </c>
      <c r="AC6" s="76">
        <v>0</v>
      </c>
      <c r="AD6" s="76">
        <v>0</v>
      </c>
      <c r="AE6" s="76">
        <v>9.3336074833259293</v>
      </c>
      <c r="AF6" s="76">
        <v>0.256177357368021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7">
        <v>0</v>
      </c>
    </row>
    <row r="7" spans="2:46" ht="12" customHeight="1" x14ac:dyDescent="0.25">
      <c r="B7" s="75" t="s">
        <v>35</v>
      </c>
      <c r="C7" s="76" t="s">
        <v>48</v>
      </c>
      <c r="D7" s="76" t="s">
        <v>25</v>
      </c>
      <c r="E7" s="76" t="s">
        <v>25</v>
      </c>
      <c r="F7" s="76" t="s">
        <v>54</v>
      </c>
      <c r="G7" s="76" t="s">
        <v>38</v>
      </c>
      <c r="H7" s="76" t="s">
        <v>88</v>
      </c>
      <c r="I7" s="76" t="s">
        <v>25</v>
      </c>
      <c r="J7" s="76">
        <v>26.53</v>
      </c>
      <c r="K7" s="76">
        <v>0</v>
      </c>
      <c r="L7" s="76">
        <v>0</v>
      </c>
      <c r="M7" s="76">
        <v>0</v>
      </c>
      <c r="N7" s="76">
        <v>0</v>
      </c>
      <c r="O7" s="76">
        <v>0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0</v>
      </c>
      <c r="X7" s="76">
        <v>8.6924242281492798</v>
      </c>
      <c r="Y7" s="76">
        <v>0</v>
      </c>
      <c r="Z7" s="76">
        <v>0</v>
      </c>
      <c r="AA7" s="76">
        <v>17.838167950467401</v>
      </c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7">
        <v>0</v>
      </c>
    </row>
    <row r="8" spans="2:46" ht="12" customHeight="1" x14ac:dyDescent="0.25">
      <c r="B8" s="75" t="s">
        <v>35</v>
      </c>
      <c r="C8" s="76" t="s">
        <v>48</v>
      </c>
      <c r="D8" s="76" t="s">
        <v>25</v>
      </c>
      <c r="E8" s="76" t="s">
        <v>25</v>
      </c>
      <c r="F8" s="76" t="s">
        <v>25</v>
      </c>
      <c r="G8" s="76" t="s">
        <v>37</v>
      </c>
      <c r="H8" s="76" t="s">
        <v>82</v>
      </c>
      <c r="I8" s="76" t="s">
        <v>25</v>
      </c>
      <c r="J8" s="76">
        <v>101.17</v>
      </c>
      <c r="K8" s="76">
        <v>207.14</v>
      </c>
      <c r="L8" s="76">
        <v>0</v>
      </c>
      <c r="M8" s="76">
        <v>0.91934546165588504</v>
      </c>
      <c r="N8" s="76">
        <v>0</v>
      </c>
      <c r="O8" s="76">
        <v>0</v>
      </c>
      <c r="P8" s="76">
        <v>0</v>
      </c>
      <c r="Q8" s="76">
        <v>76.306043617853206</v>
      </c>
      <c r="R8" s="76">
        <v>14.351930687165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  <c r="Z8" s="76">
        <v>0</v>
      </c>
      <c r="AA8" s="76">
        <v>0</v>
      </c>
      <c r="AB8" s="76">
        <v>0</v>
      </c>
      <c r="AC8" s="76">
        <v>0</v>
      </c>
      <c r="AD8" s="76">
        <v>0</v>
      </c>
      <c r="AE8" s="76">
        <v>9.3336074833259293</v>
      </c>
      <c r="AF8" s="76">
        <v>0.256177357368021</v>
      </c>
      <c r="AG8" s="76">
        <v>0</v>
      </c>
      <c r="AH8" s="76">
        <v>0</v>
      </c>
      <c r="AI8" s="76">
        <v>0</v>
      </c>
      <c r="AJ8" s="76">
        <v>-16.460184444410501</v>
      </c>
      <c r="AK8" s="76">
        <v>0</v>
      </c>
      <c r="AL8" s="76">
        <v>27.5004166204595</v>
      </c>
      <c r="AM8" s="76">
        <v>0</v>
      </c>
      <c r="AN8" s="76">
        <v>190.861396456557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7">
        <v>5.2387903389167203</v>
      </c>
    </row>
    <row r="9" spans="2:46" ht="12" customHeight="1" x14ac:dyDescent="0.25">
      <c r="B9" s="75" t="s">
        <v>35</v>
      </c>
      <c r="C9" s="76" t="s">
        <v>48</v>
      </c>
      <c r="D9" s="76" t="s">
        <v>25</v>
      </c>
      <c r="E9" s="76" t="s">
        <v>25</v>
      </c>
      <c r="F9" s="76" t="s">
        <v>25</v>
      </c>
      <c r="G9" s="76" t="s">
        <v>37</v>
      </c>
      <c r="H9" s="76" t="s">
        <v>88</v>
      </c>
      <c r="I9" s="76" t="s">
        <v>25</v>
      </c>
      <c r="J9" s="76">
        <v>85.34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21.505990955123501</v>
      </c>
      <c r="Y9" s="76">
        <v>0</v>
      </c>
      <c r="Z9" s="76">
        <v>0</v>
      </c>
      <c r="AA9" s="76">
        <v>63.836818283129404</v>
      </c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7">
        <v>0</v>
      </c>
    </row>
    <row r="10" spans="2:46" ht="12" customHeight="1" x14ac:dyDescent="0.25">
      <c r="B10" s="75" t="s">
        <v>35</v>
      </c>
      <c r="C10" s="76" t="s">
        <v>48</v>
      </c>
      <c r="D10" s="76" t="s">
        <v>25</v>
      </c>
      <c r="E10" s="76" t="s">
        <v>25</v>
      </c>
      <c r="F10" s="76" t="s">
        <v>25</v>
      </c>
      <c r="G10" s="76" t="s">
        <v>38</v>
      </c>
      <c r="H10" s="76" t="s">
        <v>82</v>
      </c>
      <c r="I10" s="76" t="s">
        <v>25</v>
      </c>
      <c r="J10" s="76">
        <v>101.17</v>
      </c>
      <c r="K10" s="76">
        <v>207.14</v>
      </c>
      <c r="L10" s="76">
        <v>0</v>
      </c>
      <c r="M10" s="76">
        <v>0.91934546165588504</v>
      </c>
      <c r="N10" s="76">
        <v>0</v>
      </c>
      <c r="O10" s="76">
        <v>0</v>
      </c>
      <c r="P10" s="76">
        <v>0</v>
      </c>
      <c r="Q10" s="76">
        <v>76.306043617853206</v>
      </c>
      <c r="R10" s="76">
        <v>14.351930687165</v>
      </c>
      <c r="S10" s="76">
        <v>0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>
        <v>0</v>
      </c>
      <c r="Z10" s="76">
        <v>0</v>
      </c>
      <c r="AA10" s="76">
        <v>0</v>
      </c>
      <c r="AB10" s="76">
        <v>0</v>
      </c>
      <c r="AC10" s="76">
        <v>0</v>
      </c>
      <c r="AD10" s="76">
        <v>0</v>
      </c>
      <c r="AE10" s="76">
        <v>9.3336074833259293</v>
      </c>
      <c r="AF10" s="76">
        <v>0.256177357368021</v>
      </c>
      <c r="AG10" s="76">
        <v>0</v>
      </c>
      <c r="AH10" s="76">
        <v>0</v>
      </c>
      <c r="AI10" s="76">
        <v>0</v>
      </c>
      <c r="AJ10" s="76">
        <v>-16.460184444410501</v>
      </c>
      <c r="AK10" s="76">
        <v>0</v>
      </c>
      <c r="AL10" s="76">
        <v>27.5004166204595</v>
      </c>
      <c r="AM10" s="76">
        <v>0</v>
      </c>
      <c r="AN10" s="76">
        <v>190.861396456557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7">
        <v>5.2387903389167203</v>
      </c>
    </row>
    <row r="11" spans="2:46" ht="12" customHeight="1" x14ac:dyDescent="0.25">
      <c r="B11" s="75" t="s">
        <v>35</v>
      </c>
      <c r="C11" s="76" t="s">
        <v>48</v>
      </c>
      <c r="D11" s="76" t="s">
        <v>25</v>
      </c>
      <c r="E11" s="76" t="s">
        <v>25</v>
      </c>
      <c r="F11" s="76" t="s">
        <v>25</v>
      </c>
      <c r="G11" s="76" t="s">
        <v>38</v>
      </c>
      <c r="H11" s="76" t="s">
        <v>88</v>
      </c>
      <c r="I11" s="76" t="s">
        <v>25</v>
      </c>
      <c r="J11" s="76">
        <v>26.53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0</v>
      </c>
      <c r="X11" s="76">
        <v>8.6924242281492798</v>
      </c>
      <c r="Y11" s="76">
        <v>0</v>
      </c>
      <c r="Z11" s="76">
        <v>0</v>
      </c>
      <c r="AA11" s="76">
        <v>17.838167950467401</v>
      </c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7">
        <v>0</v>
      </c>
    </row>
    <row r="12" spans="2:46" ht="12" customHeight="1" x14ac:dyDescent="0.25">
      <c r="B12" s="75" t="s">
        <v>35</v>
      </c>
      <c r="C12" s="76" t="s">
        <v>56</v>
      </c>
      <c r="D12" s="76" t="s">
        <v>25</v>
      </c>
      <c r="E12" s="76" t="s">
        <v>25</v>
      </c>
      <c r="F12" s="76" t="s">
        <v>25</v>
      </c>
      <c r="G12" s="76" t="s">
        <v>37</v>
      </c>
      <c r="H12" s="76" t="s">
        <v>88</v>
      </c>
      <c r="I12" s="76" t="s">
        <v>58</v>
      </c>
      <c r="J12" s="76">
        <v>62.38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21.505990955123501</v>
      </c>
      <c r="Y12" s="76">
        <v>0</v>
      </c>
      <c r="Z12" s="76">
        <v>0</v>
      </c>
      <c r="AA12" s="76">
        <v>40.878807690689698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7">
        <v>0</v>
      </c>
    </row>
    <row r="13" spans="2:46" ht="12" customHeight="1" x14ac:dyDescent="0.25">
      <c r="B13" s="75" t="s">
        <v>35</v>
      </c>
      <c r="C13" s="76" t="s">
        <v>56</v>
      </c>
      <c r="D13" s="76" t="s">
        <v>25</v>
      </c>
      <c r="E13" s="76" t="s">
        <v>25</v>
      </c>
      <c r="F13" s="76" t="s">
        <v>25</v>
      </c>
      <c r="G13" s="76" t="s">
        <v>25</v>
      </c>
      <c r="H13" s="76" t="s">
        <v>82</v>
      </c>
      <c r="I13" s="76" t="s">
        <v>58</v>
      </c>
      <c r="J13" s="76">
        <v>9.59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  <c r="AA13" s="76">
        <v>0</v>
      </c>
      <c r="AB13" s="76">
        <v>0</v>
      </c>
      <c r="AC13" s="76">
        <v>0</v>
      </c>
      <c r="AD13" s="76">
        <v>0</v>
      </c>
      <c r="AE13" s="76">
        <v>9.3336074833259293</v>
      </c>
      <c r="AF13" s="76">
        <v>0.256177357368021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7">
        <v>0</v>
      </c>
    </row>
    <row r="14" spans="2:46" ht="12" customHeight="1" x14ac:dyDescent="0.25">
      <c r="B14" s="75" t="s">
        <v>35</v>
      </c>
      <c r="C14" s="76" t="s">
        <v>56</v>
      </c>
      <c r="D14" s="76" t="s">
        <v>25</v>
      </c>
      <c r="E14" s="76" t="s">
        <v>25</v>
      </c>
      <c r="F14" s="76" t="s">
        <v>25</v>
      </c>
      <c r="G14" s="76" t="s">
        <v>38</v>
      </c>
      <c r="H14" s="76" t="s">
        <v>88</v>
      </c>
      <c r="I14" s="76" t="s">
        <v>58</v>
      </c>
      <c r="J14" s="76">
        <v>20.12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8.6924242281492798</v>
      </c>
      <c r="Y14" s="76">
        <v>0</v>
      </c>
      <c r="Z14" s="76">
        <v>0</v>
      </c>
      <c r="AA14" s="76">
        <v>11.422629948583699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7">
        <v>0</v>
      </c>
    </row>
    <row r="15" spans="2:46" ht="12" customHeight="1" x14ac:dyDescent="0.25">
      <c r="B15" s="75" t="s">
        <v>35</v>
      </c>
      <c r="C15" s="76" t="s">
        <v>60</v>
      </c>
      <c r="D15" s="76" t="s">
        <v>25</v>
      </c>
      <c r="E15" s="76" t="s">
        <v>25</v>
      </c>
      <c r="F15" s="76" t="s">
        <v>25</v>
      </c>
      <c r="G15" s="76" t="s">
        <v>25</v>
      </c>
      <c r="H15" s="76" t="s">
        <v>88</v>
      </c>
      <c r="I15" s="76" t="s">
        <v>25</v>
      </c>
      <c r="J15" s="76">
        <v>5.16</v>
      </c>
      <c r="K15" s="76">
        <v>0</v>
      </c>
      <c r="L15" s="76">
        <v>0</v>
      </c>
      <c r="M15" s="76">
        <v>1.05293144787498E-2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5.14457278407468</v>
      </c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7">
        <v>0</v>
      </c>
    </row>
    <row r="16" spans="2:46" ht="12" customHeight="1" x14ac:dyDescent="0.25">
      <c r="B16" s="75" t="s">
        <v>35</v>
      </c>
      <c r="C16" s="76" t="s">
        <v>36</v>
      </c>
      <c r="D16" s="76" t="s">
        <v>25</v>
      </c>
      <c r="E16" s="76" t="s">
        <v>25</v>
      </c>
      <c r="F16" s="76" t="s">
        <v>54</v>
      </c>
      <c r="G16" s="76" t="s">
        <v>37</v>
      </c>
      <c r="H16" s="76" t="s">
        <v>82</v>
      </c>
      <c r="I16" s="76" t="s">
        <v>25</v>
      </c>
      <c r="J16" s="76">
        <v>2063.21</v>
      </c>
      <c r="K16" s="76">
        <v>0</v>
      </c>
      <c r="L16" s="76">
        <v>0</v>
      </c>
      <c r="M16" s="76">
        <v>0.91934546165588504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517.42361112911999</v>
      </c>
      <c r="Y16" s="76">
        <v>0</v>
      </c>
      <c r="Z16" s="76">
        <v>0</v>
      </c>
      <c r="AA16" s="76">
        <v>1535.27804648704</v>
      </c>
      <c r="AB16" s="76">
        <v>0</v>
      </c>
      <c r="AC16" s="76">
        <v>0</v>
      </c>
      <c r="AD16" s="76">
        <v>0</v>
      </c>
      <c r="AE16" s="76">
        <v>9.3336074833259293</v>
      </c>
      <c r="AF16" s="76">
        <v>0.256177357368021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7">
        <v>0</v>
      </c>
    </row>
    <row r="17" spans="2:46" ht="12" customHeight="1" x14ac:dyDescent="0.25">
      <c r="B17" s="75" t="s">
        <v>35</v>
      </c>
      <c r="C17" s="76" t="s">
        <v>36</v>
      </c>
      <c r="D17" s="76" t="s">
        <v>25</v>
      </c>
      <c r="E17" s="76" t="s">
        <v>25</v>
      </c>
      <c r="F17" s="76" t="s">
        <v>54</v>
      </c>
      <c r="G17" s="76" t="s">
        <v>25</v>
      </c>
      <c r="H17" s="76" t="s">
        <v>88</v>
      </c>
      <c r="I17" s="76" t="s">
        <v>25</v>
      </c>
      <c r="J17" s="76">
        <v>26.53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8.6924242281492798</v>
      </c>
      <c r="Y17" s="76">
        <v>0</v>
      </c>
      <c r="Z17" s="76">
        <v>0</v>
      </c>
      <c r="AA17" s="76">
        <v>17.838167950467401</v>
      </c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7">
        <v>0</v>
      </c>
    </row>
    <row r="18" spans="2:46" ht="12" customHeight="1" x14ac:dyDescent="0.25">
      <c r="B18" s="75" t="s">
        <v>35</v>
      </c>
      <c r="C18" s="76" t="s">
        <v>36</v>
      </c>
      <c r="D18" s="76" t="s">
        <v>25</v>
      </c>
      <c r="E18" s="76" t="s">
        <v>25</v>
      </c>
      <c r="F18" s="76" t="s">
        <v>54</v>
      </c>
      <c r="G18" s="76" t="s">
        <v>38</v>
      </c>
      <c r="H18" s="76" t="s">
        <v>82</v>
      </c>
      <c r="I18" s="76" t="s">
        <v>25</v>
      </c>
      <c r="J18" s="76">
        <v>10.51</v>
      </c>
      <c r="K18" s="76">
        <v>0</v>
      </c>
      <c r="L18" s="76">
        <v>0</v>
      </c>
      <c r="M18" s="76">
        <v>0.91934546165588504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9.3336074833259293</v>
      </c>
      <c r="AF18" s="76">
        <v>0.256177357368021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7">
        <v>0</v>
      </c>
    </row>
    <row r="19" spans="2:46" ht="12" customHeight="1" x14ac:dyDescent="0.25">
      <c r="B19" s="75" t="s">
        <v>35</v>
      </c>
      <c r="C19" s="76" t="s">
        <v>36</v>
      </c>
      <c r="D19" s="76" t="s">
        <v>25</v>
      </c>
      <c r="E19" s="76" t="s">
        <v>25</v>
      </c>
      <c r="F19" s="76" t="s">
        <v>25</v>
      </c>
      <c r="G19" s="76" t="s">
        <v>37</v>
      </c>
      <c r="H19" s="76" t="s">
        <v>82</v>
      </c>
      <c r="I19" s="76" t="s">
        <v>25</v>
      </c>
      <c r="J19" s="76">
        <v>2153.87</v>
      </c>
      <c r="K19" s="76">
        <v>207.14</v>
      </c>
      <c r="L19" s="76">
        <v>0</v>
      </c>
      <c r="M19" s="76">
        <v>0.91934546165588504</v>
      </c>
      <c r="N19" s="76">
        <v>0</v>
      </c>
      <c r="O19" s="76">
        <v>0</v>
      </c>
      <c r="P19" s="76">
        <v>0</v>
      </c>
      <c r="Q19" s="76">
        <v>76.306043617853206</v>
      </c>
      <c r="R19" s="76">
        <v>14.351930687165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517.42361112911999</v>
      </c>
      <c r="Y19" s="76">
        <v>0</v>
      </c>
      <c r="Z19" s="76">
        <v>0</v>
      </c>
      <c r="AA19" s="76">
        <v>1535.27804648704</v>
      </c>
      <c r="AB19" s="76">
        <v>0</v>
      </c>
      <c r="AC19" s="76">
        <v>0</v>
      </c>
      <c r="AD19" s="76">
        <v>0</v>
      </c>
      <c r="AE19" s="76">
        <v>9.3336074833259293</v>
      </c>
      <c r="AF19" s="76">
        <v>0.256177357368021</v>
      </c>
      <c r="AG19" s="76">
        <v>0</v>
      </c>
      <c r="AH19" s="76">
        <v>0</v>
      </c>
      <c r="AI19" s="76">
        <v>0</v>
      </c>
      <c r="AJ19" s="76">
        <v>-16.460184444410501</v>
      </c>
      <c r="AK19" s="76">
        <v>0</v>
      </c>
      <c r="AL19" s="76">
        <v>27.5004166204595</v>
      </c>
      <c r="AM19" s="76">
        <v>0</v>
      </c>
      <c r="AN19" s="76">
        <v>190.861396456557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7">
        <v>5.2387903389167203</v>
      </c>
    </row>
    <row r="20" spans="2:46" ht="12" customHeight="1" x14ac:dyDescent="0.25">
      <c r="B20" s="75" t="s">
        <v>35</v>
      </c>
      <c r="C20" s="76" t="s">
        <v>36</v>
      </c>
      <c r="D20" s="76" t="s">
        <v>25</v>
      </c>
      <c r="E20" s="76" t="s">
        <v>25</v>
      </c>
      <c r="F20" s="76" t="s">
        <v>25</v>
      </c>
      <c r="G20" s="76" t="s">
        <v>25</v>
      </c>
      <c r="H20" s="76" t="s">
        <v>88</v>
      </c>
      <c r="I20" s="76" t="s">
        <v>25</v>
      </c>
      <c r="J20" s="76">
        <v>26.53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8.6924242281492798</v>
      </c>
      <c r="Y20" s="76">
        <v>0</v>
      </c>
      <c r="Z20" s="76">
        <v>0</v>
      </c>
      <c r="AA20" s="76">
        <v>17.838167950467401</v>
      </c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7">
        <v>0</v>
      </c>
    </row>
    <row r="21" spans="2:46" ht="12" customHeight="1" x14ac:dyDescent="0.25">
      <c r="B21" s="75" t="s">
        <v>35</v>
      </c>
      <c r="C21" s="76" t="s">
        <v>36</v>
      </c>
      <c r="D21" s="76" t="s">
        <v>25</v>
      </c>
      <c r="E21" s="76" t="s">
        <v>25</v>
      </c>
      <c r="F21" s="76" t="s">
        <v>25</v>
      </c>
      <c r="G21" s="76" t="s">
        <v>38</v>
      </c>
      <c r="H21" s="76" t="s">
        <v>82</v>
      </c>
      <c r="I21" s="76" t="s">
        <v>25</v>
      </c>
      <c r="J21" s="76">
        <v>101.17</v>
      </c>
      <c r="K21" s="76">
        <v>207.14</v>
      </c>
      <c r="L21" s="76">
        <v>0</v>
      </c>
      <c r="M21" s="76">
        <v>0.91934546165588504</v>
      </c>
      <c r="N21" s="76">
        <v>0</v>
      </c>
      <c r="O21" s="76">
        <v>0</v>
      </c>
      <c r="P21" s="76">
        <v>0</v>
      </c>
      <c r="Q21" s="76">
        <v>76.306043617853206</v>
      </c>
      <c r="R21" s="76">
        <v>14.351930687165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9.3336074833259293</v>
      </c>
      <c r="AF21" s="76">
        <v>0.256177357368021</v>
      </c>
      <c r="AG21" s="76">
        <v>0</v>
      </c>
      <c r="AH21" s="76">
        <v>0</v>
      </c>
      <c r="AI21" s="76">
        <v>0</v>
      </c>
      <c r="AJ21" s="76">
        <v>-16.460184444410501</v>
      </c>
      <c r="AK21" s="76">
        <v>0</v>
      </c>
      <c r="AL21" s="76">
        <v>27.5004166204595</v>
      </c>
      <c r="AM21" s="76">
        <v>0</v>
      </c>
      <c r="AN21" s="76">
        <v>190.861396456557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7">
        <v>5.2387903389167203</v>
      </c>
    </row>
    <row r="22" spans="2:46" ht="12" customHeight="1" x14ac:dyDescent="0.25">
      <c r="B22" s="75" t="s">
        <v>92</v>
      </c>
      <c r="C22" s="76" t="s">
        <v>60</v>
      </c>
      <c r="D22" s="76" t="s">
        <v>25</v>
      </c>
      <c r="E22" s="76" t="s">
        <v>25</v>
      </c>
      <c r="F22" s="76" t="s">
        <v>93</v>
      </c>
      <c r="G22" s="76" t="s">
        <v>25</v>
      </c>
      <c r="H22" s="76" t="s">
        <v>88</v>
      </c>
      <c r="I22" s="76" t="s">
        <v>25</v>
      </c>
      <c r="J22" s="76">
        <v>8.34</v>
      </c>
      <c r="K22" s="76">
        <v>0</v>
      </c>
      <c r="L22" s="76">
        <v>0</v>
      </c>
      <c r="M22" s="76">
        <v>1.0833044704098301E-2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8.3242127134308994</v>
      </c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7">
        <v>0</v>
      </c>
    </row>
    <row r="23" spans="2:46" ht="12" customHeight="1" x14ac:dyDescent="0.25">
      <c r="B23" s="75" t="s">
        <v>92</v>
      </c>
      <c r="C23" s="76" t="s">
        <v>60</v>
      </c>
      <c r="D23" s="76" t="s">
        <v>25</v>
      </c>
      <c r="E23" s="76" t="s">
        <v>25</v>
      </c>
      <c r="F23" s="76" t="s">
        <v>94</v>
      </c>
      <c r="G23" s="76" t="s">
        <v>25</v>
      </c>
      <c r="H23" s="76" t="s">
        <v>88</v>
      </c>
      <c r="I23" s="76" t="s">
        <v>25</v>
      </c>
      <c r="J23" s="76">
        <v>16.95</v>
      </c>
      <c r="K23" s="76">
        <v>0</v>
      </c>
      <c r="L23" s="76">
        <v>0</v>
      </c>
      <c r="M23" s="76">
        <v>1.0833044704098301E-2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  <c r="Z23" s="76">
        <v>0</v>
      </c>
      <c r="AA23" s="76">
        <v>16.935810774894598</v>
      </c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7">
        <v>0</v>
      </c>
    </row>
    <row r="24" spans="2:46" ht="12" customHeight="1" x14ac:dyDescent="0.25">
      <c r="B24" s="75" t="s">
        <v>22</v>
      </c>
      <c r="C24" s="76" t="s">
        <v>97</v>
      </c>
      <c r="D24" s="76" t="s">
        <v>24</v>
      </c>
      <c r="E24" s="76" t="s">
        <v>24</v>
      </c>
      <c r="F24" s="76" t="s">
        <v>25</v>
      </c>
      <c r="G24" s="76" t="s">
        <v>37</v>
      </c>
      <c r="H24" s="76" t="s">
        <v>82</v>
      </c>
      <c r="I24" s="76" t="s">
        <v>25</v>
      </c>
      <c r="J24" s="76">
        <v>1037.9000000000001</v>
      </c>
      <c r="K24" s="76">
        <v>207.14</v>
      </c>
      <c r="L24" s="76">
        <v>0</v>
      </c>
      <c r="M24" s="76">
        <v>1.11531797413325</v>
      </c>
      <c r="N24" s="76">
        <v>0</v>
      </c>
      <c r="O24" s="76">
        <v>0</v>
      </c>
      <c r="P24" s="76">
        <v>0</v>
      </c>
      <c r="Q24" s="76">
        <v>90.840528116491896</v>
      </c>
      <c r="R24" s="76">
        <v>14.351930687165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189.43219271311099</v>
      </c>
      <c r="Y24" s="76">
        <v>0</v>
      </c>
      <c r="Z24" s="76">
        <v>0</v>
      </c>
      <c r="AA24" s="76">
        <v>717.32660397651296</v>
      </c>
      <c r="AB24" s="76">
        <v>0</v>
      </c>
      <c r="AC24" s="76">
        <v>0</v>
      </c>
      <c r="AD24" s="76">
        <v>0</v>
      </c>
      <c r="AE24" s="76">
        <v>24.174452462603099</v>
      </c>
      <c r="AF24" s="76">
        <v>0.66351058352860404</v>
      </c>
      <c r="AG24" s="76">
        <v>0</v>
      </c>
      <c r="AH24" s="76">
        <v>0</v>
      </c>
      <c r="AI24" s="76">
        <v>0</v>
      </c>
      <c r="AJ24" s="76">
        <v>-16.460184444410501</v>
      </c>
      <c r="AK24" s="76">
        <v>0</v>
      </c>
      <c r="AL24" s="76">
        <v>27.5004166204595</v>
      </c>
      <c r="AM24" s="76">
        <v>0</v>
      </c>
      <c r="AN24" s="76">
        <v>190.861396456557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7">
        <v>5.2387903389167203</v>
      </c>
    </row>
    <row r="25" spans="2:46" ht="12" customHeight="1" x14ac:dyDescent="0.25">
      <c r="B25" s="75" t="s">
        <v>22</v>
      </c>
      <c r="C25" s="76" t="s">
        <v>97</v>
      </c>
      <c r="D25" s="76" t="s">
        <v>24</v>
      </c>
      <c r="E25" s="76" t="s">
        <v>24</v>
      </c>
      <c r="F25" s="76" t="s">
        <v>25</v>
      </c>
      <c r="G25" s="76" t="s">
        <v>612</v>
      </c>
      <c r="H25" s="76" t="s">
        <v>82</v>
      </c>
      <c r="I25" s="76" t="s">
        <v>25</v>
      </c>
      <c r="J25" s="76">
        <v>675.2</v>
      </c>
      <c r="K25" s="76">
        <v>207.14</v>
      </c>
      <c r="L25" s="76">
        <v>0</v>
      </c>
      <c r="M25" s="76">
        <v>1.11531797413325</v>
      </c>
      <c r="N25" s="76">
        <v>0</v>
      </c>
      <c r="O25" s="76">
        <v>0</v>
      </c>
      <c r="P25" s="76">
        <v>0</v>
      </c>
      <c r="Q25" s="76">
        <v>90.840528116491896</v>
      </c>
      <c r="R25" s="76">
        <v>14.351930687165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113.659338963233</v>
      </c>
      <c r="Y25" s="76">
        <v>0</v>
      </c>
      <c r="Z25" s="76">
        <v>0</v>
      </c>
      <c r="AA25" s="76">
        <v>430.39624367662299</v>
      </c>
      <c r="AB25" s="76">
        <v>0</v>
      </c>
      <c r="AC25" s="76">
        <v>0</v>
      </c>
      <c r="AD25" s="76">
        <v>0</v>
      </c>
      <c r="AE25" s="76">
        <v>24.174452462603099</v>
      </c>
      <c r="AF25" s="76">
        <v>0.66351058352860404</v>
      </c>
      <c r="AG25" s="76">
        <v>0</v>
      </c>
      <c r="AH25" s="76">
        <v>0</v>
      </c>
      <c r="AI25" s="76">
        <v>0</v>
      </c>
      <c r="AJ25" s="76">
        <v>-16.460184444410501</v>
      </c>
      <c r="AK25" s="76">
        <v>0</v>
      </c>
      <c r="AL25" s="76">
        <v>27.5004166204595</v>
      </c>
      <c r="AM25" s="76">
        <v>0</v>
      </c>
      <c r="AN25" s="76">
        <v>190.861396456557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7">
        <v>5.2387903389167203</v>
      </c>
    </row>
    <row r="26" spans="2:46" ht="12" customHeight="1" x14ac:dyDescent="0.25">
      <c r="B26" s="75" t="s">
        <v>22</v>
      </c>
      <c r="C26" s="76" t="s">
        <v>97</v>
      </c>
      <c r="D26" s="76" t="s">
        <v>24</v>
      </c>
      <c r="E26" s="76" t="s">
        <v>24</v>
      </c>
      <c r="F26" s="76" t="s">
        <v>25</v>
      </c>
      <c r="G26" s="76" t="s">
        <v>38</v>
      </c>
      <c r="H26" s="76" t="s">
        <v>82</v>
      </c>
      <c r="I26" s="76" t="s">
        <v>25</v>
      </c>
      <c r="J26" s="76">
        <v>312.52999999999997</v>
      </c>
      <c r="K26" s="76">
        <v>207.14</v>
      </c>
      <c r="L26" s="76">
        <v>0</v>
      </c>
      <c r="M26" s="76">
        <v>1.11531797413325</v>
      </c>
      <c r="N26" s="76">
        <v>0</v>
      </c>
      <c r="O26" s="76">
        <v>0</v>
      </c>
      <c r="P26" s="76">
        <v>0</v>
      </c>
      <c r="Q26" s="76">
        <v>90.840528116491896</v>
      </c>
      <c r="R26" s="76">
        <v>14.351930687165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37.921138233433503</v>
      </c>
      <c r="Y26" s="76">
        <v>0</v>
      </c>
      <c r="Z26" s="76">
        <v>0</v>
      </c>
      <c r="AA26" s="76">
        <v>143.46518014994501</v>
      </c>
      <c r="AB26" s="76">
        <v>0</v>
      </c>
      <c r="AC26" s="76">
        <v>0</v>
      </c>
      <c r="AD26" s="76">
        <v>0</v>
      </c>
      <c r="AE26" s="76">
        <v>24.174452462603099</v>
      </c>
      <c r="AF26" s="76">
        <v>0.66351058352860404</v>
      </c>
      <c r="AG26" s="76">
        <v>0</v>
      </c>
      <c r="AH26" s="76">
        <v>0</v>
      </c>
      <c r="AI26" s="76">
        <v>0</v>
      </c>
      <c r="AJ26" s="76">
        <v>-16.460184444410501</v>
      </c>
      <c r="AK26" s="76">
        <v>0</v>
      </c>
      <c r="AL26" s="76">
        <v>27.5004166204595</v>
      </c>
      <c r="AM26" s="76">
        <v>0</v>
      </c>
      <c r="AN26" s="76">
        <v>190.861396456557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7">
        <v>5.2387903389167203</v>
      </c>
    </row>
    <row r="27" spans="2:46" ht="12" customHeight="1" x14ac:dyDescent="0.25">
      <c r="B27" s="75" t="s">
        <v>22</v>
      </c>
      <c r="C27" s="76" t="s">
        <v>23</v>
      </c>
      <c r="D27" s="76" t="s">
        <v>24</v>
      </c>
      <c r="E27" s="76" t="s">
        <v>1147</v>
      </c>
      <c r="F27" s="76" t="s">
        <v>25</v>
      </c>
      <c r="G27" s="76" t="s">
        <v>25</v>
      </c>
      <c r="H27" s="76" t="s">
        <v>82</v>
      </c>
      <c r="I27" s="76" t="s">
        <v>25</v>
      </c>
      <c r="J27" s="76">
        <v>361.76</v>
      </c>
      <c r="K27" s="76">
        <v>207.14</v>
      </c>
      <c r="L27" s="76">
        <v>0</v>
      </c>
      <c r="M27" s="76">
        <v>1.11531797413325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70.128028459167595</v>
      </c>
      <c r="Y27" s="76">
        <v>0</v>
      </c>
      <c r="Z27" s="76">
        <v>0</v>
      </c>
      <c r="AA27" s="76">
        <v>265.676619832141</v>
      </c>
      <c r="AB27" s="76">
        <v>0</v>
      </c>
      <c r="AC27" s="76">
        <v>0</v>
      </c>
      <c r="AD27" s="76">
        <v>0</v>
      </c>
      <c r="AE27" s="76">
        <v>24.174452462603099</v>
      </c>
      <c r="AF27" s="76">
        <v>0.66351058352860404</v>
      </c>
      <c r="AG27" s="76">
        <v>0</v>
      </c>
      <c r="AH27" s="76">
        <v>0</v>
      </c>
      <c r="AI27" s="76">
        <v>0</v>
      </c>
      <c r="AJ27" s="76">
        <v>-16.460184444410501</v>
      </c>
      <c r="AK27" s="76">
        <v>0</v>
      </c>
      <c r="AL27" s="76">
        <v>27.5004166204595</v>
      </c>
      <c r="AM27" s="76">
        <v>0</v>
      </c>
      <c r="AN27" s="76">
        <v>190.861396456557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7">
        <v>5.2387903389167203</v>
      </c>
    </row>
    <row r="28" spans="2:46" ht="12" customHeight="1" x14ac:dyDescent="0.25">
      <c r="B28" s="75" t="s">
        <v>22</v>
      </c>
      <c r="C28" s="76" t="s">
        <v>23</v>
      </c>
      <c r="D28" s="76" t="s">
        <v>24</v>
      </c>
      <c r="E28" s="76" t="s">
        <v>24</v>
      </c>
      <c r="F28" s="76" t="s">
        <v>25</v>
      </c>
      <c r="G28" s="76" t="s">
        <v>25</v>
      </c>
      <c r="H28" s="76" t="s">
        <v>82</v>
      </c>
      <c r="I28" s="76" t="s">
        <v>25</v>
      </c>
      <c r="J28" s="76">
        <v>466.95</v>
      </c>
      <c r="K28" s="76">
        <v>207.14</v>
      </c>
      <c r="L28" s="76">
        <v>0</v>
      </c>
      <c r="M28" s="76">
        <v>1.11531797413325</v>
      </c>
      <c r="N28" s="76">
        <v>0</v>
      </c>
      <c r="O28" s="76">
        <v>0</v>
      </c>
      <c r="P28" s="76">
        <v>0</v>
      </c>
      <c r="Q28" s="76">
        <v>90.840528116491896</v>
      </c>
      <c r="R28" s="76">
        <v>14.351930687165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70.128028459167595</v>
      </c>
      <c r="Y28" s="76">
        <v>0</v>
      </c>
      <c r="Z28" s="76">
        <v>0</v>
      </c>
      <c r="AA28" s="76">
        <v>265.676619832141</v>
      </c>
      <c r="AB28" s="76">
        <v>0</v>
      </c>
      <c r="AC28" s="76">
        <v>0</v>
      </c>
      <c r="AD28" s="76">
        <v>0</v>
      </c>
      <c r="AE28" s="76">
        <v>24.174452462603099</v>
      </c>
      <c r="AF28" s="76">
        <v>0.66351058352860404</v>
      </c>
      <c r="AG28" s="76">
        <v>0</v>
      </c>
      <c r="AH28" s="76">
        <v>0</v>
      </c>
      <c r="AI28" s="76">
        <v>0</v>
      </c>
      <c r="AJ28" s="76">
        <v>-16.460184444410501</v>
      </c>
      <c r="AK28" s="76">
        <v>0</v>
      </c>
      <c r="AL28" s="76">
        <v>27.5004166204595</v>
      </c>
      <c r="AM28" s="76">
        <v>0</v>
      </c>
      <c r="AN28" s="76">
        <v>190.861396456557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7">
        <v>5.2387903389167203</v>
      </c>
    </row>
    <row r="29" spans="2:46" ht="12" customHeight="1" x14ac:dyDescent="0.25">
      <c r="B29" s="75" t="s">
        <v>22</v>
      </c>
      <c r="C29" s="76" t="s">
        <v>99</v>
      </c>
      <c r="D29" s="76" t="s">
        <v>24</v>
      </c>
      <c r="E29" s="76" t="s">
        <v>1147</v>
      </c>
      <c r="F29" s="76" t="s">
        <v>25</v>
      </c>
      <c r="G29" s="76" t="s">
        <v>25</v>
      </c>
      <c r="H29" s="76" t="s">
        <v>82</v>
      </c>
      <c r="I29" s="76" t="s">
        <v>25</v>
      </c>
      <c r="J29" s="76">
        <v>361.76</v>
      </c>
      <c r="K29" s="76">
        <v>207.14</v>
      </c>
      <c r="L29" s="76">
        <v>0</v>
      </c>
      <c r="M29" s="76">
        <v>1.11531797413325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70.128028459167595</v>
      </c>
      <c r="Y29" s="76">
        <v>0</v>
      </c>
      <c r="Z29" s="76">
        <v>0</v>
      </c>
      <c r="AA29" s="76">
        <v>265.676619832141</v>
      </c>
      <c r="AB29" s="76">
        <v>0</v>
      </c>
      <c r="AC29" s="76">
        <v>0</v>
      </c>
      <c r="AD29" s="76">
        <v>0</v>
      </c>
      <c r="AE29" s="76">
        <v>24.174452462603099</v>
      </c>
      <c r="AF29" s="76">
        <v>0.66351058352860404</v>
      </c>
      <c r="AG29" s="76">
        <v>0</v>
      </c>
      <c r="AH29" s="76">
        <v>0</v>
      </c>
      <c r="AI29" s="76">
        <v>0</v>
      </c>
      <c r="AJ29" s="76">
        <v>-16.460184444410501</v>
      </c>
      <c r="AK29" s="76">
        <v>0</v>
      </c>
      <c r="AL29" s="76">
        <v>27.5004166204595</v>
      </c>
      <c r="AM29" s="76">
        <v>0</v>
      </c>
      <c r="AN29" s="76">
        <v>190.861396456557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7">
        <v>5.2387903389167203</v>
      </c>
    </row>
    <row r="30" spans="2:46" ht="12" customHeight="1" x14ac:dyDescent="0.25">
      <c r="B30" s="75" t="s">
        <v>22</v>
      </c>
      <c r="C30" s="76" t="s">
        <v>99</v>
      </c>
      <c r="D30" s="76" t="s">
        <v>24</v>
      </c>
      <c r="E30" s="76" t="s">
        <v>24</v>
      </c>
      <c r="F30" s="76" t="s">
        <v>25</v>
      </c>
      <c r="G30" s="76" t="s">
        <v>25</v>
      </c>
      <c r="H30" s="76" t="s">
        <v>82</v>
      </c>
      <c r="I30" s="76" t="s">
        <v>25</v>
      </c>
      <c r="J30" s="76">
        <v>466.95</v>
      </c>
      <c r="K30" s="76">
        <v>207.14</v>
      </c>
      <c r="L30" s="76">
        <v>0</v>
      </c>
      <c r="M30" s="76">
        <v>1.11531797413325</v>
      </c>
      <c r="N30" s="76">
        <v>0</v>
      </c>
      <c r="O30" s="76">
        <v>0</v>
      </c>
      <c r="P30" s="76">
        <v>0</v>
      </c>
      <c r="Q30" s="76">
        <v>90.840528116491896</v>
      </c>
      <c r="R30" s="76">
        <v>14.351930687165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70.128028459167595</v>
      </c>
      <c r="Y30" s="76">
        <v>0</v>
      </c>
      <c r="Z30" s="76">
        <v>0</v>
      </c>
      <c r="AA30" s="76">
        <v>265.676619832141</v>
      </c>
      <c r="AB30" s="76">
        <v>0</v>
      </c>
      <c r="AC30" s="76">
        <v>0</v>
      </c>
      <c r="AD30" s="76">
        <v>0</v>
      </c>
      <c r="AE30" s="76">
        <v>24.174452462603099</v>
      </c>
      <c r="AF30" s="76">
        <v>0.66351058352860404</v>
      </c>
      <c r="AG30" s="76">
        <v>0</v>
      </c>
      <c r="AH30" s="76">
        <v>0</v>
      </c>
      <c r="AI30" s="76">
        <v>0</v>
      </c>
      <c r="AJ30" s="76">
        <v>-16.460184444410501</v>
      </c>
      <c r="AK30" s="76">
        <v>0</v>
      </c>
      <c r="AL30" s="76">
        <v>27.5004166204595</v>
      </c>
      <c r="AM30" s="76">
        <v>0</v>
      </c>
      <c r="AN30" s="76">
        <v>190.861396456557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7">
        <v>5.2387903389167203</v>
      </c>
    </row>
    <row r="31" spans="2:46" ht="12" customHeight="1" x14ac:dyDescent="0.25">
      <c r="B31" s="75" t="s">
        <v>40</v>
      </c>
      <c r="C31" s="76" t="s">
        <v>97</v>
      </c>
      <c r="D31" s="76" t="s">
        <v>41</v>
      </c>
      <c r="E31" s="76" t="s">
        <v>100</v>
      </c>
      <c r="F31" s="76" t="s">
        <v>25</v>
      </c>
      <c r="G31" s="76" t="s">
        <v>37</v>
      </c>
      <c r="H31" s="76" t="s">
        <v>82</v>
      </c>
      <c r="I31" s="76" t="s">
        <v>25</v>
      </c>
      <c r="J31" s="76">
        <v>1087.48</v>
      </c>
      <c r="K31" s="76">
        <v>194.71</v>
      </c>
      <c r="L31" s="76">
        <v>0</v>
      </c>
      <c r="M31" s="76">
        <v>1.0483988956852499</v>
      </c>
      <c r="N31" s="76">
        <v>0</v>
      </c>
      <c r="O31" s="76">
        <v>0</v>
      </c>
      <c r="P31" s="76">
        <v>0</v>
      </c>
      <c r="Q31" s="76">
        <v>85.390096429502407</v>
      </c>
      <c r="R31" s="76">
        <v>13.4908148459351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227.482200511108</v>
      </c>
      <c r="Y31" s="76">
        <v>0</v>
      </c>
      <c r="Z31" s="76">
        <v>0</v>
      </c>
      <c r="AA31" s="76">
        <v>736.72115111372102</v>
      </c>
      <c r="AB31" s="76">
        <v>0</v>
      </c>
      <c r="AC31" s="76">
        <v>0</v>
      </c>
      <c r="AD31" s="76">
        <v>0</v>
      </c>
      <c r="AE31" s="76">
        <v>22.723985314846999</v>
      </c>
      <c r="AF31" s="76">
        <v>0.62369994851688704</v>
      </c>
      <c r="AG31" s="76">
        <v>0</v>
      </c>
      <c r="AH31" s="76">
        <v>0</v>
      </c>
      <c r="AI31" s="76">
        <v>0</v>
      </c>
      <c r="AJ31" s="76">
        <v>-15.472573377745899</v>
      </c>
      <c r="AK31" s="76">
        <v>0</v>
      </c>
      <c r="AL31" s="76">
        <v>25.850391623231999</v>
      </c>
      <c r="AM31" s="76">
        <v>0</v>
      </c>
      <c r="AN31" s="76">
        <v>179.40971266916301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7">
        <v>4.9244629185817201</v>
      </c>
    </row>
    <row r="32" spans="2:46" ht="12" customHeight="1" x14ac:dyDescent="0.25">
      <c r="B32" s="75" t="s">
        <v>40</v>
      </c>
      <c r="C32" s="76" t="s">
        <v>97</v>
      </c>
      <c r="D32" s="76" t="s">
        <v>41</v>
      </c>
      <c r="E32" s="76" t="s">
        <v>100</v>
      </c>
      <c r="F32" s="76" t="s">
        <v>25</v>
      </c>
      <c r="G32" s="76" t="s">
        <v>612</v>
      </c>
      <c r="H32" s="76" t="s">
        <v>82</v>
      </c>
      <c r="I32" s="76" t="s">
        <v>25</v>
      </c>
      <c r="J32" s="76">
        <v>701.77</v>
      </c>
      <c r="K32" s="76">
        <v>194.71</v>
      </c>
      <c r="L32" s="76">
        <v>0</v>
      </c>
      <c r="M32" s="76">
        <v>1.0483988956852499</v>
      </c>
      <c r="N32" s="76">
        <v>0</v>
      </c>
      <c r="O32" s="76">
        <v>0</v>
      </c>
      <c r="P32" s="76">
        <v>0</v>
      </c>
      <c r="Q32" s="76">
        <v>85.390096429502407</v>
      </c>
      <c r="R32" s="76">
        <v>13.4908148459351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136.46321736507599</v>
      </c>
      <c r="Y32" s="76">
        <v>0</v>
      </c>
      <c r="Z32" s="76">
        <v>0</v>
      </c>
      <c r="AA32" s="76">
        <v>442.03255846159601</v>
      </c>
      <c r="AB32" s="76">
        <v>0</v>
      </c>
      <c r="AC32" s="76">
        <v>0</v>
      </c>
      <c r="AD32" s="76">
        <v>0</v>
      </c>
      <c r="AE32" s="76">
        <v>22.723985314846999</v>
      </c>
      <c r="AF32" s="76">
        <v>0.62369994851688704</v>
      </c>
      <c r="AG32" s="76">
        <v>0</v>
      </c>
      <c r="AH32" s="76">
        <v>0</v>
      </c>
      <c r="AI32" s="76">
        <v>0</v>
      </c>
      <c r="AJ32" s="76">
        <v>-15.472573377745899</v>
      </c>
      <c r="AK32" s="76">
        <v>0</v>
      </c>
      <c r="AL32" s="76">
        <v>25.850391623231999</v>
      </c>
      <c r="AM32" s="76">
        <v>0</v>
      </c>
      <c r="AN32" s="76">
        <v>179.40971266916301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7">
        <v>4.9244629185817201</v>
      </c>
    </row>
    <row r="33" spans="2:46" ht="12" customHeight="1" x14ac:dyDescent="0.25">
      <c r="B33" s="75" t="s">
        <v>40</v>
      </c>
      <c r="C33" s="76" t="s">
        <v>97</v>
      </c>
      <c r="D33" s="76" t="s">
        <v>41</v>
      </c>
      <c r="E33" s="76" t="s">
        <v>100</v>
      </c>
      <c r="F33" s="76" t="s">
        <v>25</v>
      </c>
      <c r="G33" s="76" t="s">
        <v>38</v>
      </c>
      <c r="H33" s="76" t="s">
        <v>82</v>
      </c>
      <c r="I33" s="76" t="s">
        <v>25</v>
      </c>
      <c r="J33" s="76">
        <v>316.10000000000002</v>
      </c>
      <c r="K33" s="76">
        <v>194.71</v>
      </c>
      <c r="L33" s="76">
        <v>0</v>
      </c>
      <c r="M33" s="76">
        <v>1.0483988956852499</v>
      </c>
      <c r="N33" s="76">
        <v>0</v>
      </c>
      <c r="O33" s="76">
        <v>0</v>
      </c>
      <c r="P33" s="76">
        <v>0</v>
      </c>
      <c r="Q33" s="76">
        <v>85.390096429502407</v>
      </c>
      <c r="R33" s="76">
        <v>13.4908148459351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45.476917734143001</v>
      </c>
      <c r="Y33" s="76">
        <v>0</v>
      </c>
      <c r="Z33" s="76">
        <v>0</v>
      </c>
      <c r="AA33" s="76">
        <v>147.344186153865</v>
      </c>
      <c r="AB33" s="76">
        <v>0</v>
      </c>
      <c r="AC33" s="76">
        <v>0</v>
      </c>
      <c r="AD33" s="76">
        <v>0</v>
      </c>
      <c r="AE33" s="76">
        <v>22.723985314846999</v>
      </c>
      <c r="AF33" s="76">
        <v>0.62369994851688704</v>
      </c>
      <c r="AG33" s="76">
        <v>0</v>
      </c>
      <c r="AH33" s="76">
        <v>0</v>
      </c>
      <c r="AI33" s="76">
        <v>0</v>
      </c>
      <c r="AJ33" s="76">
        <v>-15.472573377745899</v>
      </c>
      <c r="AK33" s="76">
        <v>0</v>
      </c>
      <c r="AL33" s="76">
        <v>25.850391623231999</v>
      </c>
      <c r="AM33" s="76">
        <v>0</v>
      </c>
      <c r="AN33" s="76">
        <v>179.40971266916301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7">
        <v>4.9244629185817201</v>
      </c>
    </row>
    <row r="34" spans="2:46" ht="12" customHeight="1" x14ac:dyDescent="0.25">
      <c r="B34" s="75" t="s">
        <v>40</v>
      </c>
      <c r="C34" s="76" t="s">
        <v>97</v>
      </c>
      <c r="D34" s="76" t="s">
        <v>41</v>
      </c>
      <c r="E34" s="76" t="s">
        <v>25</v>
      </c>
      <c r="F34" s="76" t="s">
        <v>25</v>
      </c>
      <c r="G34" s="76" t="s">
        <v>37</v>
      </c>
      <c r="H34" s="76" t="s">
        <v>82</v>
      </c>
      <c r="I34" s="76" t="s">
        <v>25</v>
      </c>
      <c r="J34" s="76">
        <v>1087.48</v>
      </c>
      <c r="K34" s="76">
        <v>194.71</v>
      </c>
      <c r="L34" s="76">
        <v>0</v>
      </c>
      <c r="M34" s="76">
        <v>1.0483988956852499</v>
      </c>
      <c r="N34" s="76">
        <v>0</v>
      </c>
      <c r="O34" s="76">
        <v>0</v>
      </c>
      <c r="P34" s="76">
        <v>0</v>
      </c>
      <c r="Q34" s="76">
        <v>85.390096429502407</v>
      </c>
      <c r="R34" s="76">
        <v>13.4908148459351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227.482200511108</v>
      </c>
      <c r="Y34" s="76">
        <v>0</v>
      </c>
      <c r="Z34" s="76">
        <v>0</v>
      </c>
      <c r="AA34" s="76">
        <v>736.72115111372102</v>
      </c>
      <c r="AB34" s="76">
        <v>0</v>
      </c>
      <c r="AC34" s="76">
        <v>0</v>
      </c>
      <c r="AD34" s="76">
        <v>0</v>
      </c>
      <c r="AE34" s="76">
        <v>22.723985314846999</v>
      </c>
      <c r="AF34" s="76">
        <v>0.62369994851688704</v>
      </c>
      <c r="AG34" s="76">
        <v>0</v>
      </c>
      <c r="AH34" s="76">
        <v>0</v>
      </c>
      <c r="AI34" s="76">
        <v>0</v>
      </c>
      <c r="AJ34" s="76">
        <v>-15.472573377745899</v>
      </c>
      <c r="AK34" s="76">
        <v>0</v>
      </c>
      <c r="AL34" s="76">
        <v>25.850391623231999</v>
      </c>
      <c r="AM34" s="76">
        <v>0</v>
      </c>
      <c r="AN34" s="76">
        <v>179.40971266916301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7">
        <v>4.9244629185817201</v>
      </c>
    </row>
    <row r="35" spans="2:46" ht="12" customHeight="1" x14ac:dyDescent="0.25">
      <c r="B35" s="75" t="s">
        <v>40</v>
      </c>
      <c r="C35" s="76" t="s">
        <v>97</v>
      </c>
      <c r="D35" s="76" t="s">
        <v>41</v>
      </c>
      <c r="E35" s="76" t="s">
        <v>25</v>
      </c>
      <c r="F35" s="76" t="s">
        <v>25</v>
      </c>
      <c r="G35" s="76" t="s">
        <v>612</v>
      </c>
      <c r="H35" s="76" t="s">
        <v>82</v>
      </c>
      <c r="I35" s="76" t="s">
        <v>25</v>
      </c>
      <c r="J35" s="76">
        <v>701.77</v>
      </c>
      <c r="K35" s="76">
        <v>194.71</v>
      </c>
      <c r="L35" s="76">
        <v>0</v>
      </c>
      <c r="M35" s="76">
        <v>1.0483988956852499</v>
      </c>
      <c r="N35" s="76">
        <v>0</v>
      </c>
      <c r="O35" s="76">
        <v>0</v>
      </c>
      <c r="P35" s="76">
        <v>0</v>
      </c>
      <c r="Q35" s="76">
        <v>85.390096429502407</v>
      </c>
      <c r="R35" s="76">
        <v>13.4908148459351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136.46321736507599</v>
      </c>
      <c r="Y35" s="76">
        <v>0</v>
      </c>
      <c r="Z35" s="76">
        <v>0</v>
      </c>
      <c r="AA35" s="76">
        <v>442.03255846159601</v>
      </c>
      <c r="AB35" s="76">
        <v>0</v>
      </c>
      <c r="AC35" s="76">
        <v>0</v>
      </c>
      <c r="AD35" s="76">
        <v>0</v>
      </c>
      <c r="AE35" s="76">
        <v>22.723985314846999</v>
      </c>
      <c r="AF35" s="76">
        <v>0.62369994851688704</v>
      </c>
      <c r="AG35" s="76">
        <v>0</v>
      </c>
      <c r="AH35" s="76">
        <v>0</v>
      </c>
      <c r="AI35" s="76">
        <v>0</v>
      </c>
      <c r="AJ35" s="76">
        <v>-15.472573377745899</v>
      </c>
      <c r="AK35" s="76">
        <v>0</v>
      </c>
      <c r="AL35" s="76">
        <v>25.850391623231999</v>
      </c>
      <c r="AM35" s="76">
        <v>0</v>
      </c>
      <c r="AN35" s="76">
        <v>179.40971266916301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7">
        <v>4.9244629185817201</v>
      </c>
    </row>
    <row r="36" spans="2:46" ht="12" customHeight="1" x14ac:dyDescent="0.25">
      <c r="B36" s="75" t="s">
        <v>40</v>
      </c>
      <c r="C36" s="76" t="s">
        <v>97</v>
      </c>
      <c r="D36" s="76" t="s">
        <v>41</v>
      </c>
      <c r="E36" s="76" t="s">
        <v>25</v>
      </c>
      <c r="F36" s="76" t="s">
        <v>25</v>
      </c>
      <c r="G36" s="76" t="s">
        <v>38</v>
      </c>
      <c r="H36" s="76" t="s">
        <v>82</v>
      </c>
      <c r="I36" s="76" t="s">
        <v>25</v>
      </c>
      <c r="J36" s="76">
        <v>316.10000000000002</v>
      </c>
      <c r="K36" s="76">
        <v>194.71</v>
      </c>
      <c r="L36" s="76">
        <v>0</v>
      </c>
      <c r="M36" s="76">
        <v>1.0483988956852499</v>
      </c>
      <c r="N36" s="76">
        <v>0</v>
      </c>
      <c r="O36" s="76">
        <v>0</v>
      </c>
      <c r="P36" s="76">
        <v>0</v>
      </c>
      <c r="Q36" s="76">
        <v>85.390096429502407</v>
      </c>
      <c r="R36" s="76">
        <v>13.4908148459351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45.476917734143001</v>
      </c>
      <c r="Y36" s="76">
        <v>0</v>
      </c>
      <c r="Z36" s="76">
        <v>0</v>
      </c>
      <c r="AA36" s="76">
        <v>147.344186153865</v>
      </c>
      <c r="AB36" s="76">
        <v>0</v>
      </c>
      <c r="AC36" s="76">
        <v>0</v>
      </c>
      <c r="AD36" s="76">
        <v>0</v>
      </c>
      <c r="AE36" s="76">
        <v>22.723985314846999</v>
      </c>
      <c r="AF36" s="76">
        <v>0.62369994851688704</v>
      </c>
      <c r="AG36" s="76">
        <v>0</v>
      </c>
      <c r="AH36" s="76">
        <v>0</v>
      </c>
      <c r="AI36" s="76">
        <v>0</v>
      </c>
      <c r="AJ36" s="76">
        <v>-15.472573377745899</v>
      </c>
      <c r="AK36" s="76">
        <v>0</v>
      </c>
      <c r="AL36" s="76">
        <v>25.850391623231999</v>
      </c>
      <c r="AM36" s="76">
        <v>0</v>
      </c>
      <c r="AN36" s="76">
        <v>179.40971266916301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7">
        <v>4.9244629185817201</v>
      </c>
    </row>
    <row r="37" spans="2:46" ht="12" customHeight="1" x14ac:dyDescent="0.25">
      <c r="B37" s="75" t="s">
        <v>40</v>
      </c>
      <c r="C37" s="76" t="s">
        <v>97</v>
      </c>
      <c r="D37" s="76" t="s">
        <v>41</v>
      </c>
      <c r="E37" s="76" t="s">
        <v>101</v>
      </c>
      <c r="F37" s="76" t="s">
        <v>25</v>
      </c>
      <c r="G37" s="76" t="s">
        <v>37</v>
      </c>
      <c r="H37" s="76" t="s">
        <v>82</v>
      </c>
      <c r="I37" s="76" t="s">
        <v>25</v>
      </c>
      <c r="J37" s="76">
        <v>1064.3399999999999</v>
      </c>
      <c r="K37" s="76">
        <v>190.57</v>
      </c>
      <c r="L37" s="76">
        <v>0</v>
      </c>
      <c r="M37" s="76">
        <v>1.0260925362025901</v>
      </c>
      <c r="N37" s="76">
        <v>0</v>
      </c>
      <c r="O37" s="76">
        <v>0</v>
      </c>
      <c r="P37" s="76">
        <v>0</v>
      </c>
      <c r="Q37" s="76">
        <v>83.573285867172601</v>
      </c>
      <c r="R37" s="76">
        <v>13.2037762321918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222.642153691722</v>
      </c>
      <c r="Y37" s="76">
        <v>0</v>
      </c>
      <c r="Z37" s="76">
        <v>0</v>
      </c>
      <c r="AA37" s="76">
        <v>721.04623300491903</v>
      </c>
      <c r="AB37" s="76">
        <v>0</v>
      </c>
      <c r="AC37" s="76">
        <v>0</v>
      </c>
      <c r="AD37" s="76">
        <v>0</v>
      </c>
      <c r="AE37" s="76">
        <v>22.240496265594899</v>
      </c>
      <c r="AF37" s="76">
        <v>0.61042973684631496</v>
      </c>
      <c r="AG37" s="76">
        <v>0</v>
      </c>
      <c r="AH37" s="76">
        <v>0</v>
      </c>
      <c r="AI37" s="76">
        <v>0</v>
      </c>
      <c r="AJ37" s="76">
        <v>-15.1433696888577</v>
      </c>
      <c r="AK37" s="76">
        <v>0</v>
      </c>
      <c r="AL37" s="76">
        <v>25.300383290822801</v>
      </c>
      <c r="AM37" s="76">
        <v>0</v>
      </c>
      <c r="AN37" s="76">
        <v>175.59248474003201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7">
        <v>4.8196871118033897</v>
      </c>
    </row>
    <row r="38" spans="2:46" ht="12" customHeight="1" x14ac:dyDescent="0.25">
      <c r="B38" s="75" t="s">
        <v>40</v>
      </c>
      <c r="C38" s="76" t="s">
        <v>97</v>
      </c>
      <c r="D38" s="76" t="s">
        <v>41</v>
      </c>
      <c r="E38" s="76" t="s">
        <v>101</v>
      </c>
      <c r="F38" s="76" t="s">
        <v>25</v>
      </c>
      <c r="G38" s="76" t="s">
        <v>612</v>
      </c>
      <c r="H38" s="76" t="s">
        <v>82</v>
      </c>
      <c r="I38" s="76" t="s">
        <v>25</v>
      </c>
      <c r="J38" s="76">
        <v>686.84</v>
      </c>
      <c r="K38" s="76">
        <v>190.57</v>
      </c>
      <c r="L38" s="76">
        <v>0</v>
      </c>
      <c r="M38" s="76">
        <v>1.0260925362025901</v>
      </c>
      <c r="N38" s="76">
        <v>0</v>
      </c>
      <c r="O38" s="76">
        <v>0</v>
      </c>
      <c r="P38" s="76">
        <v>0</v>
      </c>
      <c r="Q38" s="76">
        <v>83.573285867172601</v>
      </c>
      <c r="R38" s="76">
        <v>13.2037762321918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133.55974465518099</v>
      </c>
      <c r="Y38" s="76">
        <v>0</v>
      </c>
      <c r="Z38" s="76">
        <v>0</v>
      </c>
      <c r="AA38" s="76">
        <v>432.62761040922197</v>
      </c>
      <c r="AB38" s="76">
        <v>0</v>
      </c>
      <c r="AC38" s="76">
        <v>0</v>
      </c>
      <c r="AD38" s="76">
        <v>0</v>
      </c>
      <c r="AE38" s="76">
        <v>22.240496265594899</v>
      </c>
      <c r="AF38" s="76">
        <v>0.61042973684631496</v>
      </c>
      <c r="AG38" s="76">
        <v>0</v>
      </c>
      <c r="AH38" s="76">
        <v>0</v>
      </c>
      <c r="AI38" s="76">
        <v>0</v>
      </c>
      <c r="AJ38" s="76">
        <v>-15.1433696888577</v>
      </c>
      <c r="AK38" s="76">
        <v>0</v>
      </c>
      <c r="AL38" s="76">
        <v>25.300383290822801</v>
      </c>
      <c r="AM38" s="76">
        <v>0</v>
      </c>
      <c r="AN38" s="76">
        <v>175.59248474003201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7">
        <v>4.8196871118033897</v>
      </c>
    </row>
    <row r="39" spans="2:46" ht="12" customHeight="1" x14ac:dyDescent="0.25">
      <c r="B39" s="75" t="s">
        <v>40</v>
      </c>
      <c r="C39" s="76" t="s">
        <v>97</v>
      </c>
      <c r="D39" s="76" t="s">
        <v>41</v>
      </c>
      <c r="E39" s="76" t="s">
        <v>101</v>
      </c>
      <c r="F39" s="76" t="s">
        <v>25</v>
      </c>
      <c r="G39" s="76" t="s">
        <v>38</v>
      </c>
      <c r="H39" s="76" t="s">
        <v>82</v>
      </c>
      <c r="I39" s="76" t="s">
        <v>25</v>
      </c>
      <c r="J39" s="76">
        <v>309.37</v>
      </c>
      <c r="K39" s="76">
        <v>190.57</v>
      </c>
      <c r="L39" s="76">
        <v>0</v>
      </c>
      <c r="M39" s="76">
        <v>1.0260925362025901</v>
      </c>
      <c r="N39" s="76">
        <v>0</v>
      </c>
      <c r="O39" s="76">
        <v>0</v>
      </c>
      <c r="P39" s="76">
        <v>0</v>
      </c>
      <c r="Q39" s="76">
        <v>83.573285867172601</v>
      </c>
      <c r="R39" s="76">
        <v>13.2037762321918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44.509323739799498</v>
      </c>
      <c r="Y39" s="76">
        <v>0</v>
      </c>
      <c r="Z39" s="76">
        <v>0</v>
      </c>
      <c r="AA39" s="76">
        <v>144.209203469741</v>
      </c>
      <c r="AB39" s="76">
        <v>0</v>
      </c>
      <c r="AC39" s="76">
        <v>0</v>
      </c>
      <c r="AD39" s="76">
        <v>0</v>
      </c>
      <c r="AE39" s="76">
        <v>22.240496265594899</v>
      </c>
      <c r="AF39" s="76">
        <v>0.61042973684631496</v>
      </c>
      <c r="AG39" s="76">
        <v>0</v>
      </c>
      <c r="AH39" s="76">
        <v>0</v>
      </c>
      <c r="AI39" s="76">
        <v>0</v>
      </c>
      <c r="AJ39" s="76">
        <v>-15.1433696888577</v>
      </c>
      <c r="AK39" s="76">
        <v>0</v>
      </c>
      <c r="AL39" s="76">
        <v>25.300383290822801</v>
      </c>
      <c r="AM39" s="76">
        <v>0</v>
      </c>
      <c r="AN39" s="76">
        <v>175.59248474003201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7">
        <v>4.8196871118033897</v>
      </c>
    </row>
    <row r="40" spans="2:46" ht="12" customHeight="1" x14ac:dyDescent="0.25">
      <c r="B40" s="75" t="s">
        <v>40</v>
      </c>
      <c r="C40" s="76" t="s">
        <v>23</v>
      </c>
      <c r="D40" s="76" t="s">
        <v>41</v>
      </c>
      <c r="E40" s="76" t="s">
        <v>100</v>
      </c>
      <c r="F40" s="76" t="s">
        <v>25</v>
      </c>
      <c r="G40" s="76" t="s">
        <v>25</v>
      </c>
      <c r="H40" s="76" t="s">
        <v>82</v>
      </c>
      <c r="I40" s="76" t="s">
        <v>25</v>
      </c>
      <c r="J40" s="76">
        <v>438.93</v>
      </c>
      <c r="K40" s="76">
        <v>194.71</v>
      </c>
      <c r="L40" s="76">
        <v>0</v>
      </c>
      <c r="M40" s="76">
        <v>1.0483988956852499</v>
      </c>
      <c r="N40" s="76">
        <v>0</v>
      </c>
      <c r="O40" s="76">
        <v>0</v>
      </c>
      <c r="P40" s="76">
        <v>0</v>
      </c>
      <c r="Q40" s="76">
        <v>85.390096429502407</v>
      </c>
      <c r="R40" s="76">
        <v>13.4908148459351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65.920346751617501</v>
      </c>
      <c r="Y40" s="76">
        <v>0</v>
      </c>
      <c r="Z40" s="76">
        <v>0</v>
      </c>
      <c r="AA40" s="76">
        <v>249.73602264221299</v>
      </c>
      <c r="AB40" s="76">
        <v>0</v>
      </c>
      <c r="AC40" s="76">
        <v>0</v>
      </c>
      <c r="AD40" s="76">
        <v>0</v>
      </c>
      <c r="AE40" s="76">
        <v>22.723985314846999</v>
      </c>
      <c r="AF40" s="76">
        <v>0.62369994851688704</v>
      </c>
      <c r="AG40" s="76">
        <v>0</v>
      </c>
      <c r="AH40" s="76">
        <v>0</v>
      </c>
      <c r="AI40" s="76">
        <v>0</v>
      </c>
      <c r="AJ40" s="76">
        <v>-15.472573377745899</v>
      </c>
      <c r="AK40" s="76">
        <v>0</v>
      </c>
      <c r="AL40" s="76">
        <v>25.850391623231999</v>
      </c>
      <c r="AM40" s="76">
        <v>0</v>
      </c>
      <c r="AN40" s="76">
        <v>179.40971266916301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7">
        <v>4.9244629185817201</v>
      </c>
    </row>
    <row r="41" spans="2:46" ht="12" customHeight="1" x14ac:dyDescent="0.25">
      <c r="B41" s="75" t="s">
        <v>40</v>
      </c>
      <c r="C41" s="76" t="s">
        <v>23</v>
      </c>
      <c r="D41" s="76" t="s">
        <v>41</v>
      </c>
      <c r="E41" s="76" t="s">
        <v>25</v>
      </c>
      <c r="F41" s="76" t="s">
        <v>25</v>
      </c>
      <c r="G41" s="76" t="s">
        <v>25</v>
      </c>
      <c r="H41" s="76" t="s">
        <v>82</v>
      </c>
      <c r="I41" s="76" t="s">
        <v>25</v>
      </c>
      <c r="J41" s="76">
        <v>438.93</v>
      </c>
      <c r="K41" s="76">
        <v>194.71</v>
      </c>
      <c r="L41" s="76">
        <v>0</v>
      </c>
      <c r="M41" s="76">
        <v>1.0483988956852499</v>
      </c>
      <c r="N41" s="76">
        <v>0</v>
      </c>
      <c r="O41" s="76">
        <v>0</v>
      </c>
      <c r="P41" s="76">
        <v>0</v>
      </c>
      <c r="Q41" s="76">
        <v>85.390096429502407</v>
      </c>
      <c r="R41" s="76">
        <v>13.4908148459351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65.920346751617501</v>
      </c>
      <c r="Y41" s="76">
        <v>0</v>
      </c>
      <c r="Z41" s="76">
        <v>0</v>
      </c>
      <c r="AA41" s="76">
        <v>249.73602264221299</v>
      </c>
      <c r="AB41" s="76">
        <v>0</v>
      </c>
      <c r="AC41" s="76">
        <v>0</v>
      </c>
      <c r="AD41" s="76">
        <v>0</v>
      </c>
      <c r="AE41" s="76">
        <v>22.723985314846999</v>
      </c>
      <c r="AF41" s="76">
        <v>0.62369994851688704</v>
      </c>
      <c r="AG41" s="76">
        <v>0</v>
      </c>
      <c r="AH41" s="76">
        <v>0</v>
      </c>
      <c r="AI41" s="76">
        <v>0</v>
      </c>
      <c r="AJ41" s="76">
        <v>-15.472573377745899</v>
      </c>
      <c r="AK41" s="76">
        <v>0</v>
      </c>
      <c r="AL41" s="76">
        <v>25.850391623231999</v>
      </c>
      <c r="AM41" s="76">
        <v>0</v>
      </c>
      <c r="AN41" s="76">
        <v>179.40971266916301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7">
        <v>4.9244629185817201</v>
      </c>
    </row>
    <row r="42" spans="2:46" ht="12" customHeight="1" x14ac:dyDescent="0.25">
      <c r="B42" s="75" t="s">
        <v>40</v>
      </c>
      <c r="C42" s="76" t="s">
        <v>23</v>
      </c>
      <c r="D42" s="76" t="s">
        <v>41</v>
      </c>
      <c r="E42" s="76" t="s">
        <v>101</v>
      </c>
      <c r="F42" s="76" t="s">
        <v>25</v>
      </c>
      <c r="G42" s="76" t="s">
        <v>25</v>
      </c>
      <c r="H42" s="76" t="s">
        <v>82</v>
      </c>
      <c r="I42" s="76" t="s">
        <v>25</v>
      </c>
      <c r="J42" s="76">
        <v>429.59</v>
      </c>
      <c r="K42" s="76">
        <v>190.57</v>
      </c>
      <c r="L42" s="76">
        <v>0</v>
      </c>
      <c r="M42" s="76">
        <v>1.0260925362025901</v>
      </c>
      <c r="N42" s="76">
        <v>0</v>
      </c>
      <c r="O42" s="76">
        <v>0</v>
      </c>
      <c r="P42" s="76">
        <v>0</v>
      </c>
      <c r="Q42" s="76">
        <v>83.573285867172601</v>
      </c>
      <c r="R42" s="76">
        <v>13.2037762321918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76">
        <v>64.517786182434193</v>
      </c>
      <c r="Y42" s="76">
        <v>0</v>
      </c>
      <c r="Z42" s="76">
        <v>0</v>
      </c>
      <c r="AA42" s="76">
        <v>244.42249024557</v>
      </c>
      <c r="AB42" s="76">
        <v>0</v>
      </c>
      <c r="AC42" s="76">
        <v>0</v>
      </c>
      <c r="AD42" s="76">
        <v>0</v>
      </c>
      <c r="AE42" s="76">
        <v>22.240496265594899</v>
      </c>
      <c r="AF42" s="76">
        <v>0.61042973684631496</v>
      </c>
      <c r="AG42" s="76">
        <v>0</v>
      </c>
      <c r="AH42" s="76">
        <v>0</v>
      </c>
      <c r="AI42" s="76">
        <v>0</v>
      </c>
      <c r="AJ42" s="76">
        <v>-15.1433696888577</v>
      </c>
      <c r="AK42" s="76">
        <v>0</v>
      </c>
      <c r="AL42" s="76">
        <v>25.300383290822801</v>
      </c>
      <c r="AM42" s="76">
        <v>0</v>
      </c>
      <c r="AN42" s="76">
        <v>175.59248474003201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7">
        <v>4.8196871118033897</v>
      </c>
    </row>
    <row r="43" spans="2:46" ht="12" customHeight="1" x14ac:dyDescent="0.25">
      <c r="B43" s="75" t="s">
        <v>40</v>
      </c>
      <c r="C43" s="76" t="s">
        <v>99</v>
      </c>
      <c r="D43" s="76" t="s">
        <v>41</v>
      </c>
      <c r="E43" s="76" t="s">
        <v>100</v>
      </c>
      <c r="F43" s="76" t="s">
        <v>25</v>
      </c>
      <c r="G43" s="76" t="s">
        <v>25</v>
      </c>
      <c r="H43" s="76" t="s">
        <v>82</v>
      </c>
      <c r="I43" s="76" t="s">
        <v>25</v>
      </c>
      <c r="J43" s="76">
        <v>438.93</v>
      </c>
      <c r="K43" s="76">
        <v>194.71</v>
      </c>
      <c r="L43" s="76">
        <v>0</v>
      </c>
      <c r="M43" s="76">
        <v>1.0483988956852499</v>
      </c>
      <c r="N43" s="76">
        <v>0</v>
      </c>
      <c r="O43" s="76">
        <v>0</v>
      </c>
      <c r="P43" s="76">
        <v>0</v>
      </c>
      <c r="Q43" s="76">
        <v>85.390096429502407</v>
      </c>
      <c r="R43" s="76">
        <v>13.4908148459351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65.920346751617501</v>
      </c>
      <c r="Y43" s="76">
        <v>0</v>
      </c>
      <c r="Z43" s="76">
        <v>0</v>
      </c>
      <c r="AA43" s="76">
        <v>249.73602264221299</v>
      </c>
      <c r="AB43" s="76">
        <v>0</v>
      </c>
      <c r="AC43" s="76">
        <v>0</v>
      </c>
      <c r="AD43" s="76">
        <v>0</v>
      </c>
      <c r="AE43" s="76">
        <v>22.723985314846999</v>
      </c>
      <c r="AF43" s="76">
        <v>0.62369994851688704</v>
      </c>
      <c r="AG43" s="76">
        <v>0</v>
      </c>
      <c r="AH43" s="76">
        <v>0</v>
      </c>
      <c r="AI43" s="76">
        <v>0</v>
      </c>
      <c r="AJ43" s="76">
        <v>-15.472573377745899</v>
      </c>
      <c r="AK43" s="76">
        <v>0</v>
      </c>
      <c r="AL43" s="76">
        <v>25.850391623231999</v>
      </c>
      <c r="AM43" s="76">
        <v>0</v>
      </c>
      <c r="AN43" s="76">
        <v>179.40971266916301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7">
        <v>4.9244629185817201</v>
      </c>
    </row>
    <row r="44" spans="2:46" ht="12" customHeight="1" x14ac:dyDescent="0.25">
      <c r="B44" s="75" t="s">
        <v>40</v>
      </c>
      <c r="C44" s="76" t="s">
        <v>99</v>
      </c>
      <c r="D44" s="76" t="s">
        <v>41</v>
      </c>
      <c r="E44" s="76" t="s">
        <v>25</v>
      </c>
      <c r="F44" s="76" t="s">
        <v>25</v>
      </c>
      <c r="G44" s="76" t="s">
        <v>25</v>
      </c>
      <c r="H44" s="76" t="s">
        <v>82</v>
      </c>
      <c r="I44" s="76" t="s">
        <v>25</v>
      </c>
      <c r="J44" s="76">
        <v>438.93</v>
      </c>
      <c r="K44" s="76">
        <v>194.71</v>
      </c>
      <c r="L44" s="76">
        <v>0</v>
      </c>
      <c r="M44" s="76">
        <v>1.0483988956852499</v>
      </c>
      <c r="N44" s="76">
        <v>0</v>
      </c>
      <c r="O44" s="76">
        <v>0</v>
      </c>
      <c r="P44" s="76">
        <v>0</v>
      </c>
      <c r="Q44" s="76">
        <v>85.390096429502407</v>
      </c>
      <c r="R44" s="76">
        <v>13.4908148459351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65.920346751617501</v>
      </c>
      <c r="Y44" s="76">
        <v>0</v>
      </c>
      <c r="Z44" s="76">
        <v>0</v>
      </c>
      <c r="AA44" s="76">
        <v>249.73602264221299</v>
      </c>
      <c r="AB44" s="76">
        <v>0</v>
      </c>
      <c r="AC44" s="76">
        <v>0</v>
      </c>
      <c r="AD44" s="76">
        <v>0</v>
      </c>
      <c r="AE44" s="76">
        <v>22.723985314846999</v>
      </c>
      <c r="AF44" s="76">
        <v>0.62369994851688704</v>
      </c>
      <c r="AG44" s="76">
        <v>0</v>
      </c>
      <c r="AH44" s="76">
        <v>0</v>
      </c>
      <c r="AI44" s="76">
        <v>0</v>
      </c>
      <c r="AJ44" s="76">
        <v>-15.472573377745899</v>
      </c>
      <c r="AK44" s="76">
        <v>0</v>
      </c>
      <c r="AL44" s="76">
        <v>25.850391623231999</v>
      </c>
      <c r="AM44" s="76">
        <v>0</v>
      </c>
      <c r="AN44" s="76">
        <v>179.40971266916301</v>
      </c>
      <c r="AO44" s="76">
        <v>0</v>
      </c>
      <c r="AP44" s="76">
        <v>0</v>
      </c>
      <c r="AQ44" s="76">
        <v>0</v>
      </c>
      <c r="AR44" s="76">
        <v>0</v>
      </c>
      <c r="AS44" s="76">
        <v>0</v>
      </c>
      <c r="AT44" s="77">
        <v>4.9244629185817201</v>
      </c>
    </row>
    <row r="45" spans="2:46" ht="12" customHeight="1" x14ac:dyDescent="0.25">
      <c r="B45" s="75" t="s">
        <v>40</v>
      </c>
      <c r="C45" s="76" t="s">
        <v>99</v>
      </c>
      <c r="D45" s="76" t="s">
        <v>41</v>
      </c>
      <c r="E45" s="76" t="s">
        <v>101</v>
      </c>
      <c r="F45" s="76" t="s">
        <v>25</v>
      </c>
      <c r="G45" s="76" t="s">
        <v>25</v>
      </c>
      <c r="H45" s="76" t="s">
        <v>82</v>
      </c>
      <c r="I45" s="76" t="s">
        <v>25</v>
      </c>
      <c r="J45" s="76">
        <v>429.59</v>
      </c>
      <c r="K45" s="76">
        <v>190.57</v>
      </c>
      <c r="L45" s="76">
        <v>0</v>
      </c>
      <c r="M45" s="76">
        <v>1.0260925362025901</v>
      </c>
      <c r="N45" s="76">
        <v>0</v>
      </c>
      <c r="O45" s="76">
        <v>0</v>
      </c>
      <c r="P45" s="76">
        <v>0</v>
      </c>
      <c r="Q45" s="76">
        <v>83.573285867172601</v>
      </c>
      <c r="R45" s="76">
        <v>13.2037762321918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64.517786182434193</v>
      </c>
      <c r="Y45" s="76">
        <v>0</v>
      </c>
      <c r="Z45" s="76">
        <v>0</v>
      </c>
      <c r="AA45" s="76">
        <v>244.42249024557</v>
      </c>
      <c r="AB45" s="76">
        <v>0</v>
      </c>
      <c r="AC45" s="76">
        <v>0</v>
      </c>
      <c r="AD45" s="76">
        <v>0</v>
      </c>
      <c r="AE45" s="76">
        <v>22.240496265594899</v>
      </c>
      <c r="AF45" s="76">
        <v>0.61042973684631496</v>
      </c>
      <c r="AG45" s="76">
        <v>0</v>
      </c>
      <c r="AH45" s="76">
        <v>0</v>
      </c>
      <c r="AI45" s="76">
        <v>0</v>
      </c>
      <c r="AJ45" s="76">
        <v>-15.1433696888577</v>
      </c>
      <c r="AK45" s="76">
        <v>0</v>
      </c>
      <c r="AL45" s="76">
        <v>25.300383290822801</v>
      </c>
      <c r="AM45" s="76">
        <v>0</v>
      </c>
      <c r="AN45" s="76">
        <v>175.59248474003201</v>
      </c>
      <c r="AO45" s="76">
        <v>0</v>
      </c>
      <c r="AP45" s="76">
        <v>0</v>
      </c>
      <c r="AQ45" s="76">
        <v>0</v>
      </c>
      <c r="AR45" s="76">
        <v>0</v>
      </c>
      <c r="AS45" s="76">
        <v>0</v>
      </c>
      <c r="AT45" s="77">
        <v>4.8196871118033897</v>
      </c>
    </row>
    <row r="46" spans="2:46" ht="12" customHeight="1" x14ac:dyDescent="0.25">
      <c r="B46" s="75" t="s">
        <v>33</v>
      </c>
      <c r="C46" s="76" t="s">
        <v>97</v>
      </c>
      <c r="D46" s="76" t="s">
        <v>25</v>
      </c>
      <c r="E46" s="76" t="s">
        <v>25</v>
      </c>
      <c r="F46" s="76" t="s">
        <v>25</v>
      </c>
      <c r="G46" s="76" t="s">
        <v>37</v>
      </c>
      <c r="H46" s="76" t="s">
        <v>82</v>
      </c>
      <c r="I46" s="76" t="s">
        <v>25</v>
      </c>
      <c r="J46" s="76">
        <v>1289.73</v>
      </c>
      <c r="K46" s="76">
        <v>207.14</v>
      </c>
      <c r="L46" s="76">
        <v>0</v>
      </c>
      <c r="M46" s="76">
        <v>1.11531797413325</v>
      </c>
      <c r="N46" s="76">
        <v>0</v>
      </c>
      <c r="O46" s="76">
        <v>0</v>
      </c>
      <c r="P46" s="76">
        <v>0</v>
      </c>
      <c r="Q46" s="76">
        <v>90.840528116491896</v>
      </c>
      <c r="R46" s="76">
        <v>14.351930687165</v>
      </c>
      <c r="S46" s="76">
        <v>0</v>
      </c>
      <c r="T46" s="76">
        <v>0</v>
      </c>
      <c r="U46" s="76">
        <v>0</v>
      </c>
      <c r="V46" s="76">
        <v>0</v>
      </c>
      <c r="W46" s="76">
        <v>0</v>
      </c>
      <c r="X46" s="76">
        <v>242.002340969263</v>
      </c>
      <c r="Y46" s="76">
        <v>0</v>
      </c>
      <c r="Z46" s="76">
        <v>0</v>
      </c>
      <c r="AA46" s="76">
        <v>916.58403954950199</v>
      </c>
      <c r="AB46" s="76">
        <v>0</v>
      </c>
      <c r="AC46" s="76">
        <v>0</v>
      </c>
      <c r="AD46" s="76">
        <v>0</v>
      </c>
      <c r="AE46" s="76">
        <v>24.174452462603099</v>
      </c>
      <c r="AF46" s="76">
        <v>0.66351058352860404</v>
      </c>
      <c r="AG46" s="76">
        <v>0</v>
      </c>
      <c r="AH46" s="76">
        <v>0</v>
      </c>
      <c r="AI46" s="76">
        <v>0</v>
      </c>
      <c r="AJ46" s="76">
        <v>-16.460184444410501</v>
      </c>
      <c r="AK46" s="76">
        <v>0</v>
      </c>
      <c r="AL46" s="76">
        <v>27.5004166204595</v>
      </c>
      <c r="AM46" s="76">
        <v>0</v>
      </c>
      <c r="AN46" s="76">
        <v>190.861396456557</v>
      </c>
      <c r="AO46" s="76">
        <v>0</v>
      </c>
      <c r="AP46" s="76">
        <v>0</v>
      </c>
      <c r="AQ46" s="76">
        <v>0</v>
      </c>
      <c r="AR46" s="76">
        <v>0</v>
      </c>
      <c r="AS46" s="76">
        <v>0</v>
      </c>
      <c r="AT46" s="77">
        <v>5.2387903389167203</v>
      </c>
    </row>
    <row r="47" spans="2:46" ht="12" customHeight="1" x14ac:dyDescent="0.25">
      <c r="B47" s="75" t="s">
        <v>33</v>
      </c>
      <c r="C47" s="76" t="s">
        <v>97</v>
      </c>
      <c r="D47" s="76" t="s">
        <v>25</v>
      </c>
      <c r="E47" s="76" t="s">
        <v>25</v>
      </c>
      <c r="F47" s="76" t="s">
        <v>25</v>
      </c>
      <c r="G47" s="76" t="s">
        <v>612</v>
      </c>
      <c r="H47" s="76" t="s">
        <v>82</v>
      </c>
      <c r="I47" s="76" t="s">
        <v>25</v>
      </c>
      <c r="J47" s="76">
        <v>826.27</v>
      </c>
      <c r="K47" s="76">
        <v>207.14</v>
      </c>
      <c r="L47" s="76">
        <v>0</v>
      </c>
      <c r="M47" s="76">
        <v>1.11531797413325</v>
      </c>
      <c r="N47" s="76">
        <v>0</v>
      </c>
      <c r="O47" s="76">
        <v>0</v>
      </c>
      <c r="P47" s="76">
        <v>0</v>
      </c>
      <c r="Q47" s="76">
        <v>90.840528116491896</v>
      </c>
      <c r="R47" s="76">
        <v>14.351930687165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145.17363549476201</v>
      </c>
      <c r="Y47" s="76">
        <v>0</v>
      </c>
      <c r="Z47" s="76">
        <v>0</v>
      </c>
      <c r="AA47" s="76">
        <v>549.95042372970101</v>
      </c>
      <c r="AB47" s="76">
        <v>0</v>
      </c>
      <c r="AC47" s="76">
        <v>0</v>
      </c>
      <c r="AD47" s="76">
        <v>0</v>
      </c>
      <c r="AE47" s="76">
        <v>24.174452462603099</v>
      </c>
      <c r="AF47" s="76">
        <v>0.66351058352860404</v>
      </c>
      <c r="AG47" s="76">
        <v>0</v>
      </c>
      <c r="AH47" s="76">
        <v>0</v>
      </c>
      <c r="AI47" s="76">
        <v>0</v>
      </c>
      <c r="AJ47" s="76">
        <v>-16.460184444410501</v>
      </c>
      <c r="AK47" s="76">
        <v>0</v>
      </c>
      <c r="AL47" s="76">
        <v>27.5004166204595</v>
      </c>
      <c r="AM47" s="76">
        <v>0</v>
      </c>
      <c r="AN47" s="76">
        <v>190.861396456557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7">
        <v>5.2387903389167203</v>
      </c>
    </row>
    <row r="48" spans="2:46" ht="12" customHeight="1" x14ac:dyDescent="0.25">
      <c r="B48" s="75" t="s">
        <v>33</v>
      </c>
      <c r="C48" s="76" t="s">
        <v>97</v>
      </c>
      <c r="D48" s="76" t="s">
        <v>25</v>
      </c>
      <c r="E48" s="76" t="s">
        <v>25</v>
      </c>
      <c r="F48" s="76" t="s">
        <v>25</v>
      </c>
      <c r="G48" s="76" t="s">
        <v>38</v>
      </c>
      <c r="H48" s="76" t="s">
        <v>82</v>
      </c>
      <c r="I48" s="76" t="s">
        <v>25</v>
      </c>
      <c r="J48" s="76">
        <v>362.84</v>
      </c>
      <c r="K48" s="76">
        <v>207.14</v>
      </c>
      <c r="L48" s="76">
        <v>0</v>
      </c>
      <c r="M48" s="76">
        <v>1.11531797413325</v>
      </c>
      <c r="N48" s="76">
        <v>0</v>
      </c>
      <c r="O48" s="76">
        <v>0</v>
      </c>
      <c r="P48" s="76">
        <v>0</v>
      </c>
      <c r="Q48" s="76">
        <v>90.840528116491896</v>
      </c>
      <c r="R48" s="76">
        <v>14.351930687165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48.379699717173402</v>
      </c>
      <c r="Y48" s="76">
        <v>0</v>
      </c>
      <c r="Z48" s="76">
        <v>0</v>
      </c>
      <c r="AA48" s="76">
        <v>183.31704231883</v>
      </c>
      <c r="AB48" s="76">
        <v>0</v>
      </c>
      <c r="AC48" s="76">
        <v>0</v>
      </c>
      <c r="AD48" s="76">
        <v>0</v>
      </c>
      <c r="AE48" s="76">
        <v>24.174452462603099</v>
      </c>
      <c r="AF48" s="76">
        <v>0.66351058352860404</v>
      </c>
      <c r="AG48" s="76">
        <v>0</v>
      </c>
      <c r="AH48" s="76">
        <v>0</v>
      </c>
      <c r="AI48" s="76">
        <v>0</v>
      </c>
      <c r="AJ48" s="76">
        <v>-16.460184444410501</v>
      </c>
      <c r="AK48" s="76">
        <v>0</v>
      </c>
      <c r="AL48" s="76">
        <v>27.5004166204595</v>
      </c>
      <c r="AM48" s="76">
        <v>0</v>
      </c>
      <c r="AN48" s="76">
        <v>190.861396456557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7">
        <v>5.2387903389167203</v>
      </c>
    </row>
    <row r="49" spans="2:46" ht="12" customHeight="1" x14ac:dyDescent="0.25">
      <c r="B49" s="75" t="s">
        <v>33</v>
      </c>
      <c r="C49" s="76" t="s">
        <v>23</v>
      </c>
      <c r="D49" s="76" t="s">
        <v>25</v>
      </c>
      <c r="E49" s="76" t="s">
        <v>25</v>
      </c>
      <c r="F49" s="76" t="s">
        <v>25</v>
      </c>
      <c r="G49" s="76" t="s">
        <v>25</v>
      </c>
      <c r="H49" s="76" t="s">
        <v>82</v>
      </c>
      <c r="I49" s="76" t="s">
        <v>25</v>
      </c>
      <c r="J49" s="76">
        <v>466.95</v>
      </c>
      <c r="K49" s="76">
        <v>207.14</v>
      </c>
      <c r="L49" s="76">
        <v>0</v>
      </c>
      <c r="M49" s="76">
        <v>1.11531797413325</v>
      </c>
      <c r="N49" s="76">
        <v>0</v>
      </c>
      <c r="O49" s="76">
        <v>0</v>
      </c>
      <c r="P49" s="76">
        <v>0</v>
      </c>
      <c r="Q49" s="76">
        <v>90.840528116491896</v>
      </c>
      <c r="R49" s="76">
        <v>14.351930687165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70.128028459167595</v>
      </c>
      <c r="Y49" s="76">
        <v>0</v>
      </c>
      <c r="Z49" s="76">
        <v>0</v>
      </c>
      <c r="AA49" s="76">
        <v>265.676619832141</v>
      </c>
      <c r="AB49" s="76">
        <v>0</v>
      </c>
      <c r="AC49" s="76">
        <v>0</v>
      </c>
      <c r="AD49" s="76">
        <v>0</v>
      </c>
      <c r="AE49" s="76">
        <v>24.174452462603099</v>
      </c>
      <c r="AF49" s="76">
        <v>0.66351058352860404</v>
      </c>
      <c r="AG49" s="76">
        <v>0</v>
      </c>
      <c r="AH49" s="76">
        <v>0</v>
      </c>
      <c r="AI49" s="76">
        <v>0</v>
      </c>
      <c r="AJ49" s="76">
        <v>-16.460184444410501</v>
      </c>
      <c r="AK49" s="76">
        <v>0</v>
      </c>
      <c r="AL49" s="76">
        <v>27.5004166204595</v>
      </c>
      <c r="AM49" s="76">
        <v>0</v>
      </c>
      <c r="AN49" s="76">
        <v>190.861396456557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7">
        <v>5.2387903389167203</v>
      </c>
    </row>
    <row r="50" spans="2:46" ht="12" customHeight="1" x14ac:dyDescent="0.25">
      <c r="B50" s="75" t="s">
        <v>33</v>
      </c>
      <c r="C50" s="76" t="s">
        <v>99</v>
      </c>
      <c r="D50" s="76" t="s">
        <v>25</v>
      </c>
      <c r="E50" s="76" t="s">
        <v>25</v>
      </c>
      <c r="F50" s="76" t="s">
        <v>25</v>
      </c>
      <c r="G50" s="76" t="s">
        <v>25</v>
      </c>
      <c r="H50" s="76" t="s">
        <v>82</v>
      </c>
      <c r="I50" s="76" t="s">
        <v>25</v>
      </c>
      <c r="J50" s="76">
        <v>466.95</v>
      </c>
      <c r="K50" s="76">
        <v>207.14</v>
      </c>
      <c r="L50" s="76">
        <v>0</v>
      </c>
      <c r="M50" s="76">
        <v>1.11531797413325</v>
      </c>
      <c r="N50" s="76">
        <v>0</v>
      </c>
      <c r="O50" s="76">
        <v>0</v>
      </c>
      <c r="P50" s="76">
        <v>0</v>
      </c>
      <c r="Q50" s="76">
        <v>90.840528116491896</v>
      </c>
      <c r="R50" s="76">
        <v>14.351930687165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70.128028459167595</v>
      </c>
      <c r="Y50" s="76">
        <v>0</v>
      </c>
      <c r="Z50" s="76">
        <v>0</v>
      </c>
      <c r="AA50" s="76">
        <v>265.676619832141</v>
      </c>
      <c r="AB50" s="76">
        <v>0</v>
      </c>
      <c r="AC50" s="76">
        <v>0</v>
      </c>
      <c r="AD50" s="76">
        <v>0</v>
      </c>
      <c r="AE50" s="76">
        <v>24.174452462603099</v>
      </c>
      <c r="AF50" s="76">
        <v>0.66351058352860404</v>
      </c>
      <c r="AG50" s="76">
        <v>0</v>
      </c>
      <c r="AH50" s="76">
        <v>0</v>
      </c>
      <c r="AI50" s="76">
        <v>0</v>
      </c>
      <c r="AJ50" s="76">
        <v>-16.460184444410501</v>
      </c>
      <c r="AK50" s="76">
        <v>0</v>
      </c>
      <c r="AL50" s="76">
        <v>27.5004166204595</v>
      </c>
      <c r="AM50" s="76">
        <v>0</v>
      </c>
      <c r="AN50" s="76">
        <v>190.861396456557</v>
      </c>
      <c r="AO50" s="76">
        <v>0</v>
      </c>
      <c r="AP50" s="76">
        <v>0</v>
      </c>
      <c r="AQ50" s="76">
        <v>0</v>
      </c>
      <c r="AR50" s="76">
        <v>0</v>
      </c>
      <c r="AS50" s="76">
        <v>0</v>
      </c>
      <c r="AT50" s="77">
        <v>5.2387903389167203</v>
      </c>
    </row>
    <row r="51" spans="2:46" ht="12" customHeight="1" x14ac:dyDescent="0.25">
      <c r="B51" s="75" t="s">
        <v>43</v>
      </c>
      <c r="C51" s="76" t="s">
        <v>23</v>
      </c>
      <c r="D51" s="76" t="s">
        <v>44</v>
      </c>
      <c r="E51" s="76" t="s">
        <v>45</v>
      </c>
      <c r="F51" s="76" t="s">
        <v>25</v>
      </c>
      <c r="G51" s="76" t="s">
        <v>25</v>
      </c>
      <c r="H51" s="76" t="s">
        <v>82</v>
      </c>
      <c r="I51" s="76" t="s">
        <v>25</v>
      </c>
      <c r="J51" s="76">
        <v>256.82</v>
      </c>
      <c r="K51" s="76">
        <v>113.93</v>
      </c>
      <c r="L51" s="76">
        <v>0</v>
      </c>
      <c r="M51" s="76">
        <v>0.61342488577328502</v>
      </c>
      <c r="N51" s="76">
        <v>0</v>
      </c>
      <c r="O51" s="76">
        <v>0</v>
      </c>
      <c r="P51" s="76">
        <v>0</v>
      </c>
      <c r="Q51" s="76">
        <v>49.962290464070598</v>
      </c>
      <c r="R51" s="76">
        <v>7.8935618779407504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38.570415652542202</v>
      </c>
      <c r="Y51" s="76">
        <v>0</v>
      </c>
      <c r="Z51" s="76">
        <v>0</v>
      </c>
      <c r="AA51" s="76">
        <v>146.12214090767799</v>
      </c>
      <c r="AB51" s="76">
        <v>0</v>
      </c>
      <c r="AC51" s="76">
        <v>0</v>
      </c>
      <c r="AD51" s="76">
        <v>0</v>
      </c>
      <c r="AE51" s="76">
        <v>13.2959488544317</v>
      </c>
      <c r="AF51" s="76">
        <v>0.36493082094073198</v>
      </c>
      <c r="AG51" s="76">
        <v>0</v>
      </c>
      <c r="AH51" s="76">
        <v>0</v>
      </c>
      <c r="AI51" s="76">
        <v>0</v>
      </c>
      <c r="AJ51" s="76">
        <v>-9.0531014444257707</v>
      </c>
      <c r="AK51" s="76">
        <v>0</v>
      </c>
      <c r="AL51" s="76">
        <v>15.125229141252699</v>
      </c>
      <c r="AM51" s="76">
        <v>0</v>
      </c>
      <c r="AN51" s="76">
        <v>104.97376805110601</v>
      </c>
      <c r="AO51" s="76">
        <v>0</v>
      </c>
      <c r="AP51" s="76">
        <v>0</v>
      </c>
      <c r="AQ51" s="76">
        <v>0</v>
      </c>
      <c r="AR51" s="76">
        <v>0</v>
      </c>
      <c r="AS51" s="76">
        <v>0</v>
      </c>
      <c r="AT51" s="77">
        <v>2.8813346864042</v>
      </c>
    </row>
    <row r="52" spans="2:46" ht="12" customHeight="1" x14ac:dyDescent="0.25">
      <c r="B52" s="78" t="s">
        <v>43</v>
      </c>
      <c r="C52" s="79" t="s">
        <v>23</v>
      </c>
      <c r="D52" s="79" t="s">
        <v>44</v>
      </c>
      <c r="E52" s="79" t="s">
        <v>102</v>
      </c>
      <c r="F52" s="79" t="s">
        <v>25</v>
      </c>
      <c r="G52" s="79" t="s">
        <v>25</v>
      </c>
      <c r="H52" s="79" t="s">
        <v>82</v>
      </c>
      <c r="I52" s="79" t="s">
        <v>25</v>
      </c>
      <c r="J52" s="79">
        <v>280.17</v>
      </c>
      <c r="K52" s="79">
        <v>124.28</v>
      </c>
      <c r="L52" s="79">
        <v>0</v>
      </c>
      <c r="M52" s="79">
        <v>0.66919078447994795</v>
      </c>
      <c r="N52" s="79">
        <v>0</v>
      </c>
      <c r="O52" s="79">
        <v>0</v>
      </c>
      <c r="P52" s="79">
        <v>0</v>
      </c>
      <c r="Q52" s="79">
        <v>54.504316869895199</v>
      </c>
      <c r="R52" s="79">
        <v>8.6111584122989999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42.0768170755006</v>
      </c>
      <c r="Y52" s="79">
        <v>0</v>
      </c>
      <c r="Z52" s="79">
        <v>0</v>
      </c>
      <c r="AA52" s="79">
        <v>159.40597189928499</v>
      </c>
      <c r="AB52" s="79">
        <v>0</v>
      </c>
      <c r="AC52" s="79">
        <v>0</v>
      </c>
      <c r="AD52" s="79">
        <v>0</v>
      </c>
      <c r="AE52" s="79">
        <v>14.504671477561899</v>
      </c>
      <c r="AF52" s="79">
        <v>0.398106350117162</v>
      </c>
      <c r="AG52" s="79">
        <v>0</v>
      </c>
      <c r="AH52" s="79">
        <v>0</v>
      </c>
      <c r="AI52" s="79">
        <v>0</v>
      </c>
      <c r="AJ52" s="79">
        <v>-9.8761106666462997</v>
      </c>
      <c r="AK52" s="79">
        <v>0</v>
      </c>
      <c r="AL52" s="79">
        <v>16.5002499722757</v>
      </c>
      <c r="AM52" s="79">
        <v>0</v>
      </c>
      <c r="AN52" s="79">
        <v>114.51683787393399</v>
      </c>
      <c r="AO52" s="79">
        <v>0</v>
      </c>
      <c r="AP52" s="79">
        <v>0</v>
      </c>
      <c r="AQ52" s="79">
        <v>0</v>
      </c>
      <c r="AR52" s="79">
        <v>0</v>
      </c>
      <c r="AS52" s="79">
        <v>0</v>
      </c>
      <c r="AT52" s="80">
        <v>3.14327420335003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1FBB-F6DE-4631-8051-C13A558ABC74}">
  <dimension ref="B1:AT52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5.1406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7" t="s">
        <v>1149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</row>
    <row r="2" spans="2:46" ht="12" customHeight="1" x14ac:dyDescent="0.25">
      <c r="L2" s="118" t="s">
        <v>465</v>
      </c>
      <c r="M2" s="118"/>
      <c r="N2" s="118"/>
      <c r="O2" s="118"/>
      <c r="P2" s="118"/>
      <c r="Q2" s="118"/>
      <c r="R2" s="118"/>
      <c r="S2" s="119"/>
      <c r="T2" s="118" t="s">
        <v>474</v>
      </c>
      <c r="U2" s="118"/>
      <c r="V2" s="118"/>
      <c r="W2" s="118"/>
      <c r="X2" s="118"/>
      <c r="Y2" s="118"/>
      <c r="Z2" s="119"/>
      <c r="AA2" s="82" t="s">
        <v>482</v>
      </c>
      <c r="AB2" s="118" t="s">
        <v>25</v>
      </c>
      <c r="AC2" s="118"/>
      <c r="AD2" s="119"/>
      <c r="AE2" s="118" t="s">
        <v>1148</v>
      </c>
      <c r="AF2" s="118"/>
      <c r="AG2" s="118"/>
      <c r="AH2" s="119"/>
      <c r="AI2" s="118" t="s">
        <v>465</v>
      </c>
      <c r="AJ2" s="118"/>
      <c r="AK2" s="118"/>
      <c r="AL2" s="118"/>
      <c r="AM2" s="119"/>
      <c r="AN2" s="82" t="s">
        <v>496</v>
      </c>
      <c r="AO2" s="118" t="s">
        <v>474</v>
      </c>
      <c r="AP2" s="118"/>
      <c r="AQ2" s="118"/>
      <c r="AR2" s="118"/>
      <c r="AS2" s="119"/>
      <c r="AT2" s="81" t="s">
        <v>1148</v>
      </c>
    </row>
    <row r="3" spans="2:46" ht="12" customHeight="1" x14ac:dyDescent="0.25">
      <c r="B3" s="72" t="s">
        <v>72</v>
      </c>
      <c r="C3" s="73" t="s">
        <v>73</v>
      </c>
      <c r="D3" s="73" t="s">
        <v>74</v>
      </c>
      <c r="E3" s="73" t="s">
        <v>75</v>
      </c>
      <c r="F3" s="73" t="s">
        <v>76</v>
      </c>
      <c r="G3" s="73" t="s">
        <v>78</v>
      </c>
      <c r="H3" s="73" t="s">
        <v>79</v>
      </c>
      <c r="I3" s="73" t="s">
        <v>744</v>
      </c>
      <c r="J3" s="73" t="s">
        <v>1110</v>
      </c>
      <c r="K3" s="73" t="s">
        <v>1111</v>
      </c>
      <c r="L3" s="73" t="s">
        <v>1112</v>
      </c>
      <c r="M3" s="73" t="s">
        <v>1113</v>
      </c>
      <c r="N3" s="73" t="s">
        <v>1114</v>
      </c>
      <c r="O3" s="73" t="s">
        <v>1115</v>
      </c>
      <c r="P3" s="73" t="s">
        <v>1116</v>
      </c>
      <c r="Q3" s="73" t="s">
        <v>1117</v>
      </c>
      <c r="R3" s="73" t="s">
        <v>1118</v>
      </c>
      <c r="S3" s="73" t="s">
        <v>1119</v>
      </c>
      <c r="T3" s="73" t="s">
        <v>1120</v>
      </c>
      <c r="U3" s="73" t="s">
        <v>1121</v>
      </c>
      <c r="V3" s="73" t="s">
        <v>1122</v>
      </c>
      <c r="W3" s="73" t="s">
        <v>1123</v>
      </c>
      <c r="X3" s="73" t="s">
        <v>1124</v>
      </c>
      <c r="Y3" s="73" t="s">
        <v>1125</v>
      </c>
      <c r="Z3" s="73" t="s">
        <v>1126</v>
      </c>
      <c r="AA3" s="73" t="s">
        <v>1127</v>
      </c>
      <c r="AB3" s="73" t="s">
        <v>1128</v>
      </c>
      <c r="AC3" s="73" t="s">
        <v>1129</v>
      </c>
      <c r="AD3" s="73" t="s">
        <v>1130</v>
      </c>
      <c r="AE3" s="73" t="s">
        <v>1131</v>
      </c>
      <c r="AF3" s="73" t="s">
        <v>1132</v>
      </c>
      <c r="AG3" s="73" t="s">
        <v>1133</v>
      </c>
      <c r="AH3" s="73" t="s">
        <v>1134</v>
      </c>
      <c r="AI3" s="73" t="s">
        <v>1135</v>
      </c>
      <c r="AJ3" s="73" t="s">
        <v>1136</v>
      </c>
      <c r="AK3" s="73" t="s">
        <v>1137</v>
      </c>
      <c r="AL3" s="73" t="s">
        <v>1138</v>
      </c>
      <c r="AM3" s="73" t="s">
        <v>1139</v>
      </c>
      <c r="AN3" s="73" t="s">
        <v>1140</v>
      </c>
      <c r="AO3" s="73" t="s">
        <v>1141</v>
      </c>
      <c r="AP3" s="73" t="s">
        <v>1142</v>
      </c>
      <c r="AQ3" s="73" t="s">
        <v>1143</v>
      </c>
      <c r="AR3" s="73" t="s">
        <v>1144</v>
      </c>
      <c r="AS3" s="73" t="s">
        <v>1145</v>
      </c>
      <c r="AT3" s="74" t="s">
        <v>1146</v>
      </c>
    </row>
    <row r="4" spans="2:46" ht="12" customHeight="1" x14ac:dyDescent="0.25">
      <c r="B4" s="75" t="s">
        <v>35</v>
      </c>
      <c r="C4" s="76" t="s">
        <v>48</v>
      </c>
      <c r="D4" s="76" t="s">
        <v>25</v>
      </c>
      <c r="E4" s="76" t="s">
        <v>25</v>
      </c>
      <c r="F4" s="76" t="s">
        <v>54</v>
      </c>
      <c r="G4" s="76" t="s">
        <v>37</v>
      </c>
      <c r="H4" s="76" t="s">
        <v>82</v>
      </c>
      <c r="I4" s="76" t="s">
        <v>25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0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  <c r="AA4" s="76">
        <v>0</v>
      </c>
      <c r="AB4" s="76">
        <v>0</v>
      </c>
      <c r="AC4" s="76">
        <v>0</v>
      </c>
      <c r="AD4" s="76">
        <v>0</v>
      </c>
      <c r="AE4" s="76">
        <v>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7">
        <v>0</v>
      </c>
    </row>
    <row r="5" spans="2:46" ht="12" customHeight="1" x14ac:dyDescent="0.25">
      <c r="B5" s="75" t="s">
        <v>35</v>
      </c>
      <c r="C5" s="76" t="s">
        <v>48</v>
      </c>
      <c r="D5" s="76" t="s">
        <v>25</v>
      </c>
      <c r="E5" s="76" t="s">
        <v>25</v>
      </c>
      <c r="F5" s="76" t="s">
        <v>54</v>
      </c>
      <c r="G5" s="76" t="s">
        <v>37</v>
      </c>
      <c r="H5" s="76" t="s">
        <v>88</v>
      </c>
      <c r="I5" s="76" t="s">
        <v>25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s="76">
        <v>0</v>
      </c>
      <c r="W5" s="76">
        <v>0</v>
      </c>
      <c r="X5" s="76">
        <v>0</v>
      </c>
      <c r="Y5" s="76">
        <v>0</v>
      </c>
      <c r="Z5" s="76">
        <v>0</v>
      </c>
      <c r="AA5" s="76">
        <v>0</v>
      </c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7">
        <v>0</v>
      </c>
    </row>
    <row r="6" spans="2:46" ht="12" customHeight="1" x14ac:dyDescent="0.25">
      <c r="B6" s="75" t="s">
        <v>35</v>
      </c>
      <c r="C6" s="76" t="s">
        <v>48</v>
      </c>
      <c r="D6" s="76" t="s">
        <v>25</v>
      </c>
      <c r="E6" s="76" t="s">
        <v>25</v>
      </c>
      <c r="F6" s="76" t="s">
        <v>54</v>
      </c>
      <c r="G6" s="76" t="s">
        <v>38</v>
      </c>
      <c r="H6" s="76" t="s">
        <v>82</v>
      </c>
      <c r="I6" s="76" t="s">
        <v>25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76">
        <v>0</v>
      </c>
      <c r="AC6" s="76">
        <v>0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0</v>
      </c>
      <c r="AT6" s="77">
        <v>0</v>
      </c>
    </row>
    <row r="7" spans="2:46" ht="12" customHeight="1" x14ac:dyDescent="0.25">
      <c r="B7" s="75" t="s">
        <v>35</v>
      </c>
      <c r="C7" s="76" t="s">
        <v>48</v>
      </c>
      <c r="D7" s="76" t="s">
        <v>25</v>
      </c>
      <c r="E7" s="76" t="s">
        <v>25</v>
      </c>
      <c r="F7" s="76" t="s">
        <v>54</v>
      </c>
      <c r="G7" s="76" t="s">
        <v>38</v>
      </c>
      <c r="H7" s="76" t="s">
        <v>88</v>
      </c>
      <c r="I7" s="76" t="s">
        <v>25</v>
      </c>
      <c r="J7" s="76">
        <v>0</v>
      </c>
      <c r="K7" s="76">
        <v>0</v>
      </c>
      <c r="L7" s="76">
        <v>0</v>
      </c>
      <c r="M7" s="76">
        <v>0</v>
      </c>
      <c r="N7" s="76">
        <v>0</v>
      </c>
      <c r="O7" s="76">
        <v>0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0</v>
      </c>
      <c r="X7" s="76">
        <v>0</v>
      </c>
      <c r="Y7" s="76">
        <v>0</v>
      </c>
      <c r="Z7" s="76">
        <v>0</v>
      </c>
      <c r="AA7" s="76">
        <v>0</v>
      </c>
      <c r="AB7" s="76">
        <v>0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7">
        <v>0</v>
      </c>
    </row>
    <row r="8" spans="2:46" ht="12" customHeight="1" x14ac:dyDescent="0.25">
      <c r="B8" s="75" t="s">
        <v>35</v>
      </c>
      <c r="C8" s="76" t="s">
        <v>48</v>
      </c>
      <c r="D8" s="76" t="s">
        <v>25</v>
      </c>
      <c r="E8" s="76" t="s">
        <v>25</v>
      </c>
      <c r="F8" s="76" t="s">
        <v>25</v>
      </c>
      <c r="G8" s="76" t="s">
        <v>37</v>
      </c>
      <c r="H8" s="76" t="s">
        <v>82</v>
      </c>
      <c r="I8" s="76" t="s">
        <v>25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  <c r="Z8" s="76">
        <v>0</v>
      </c>
      <c r="AA8" s="76">
        <v>0</v>
      </c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0</v>
      </c>
      <c r="AI8" s="76">
        <v>0</v>
      </c>
      <c r="AJ8" s="76">
        <v>0</v>
      </c>
      <c r="AK8" s="76">
        <v>0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7">
        <v>0</v>
      </c>
    </row>
    <row r="9" spans="2:46" ht="12" customHeight="1" x14ac:dyDescent="0.25">
      <c r="B9" s="75" t="s">
        <v>35</v>
      </c>
      <c r="C9" s="76" t="s">
        <v>48</v>
      </c>
      <c r="D9" s="76" t="s">
        <v>25</v>
      </c>
      <c r="E9" s="76" t="s">
        <v>25</v>
      </c>
      <c r="F9" s="76" t="s">
        <v>25</v>
      </c>
      <c r="G9" s="76" t="s">
        <v>37</v>
      </c>
      <c r="H9" s="76" t="s">
        <v>88</v>
      </c>
      <c r="I9" s="76" t="s">
        <v>25</v>
      </c>
      <c r="J9" s="76">
        <v>0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0</v>
      </c>
      <c r="Y9" s="76">
        <v>0</v>
      </c>
      <c r="Z9" s="76">
        <v>0</v>
      </c>
      <c r="AA9" s="76">
        <v>0</v>
      </c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0</v>
      </c>
      <c r="AI9" s="76">
        <v>0</v>
      </c>
      <c r="AJ9" s="76">
        <v>0</v>
      </c>
      <c r="AK9" s="76">
        <v>0</v>
      </c>
      <c r="AL9" s="76">
        <v>0</v>
      </c>
      <c r="AM9" s="76">
        <v>0</v>
      </c>
      <c r="AN9" s="76">
        <v>0</v>
      </c>
      <c r="AO9" s="76">
        <v>0</v>
      </c>
      <c r="AP9" s="76">
        <v>0</v>
      </c>
      <c r="AQ9" s="76">
        <v>0</v>
      </c>
      <c r="AR9" s="76">
        <v>0</v>
      </c>
      <c r="AS9" s="76">
        <v>0</v>
      </c>
      <c r="AT9" s="77">
        <v>0</v>
      </c>
    </row>
    <row r="10" spans="2:46" ht="12" customHeight="1" x14ac:dyDescent="0.25">
      <c r="B10" s="75" t="s">
        <v>35</v>
      </c>
      <c r="C10" s="76" t="s">
        <v>48</v>
      </c>
      <c r="D10" s="76" t="s">
        <v>25</v>
      </c>
      <c r="E10" s="76" t="s">
        <v>25</v>
      </c>
      <c r="F10" s="76" t="s">
        <v>25</v>
      </c>
      <c r="G10" s="76" t="s">
        <v>38</v>
      </c>
      <c r="H10" s="76" t="s">
        <v>82</v>
      </c>
      <c r="I10" s="76" t="s">
        <v>25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>
        <v>0</v>
      </c>
      <c r="Z10" s="76">
        <v>0</v>
      </c>
      <c r="AA10" s="76">
        <v>0</v>
      </c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0</v>
      </c>
      <c r="AR10" s="76">
        <v>0</v>
      </c>
      <c r="AS10" s="76">
        <v>0</v>
      </c>
      <c r="AT10" s="77">
        <v>0</v>
      </c>
    </row>
    <row r="11" spans="2:46" ht="12" customHeight="1" x14ac:dyDescent="0.25">
      <c r="B11" s="75" t="s">
        <v>35</v>
      </c>
      <c r="C11" s="76" t="s">
        <v>48</v>
      </c>
      <c r="D11" s="76" t="s">
        <v>25</v>
      </c>
      <c r="E11" s="76" t="s">
        <v>25</v>
      </c>
      <c r="F11" s="76" t="s">
        <v>25</v>
      </c>
      <c r="G11" s="76" t="s">
        <v>38</v>
      </c>
      <c r="H11" s="76" t="s">
        <v>88</v>
      </c>
      <c r="I11" s="76" t="s">
        <v>25</v>
      </c>
      <c r="J11" s="76">
        <v>0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0</v>
      </c>
      <c r="U11" s="76">
        <v>0</v>
      </c>
      <c r="V11" s="76">
        <v>0</v>
      </c>
      <c r="W11" s="76">
        <v>0</v>
      </c>
      <c r="X11" s="76">
        <v>0</v>
      </c>
      <c r="Y11" s="76">
        <v>0</v>
      </c>
      <c r="Z11" s="76">
        <v>0</v>
      </c>
      <c r="AA11" s="76">
        <v>0</v>
      </c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7">
        <v>0</v>
      </c>
    </row>
    <row r="12" spans="2:46" ht="12" customHeight="1" x14ac:dyDescent="0.25">
      <c r="B12" s="75" t="s">
        <v>35</v>
      </c>
      <c r="C12" s="76" t="s">
        <v>56</v>
      </c>
      <c r="D12" s="76" t="s">
        <v>25</v>
      </c>
      <c r="E12" s="76" t="s">
        <v>25</v>
      </c>
      <c r="F12" s="76" t="s">
        <v>25</v>
      </c>
      <c r="G12" s="76" t="s">
        <v>37</v>
      </c>
      <c r="H12" s="76" t="s">
        <v>88</v>
      </c>
      <c r="I12" s="76" t="s">
        <v>58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7">
        <v>0</v>
      </c>
    </row>
    <row r="13" spans="2:46" ht="12" customHeight="1" x14ac:dyDescent="0.25">
      <c r="B13" s="75" t="s">
        <v>35</v>
      </c>
      <c r="C13" s="76" t="s">
        <v>56</v>
      </c>
      <c r="D13" s="76" t="s">
        <v>25</v>
      </c>
      <c r="E13" s="76" t="s">
        <v>25</v>
      </c>
      <c r="F13" s="76" t="s">
        <v>25</v>
      </c>
      <c r="G13" s="76" t="s">
        <v>25</v>
      </c>
      <c r="H13" s="76" t="s">
        <v>82</v>
      </c>
      <c r="I13" s="76" t="s">
        <v>58</v>
      </c>
      <c r="J13" s="76">
        <v>0</v>
      </c>
      <c r="K13" s="76">
        <v>0</v>
      </c>
      <c r="L13" s="76">
        <v>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0</v>
      </c>
      <c r="Y13" s="76">
        <v>0</v>
      </c>
      <c r="Z13" s="76">
        <v>0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0</v>
      </c>
      <c r="AR13" s="76">
        <v>0</v>
      </c>
      <c r="AS13" s="76">
        <v>0</v>
      </c>
      <c r="AT13" s="77">
        <v>0</v>
      </c>
    </row>
    <row r="14" spans="2:46" ht="12" customHeight="1" x14ac:dyDescent="0.25">
      <c r="B14" s="75" t="s">
        <v>35</v>
      </c>
      <c r="C14" s="76" t="s">
        <v>56</v>
      </c>
      <c r="D14" s="76" t="s">
        <v>25</v>
      </c>
      <c r="E14" s="76" t="s">
        <v>25</v>
      </c>
      <c r="F14" s="76" t="s">
        <v>25</v>
      </c>
      <c r="G14" s="76" t="s">
        <v>38</v>
      </c>
      <c r="H14" s="76" t="s">
        <v>88</v>
      </c>
      <c r="I14" s="76" t="s">
        <v>58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7">
        <v>0</v>
      </c>
    </row>
    <row r="15" spans="2:46" ht="12" customHeight="1" x14ac:dyDescent="0.25">
      <c r="B15" s="75" t="s">
        <v>35</v>
      </c>
      <c r="C15" s="76" t="s">
        <v>60</v>
      </c>
      <c r="D15" s="76" t="s">
        <v>25</v>
      </c>
      <c r="E15" s="76" t="s">
        <v>25</v>
      </c>
      <c r="F15" s="76" t="s">
        <v>25</v>
      </c>
      <c r="G15" s="76" t="s">
        <v>25</v>
      </c>
      <c r="H15" s="76" t="s">
        <v>88</v>
      </c>
      <c r="I15" s="76" t="s">
        <v>25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7">
        <v>0</v>
      </c>
    </row>
    <row r="16" spans="2:46" ht="12" customHeight="1" x14ac:dyDescent="0.25">
      <c r="B16" s="75" t="s">
        <v>35</v>
      </c>
      <c r="C16" s="76" t="s">
        <v>36</v>
      </c>
      <c r="D16" s="76" t="s">
        <v>25</v>
      </c>
      <c r="E16" s="76" t="s">
        <v>25</v>
      </c>
      <c r="F16" s="76" t="s">
        <v>54</v>
      </c>
      <c r="G16" s="76" t="s">
        <v>37</v>
      </c>
      <c r="H16" s="76" t="s">
        <v>82</v>
      </c>
      <c r="I16" s="76" t="s">
        <v>25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0</v>
      </c>
      <c r="Z16" s="76">
        <v>0</v>
      </c>
      <c r="AA16" s="76">
        <v>0</v>
      </c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0</v>
      </c>
      <c r="AQ16" s="76">
        <v>0</v>
      </c>
      <c r="AR16" s="76">
        <v>0</v>
      </c>
      <c r="AS16" s="76">
        <v>0</v>
      </c>
      <c r="AT16" s="77">
        <v>0</v>
      </c>
    </row>
    <row r="17" spans="2:46" ht="12" customHeight="1" x14ac:dyDescent="0.25">
      <c r="B17" s="75" t="s">
        <v>35</v>
      </c>
      <c r="C17" s="76" t="s">
        <v>36</v>
      </c>
      <c r="D17" s="76" t="s">
        <v>25</v>
      </c>
      <c r="E17" s="76" t="s">
        <v>25</v>
      </c>
      <c r="F17" s="76" t="s">
        <v>54</v>
      </c>
      <c r="G17" s="76" t="s">
        <v>25</v>
      </c>
      <c r="H17" s="76" t="s">
        <v>88</v>
      </c>
      <c r="I17" s="76" t="s">
        <v>25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0</v>
      </c>
      <c r="AA17" s="76">
        <v>0</v>
      </c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7">
        <v>0</v>
      </c>
    </row>
    <row r="18" spans="2:46" ht="12" customHeight="1" x14ac:dyDescent="0.25">
      <c r="B18" s="75" t="s">
        <v>35</v>
      </c>
      <c r="C18" s="76" t="s">
        <v>36</v>
      </c>
      <c r="D18" s="76" t="s">
        <v>25</v>
      </c>
      <c r="E18" s="76" t="s">
        <v>25</v>
      </c>
      <c r="F18" s="76" t="s">
        <v>54</v>
      </c>
      <c r="G18" s="76" t="s">
        <v>38</v>
      </c>
      <c r="H18" s="76" t="s">
        <v>82</v>
      </c>
      <c r="I18" s="76" t="s">
        <v>25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7">
        <v>0</v>
      </c>
    </row>
    <row r="19" spans="2:46" ht="12" customHeight="1" x14ac:dyDescent="0.25">
      <c r="B19" s="75" t="s">
        <v>35</v>
      </c>
      <c r="C19" s="76" t="s">
        <v>36</v>
      </c>
      <c r="D19" s="76" t="s">
        <v>25</v>
      </c>
      <c r="E19" s="76" t="s">
        <v>25</v>
      </c>
      <c r="F19" s="76" t="s">
        <v>25</v>
      </c>
      <c r="G19" s="76" t="s">
        <v>37</v>
      </c>
      <c r="H19" s="76" t="s">
        <v>82</v>
      </c>
      <c r="I19" s="76" t="s">
        <v>25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0</v>
      </c>
      <c r="Z19" s="76">
        <v>0</v>
      </c>
      <c r="AA19" s="76">
        <v>0</v>
      </c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0</v>
      </c>
      <c r="AQ19" s="76">
        <v>0</v>
      </c>
      <c r="AR19" s="76">
        <v>0</v>
      </c>
      <c r="AS19" s="76">
        <v>0</v>
      </c>
      <c r="AT19" s="77">
        <v>0</v>
      </c>
    </row>
    <row r="20" spans="2:46" ht="12" customHeight="1" x14ac:dyDescent="0.25">
      <c r="B20" s="75" t="s">
        <v>35</v>
      </c>
      <c r="C20" s="76" t="s">
        <v>36</v>
      </c>
      <c r="D20" s="76" t="s">
        <v>25</v>
      </c>
      <c r="E20" s="76" t="s">
        <v>25</v>
      </c>
      <c r="F20" s="76" t="s">
        <v>25</v>
      </c>
      <c r="G20" s="76" t="s">
        <v>25</v>
      </c>
      <c r="H20" s="76" t="s">
        <v>88</v>
      </c>
      <c r="I20" s="76" t="s">
        <v>25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0</v>
      </c>
      <c r="Z20" s="76">
        <v>0</v>
      </c>
      <c r="AA20" s="76">
        <v>0</v>
      </c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7">
        <v>0</v>
      </c>
    </row>
    <row r="21" spans="2:46" ht="12" customHeight="1" x14ac:dyDescent="0.25">
      <c r="B21" s="75" t="s">
        <v>35</v>
      </c>
      <c r="C21" s="76" t="s">
        <v>36</v>
      </c>
      <c r="D21" s="76" t="s">
        <v>25</v>
      </c>
      <c r="E21" s="76" t="s">
        <v>25</v>
      </c>
      <c r="F21" s="76" t="s">
        <v>25</v>
      </c>
      <c r="G21" s="76" t="s">
        <v>38</v>
      </c>
      <c r="H21" s="76" t="s">
        <v>82</v>
      </c>
      <c r="I21" s="76" t="s">
        <v>25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7">
        <v>0</v>
      </c>
    </row>
    <row r="22" spans="2:46" ht="12" customHeight="1" x14ac:dyDescent="0.25">
      <c r="B22" s="75" t="s">
        <v>92</v>
      </c>
      <c r="C22" s="76" t="s">
        <v>60</v>
      </c>
      <c r="D22" s="76" t="s">
        <v>25</v>
      </c>
      <c r="E22" s="76" t="s">
        <v>25</v>
      </c>
      <c r="F22" s="76" t="s">
        <v>93</v>
      </c>
      <c r="G22" s="76" t="s">
        <v>25</v>
      </c>
      <c r="H22" s="76" t="s">
        <v>88</v>
      </c>
      <c r="I22" s="76" t="s">
        <v>25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0</v>
      </c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7">
        <v>0</v>
      </c>
    </row>
    <row r="23" spans="2:46" ht="12" customHeight="1" x14ac:dyDescent="0.25">
      <c r="B23" s="75" t="s">
        <v>92</v>
      </c>
      <c r="C23" s="76" t="s">
        <v>60</v>
      </c>
      <c r="D23" s="76" t="s">
        <v>25</v>
      </c>
      <c r="E23" s="76" t="s">
        <v>25</v>
      </c>
      <c r="F23" s="76" t="s">
        <v>94</v>
      </c>
      <c r="G23" s="76" t="s">
        <v>25</v>
      </c>
      <c r="H23" s="76" t="s">
        <v>88</v>
      </c>
      <c r="I23" s="76" t="s">
        <v>25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  <c r="Z23" s="76">
        <v>0</v>
      </c>
      <c r="AA23" s="76">
        <v>0</v>
      </c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7">
        <v>0</v>
      </c>
    </row>
    <row r="24" spans="2:46" ht="12" customHeight="1" x14ac:dyDescent="0.25">
      <c r="B24" s="75" t="s">
        <v>22</v>
      </c>
      <c r="C24" s="76" t="s">
        <v>97</v>
      </c>
      <c r="D24" s="76" t="s">
        <v>24</v>
      </c>
      <c r="E24" s="76" t="s">
        <v>24</v>
      </c>
      <c r="F24" s="76" t="s">
        <v>25</v>
      </c>
      <c r="G24" s="76" t="s">
        <v>37</v>
      </c>
      <c r="H24" s="76" t="s">
        <v>82</v>
      </c>
      <c r="I24" s="76" t="s">
        <v>25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7">
        <v>0</v>
      </c>
    </row>
    <row r="25" spans="2:46" ht="12" customHeight="1" x14ac:dyDescent="0.25">
      <c r="B25" s="75" t="s">
        <v>22</v>
      </c>
      <c r="C25" s="76" t="s">
        <v>97</v>
      </c>
      <c r="D25" s="76" t="s">
        <v>24</v>
      </c>
      <c r="E25" s="76" t="s">
        <v>24</v>
      </c>
      <c r="F25" s="76" t="s">
        <v>25</v>
      </c>
      <c r="G25" s="76" t="s">
        <v>612</v>
      </c>
      <c r="H25" s="76" t="s">
        <v>82</v>
      </c>
      <c r="I25" s="76" t="s">
        <v>25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  <c r="Z25" s="76">
        <v>0</v>
      </c>
      <c r="AA25" s="76">
        <v>0</v>
      </c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7">
        <v>0</v>
      </c>
    </row>
    <row r="26" spans="2:46" ht="12" customHeight="1" x14ac:dyDescent="0.25">
      <c r="B26" s="75" t="s">
        <v>22</v>
      </c>
      <c r="C26" s="76" t="s">
        <v>97</v>
      </c>
      <c r="D26" s="76" t="s">
        <v>24</v>
      </c>
      <c r="E26" s="76" t="s">
        <v>24</v>
      </c>
      <c r="F26" s="76" t="s">
        <v>25</v>
      </c>
      <c r="G26" s="76" t="s">
        <v>38</v>
      </c>
      <c r="H26" s="76" t="s">
        <v>82</v>
      </c>
      <c r="I26" s="76" t="s">
        <v>25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7">
        <v>0</v>
      </c>
    </row>
    <row r="27" spans="2:46" ht="12" customHeight="1" x14ac:dyDescent="0.25">
      <c r="B27" s="75" t="s">
        <v>22</v>
      </c>
      <c r="C27" s="76" t="s">
        <v>23</v>
      </c>
      <c r="D27" s="76" t="s">
        <v>24</v>
      </c>
      <c r="E27" s="76" t="s">
        <v>1147</v>
      </c>
      <c r="F27" s="76" t="s">
        <v>25</v>
      </c>
      <c r="G27" s="76" t="s">
        <v>25</v>
      </c>
      <c r="H27" s="76" t="s">
        <v>82</v>
      </c>
      <c r="I27" s="76" t="s">
        <v>25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  <c r="Z27" s="76">
        <v>0</v>
      </c>
      <c r="AA27" s="76">
        <v>0</v>
      </c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7">
        <v>0</v>
      </c>
    </row>
    <row r="28" spans="2:46" ht="12" customHeight="1" x14ac:dyDescent="0.25">
      <c r="B28" s="75" t="s">
        <v>22</v>
      </c>
      <c r="C28" s="76" t="s">
        <v>23</v>
      </c>
      <c r="D28" s="76" t="s">
        <v>24</v>
      </c>
      <c r="E28" s="76" t="s">
        <v>24</v>
      </c>
      <c r="F28" s="76" t="s">
        <v>25</v>
      </c>
      <c r="G28" s="76" t="s">
        <v>25</v>
      </c>
      <c r="H28" s="76" t="s">
        <v>82</v>
      </c>
      <c r="I28" s="76" t="s">
        <v>25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0</v>
      </c>
      <c r="Z28" s="76">
        <v>0</v>
      </c>
      <c r="AA28" s="76">
        <v>0</v>
      </c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7">
        <v>0</v>
      </c>
    </row>
    <row r="29" spans="2:46" ht="12" customHeight="1" x14ac:dyDescent="0.25">
      <c r="B29" s="75" t="s">
        <v>22</v>
      </c>
      <c r="C29" s="76" t="s">
        <v>99</v>
      </c>
      <c r="D29" s="76" t="s">
        <v>24</v>
      </c>
      <c r="E29" s="76" t="s">
        <v>1147</v>
      </c>
      <c r="F29" s="76" t="s">
        <v>25</v>
      </c>
      <c r="G29" s="76" t="s">
        <v>25</v>
      </c>
      <c r="H29" s="76" t="s">
        <v>82</v>
      </c>
      <c r="I29" s="76" t="s">
        <v>25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  <c r="Z29" s="76">
        <v>0</v>
      </c>
      <c r="AA29" s="76">
        <v>0</v>
      </c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7">
        <v>0</v>
      </c>
    </row>
    <row r="30" spans="2:46" ht="12" customHeight="1" x14ac:dyDescent="0.25">
      <c r="B30" s="75" t="s">
        <v>22</v>
      </c>
      <c r="C30" s="76" t="s">
        <v>99</v>
      </c>
      <c r="D30" s="76" t="s">
        <v>24</v>
      </c>
      <c r="E30" s="76" t="s">
        <v>24</v>
      </c>
      <c r="F30" s="76" t="s">
        <v>25</v>
      </c>
      <c r="G30" s="76" t="s">
        <v>25</v>
      </c>
      <c r="H30" s="76" t="s">
        <v>82</v>
      </c>
      <c r="I30" s="76" t="s">
        <v>25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7">
        <v>0</v>
      </c>
    </row>
    <row r="31" spans="2:46" ht="12" customHeight="1" x14ac:dyDescent="0.25">
      <c r="B31" s="75" t="s">
        <v>40</v>
      </c>
      <c r="C31" s="76" t="s">
        <v>97</v>
      </c>
      <c r="D31" s="76" t="s">
        <v>41</v>
      </c>
      <c r="E31" s="76" t="s">
        <v>100</v>
      </c>
      <c r="F31" s="76" t="s">
        <v>25</v>
      </c>
      <c r="G31" s="76" t="s">
        <v>37</v>
      </c>
      <c r="H31" s="76" t="s">
        <v>82</v>
      </c>
      <c r="I31" s="76" t="s">
        <v>25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  <c r="Z31" s="76">
        <v>0</v>
      </c>
      <c r="AA31" s="76">
        <v>0</v>
      </c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7">
        <v>0</v>
      </c>
    </row>
    <row r="32" spans="2:46" ht="12" customHeight="1" x14ac:dyDescent="0.25">
      <c r="B32" s="75" t="s">
        <v>40</v>
      </c>
      <c r="C32" s="76" t="s">
        <v>97</v>
      </c>
      <c r="D32" s="76" t="s">
        <v>41</v>
      </c>
      <c r="E32" s="76" t="s">
        <v>100</v>
      </c>
      <c r="F32" s="76" t="s">
        <v>25</v>
      </c>
      <c r="G32" s="76" t="s">
        <v>612</v>
      </c>
      <c r="H32" s="76" t="s">
        <v>82</v>
      </c>
      <c r="I32" s="76" t="s">
        <v>25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0</v>
      </c>
      <c r="AA32" s="76">
        <v>0</v>
      </c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7">
        <v>0</v>
      </c>
    </row>
    <row r="33" spans="2:46" ht="12" customHeight="1" x14ac:dyDescent="0.25">
      <c r="B33" s="75" t="s">
        <v>40</v>
      </c>
      <c r="C33" s="76" t="s">
        <v>97</v>
      </c>
      <c r="D33" s="76" t="s">
        <v>41</v>
      </c>
      <c r="E33" s="76" t="s">
        <v>100</v>
      </c>
      <c r="F33" s="76" t="s">
        <v>25</v>
      </c>
      <c r="G33" s="76" t="s">
        <v>38</v>
      </c>
      <c r="H33" s="76" t="s">
        <v>82</v>
      </c>
      <c r="I33" s="76" t="s">
        <v>25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0</v>
      </c>
      <c r="Z33" s="76">
        <v>0</v>
      </c>
      <c r="AA33" s="76">
        <v>0</v>
      </c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7">
        <v>0</v>
      </c>
    </row>
    <row r="34" spans="2:46" ht="12" customHeight="1" x14ac:dyDescent="0.25">
      <c r="B34" s="75" t="s">
        <v>40</v>
      </c>
      <c r="C34" s="76" t="s">
        <v>97</v>
      </c>
      <c r="D34" s="76" t="s">
        <v>41</v>
      </c>
      <c r="E34" s="76" t="s">
        <v>25</v>
      </c>
      <c r="F34" s="76" t="s">
        <v>25</v>
      </c>
      <c r="G34" s="76" t="s">
        <v>37</v>
      </c>
      <c r="H34" s="76" t="s">
        <v>82</v>
      </c>
      <c r="I34" s="76" t="s">
        <v>25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6">
        <v>0</v>
      </c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7">
        <v>0</v>
      </c>
    </row>
    <row r="35" spans="2:46" ht="12" customHeight="1" x14ac:dyDescent="0.25">
      <c r="B35" s="75" t="s">
        <v>40</v>
      </c>
      <c r="C35" s="76" t="s">
        <v>97</v>
      </c>
      <c r="D35" s="76" t="s">
        <v>41</v>
      </c>
      <c r="E35" s="76" t="s">
        <v>25</v>
      </c>
      <c r="F35" s="76" t="s">
        <v>25</v>
      </c>
      <c r="G35" s="76" t="s">
        <v>612</v>
      </c>
      <c r="H35" s="76" t="s">
        <v>82</v>
      </c>
      <c r="I35" s="76" t="s">
        <v>25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  <c r="Z35" s="76">
        <v>0</v>
      </c>
      <c r="AA35" s="76">
        <v>0</v>
      </c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7">
        <v>0</v>
      </c>
    </row>
    <row r="36" spans="2:46" ht="12" customHeight="1" x14ac:dyDescent="0.25">
      <c r="B36" s="75" t="s">
        <v>40</v>
      </c>
      <c r="C36" s="76" t="s">
        <v>97</v>
      </c>
      <c r="D36" s="76" t="s">
        <v>41</v>
      </c>
      <c r="E36" s="76" t="s">
        <v>25</v>
      </c>
      <c r="F36" s="76" t="s">
        <v>25</v>
      </c>
      <c r="G36" s="76" t="s">
        <v>38</v>
      </c>
      <c r="H36" s="76" t="s">
        <v>82</v>
      </c>
      <c r="I36" s="76" t="s">
        <v>25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  <c r="Z36" s="76">
        <v>0</v>
      </c>
      <c r="AA36" s="76">
        <v>0</v>
      </c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7">
        <v>0</v>
      </c>
    </row>
    <row r="37" spans="2:46" ht="12" customHeight="1" x14ac:dyDescent="0.25">
      <c r="B37" s="75" t="s">
        <v>40</v>
      </c>
      <c r="C37" s="76" t="s">
        <v>97</v>
      </c>
      <c r="D37" s="76" t="s">
        <v>41</v>
      </c>
      <c r="E37" s="76" t="s">
        <v>101</v>
      </c>
      <c r="F37" s="76" t="s">
        <v>25</v>
      </c>
      <c r="G37" s="76" t="s">
        <v>37</v>
      </c>
      <c r="H37" s="76" t="s">
        <v>82</v>
      </c>
      <c r="I37" s="76" t="s">
        <v>25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0</v>
      </c>
      <c r="Z37" s="76">
        <v>0</v>
      </c>
      <c r="AA37" s="76">
        <v>0</v>
      </c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7">
        <v>0</v>
      </c>
    </row>
    <row r="38" spans="2:46" ht="12" customHeight="1" x14ac:dyDescent="0.25">
      <c r="B38" s="75" t="s">
        <v>40</v>
      </c>
      <c r="C38" s="76" t="s">
        <v>97</v>
      </c>
      <c r="D38" s="76" t="s">
        <v>41</v>
      </c>
      <c r="E38" s="76" t="s">
        <v>101</v>
      </c>
      <c r="F38" s="76" t="s">
        <v>25</v>
      </c>
      <c r="G38" s="76" t="s">
        <v>612</v>
      </c>
      <c r="H38" s="76" t="s">
        <v>82</v>
      </c>
      <c r="I38" s="76" t="s">
        <v>25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  <c r="Z38" s="76">
        <v>0</v>
      </c>
      <c r="AA38" s="76">
        <v>0</v>
      </c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7">
        <v>0</v>
      </c>
    </row>
    <row r="39" spans="2:46" ht="12" customHeight="1" x14ac:dyDescent="0.25">
      <c r="B39" s="75" t="s">
        <v>40</v>
      </c>
      <c r="C39" s="76" t="s">
        <v>97</v>
      </c>
      <c r="D39" s="76" t="s">
        <v>41</v>
      </c>
      <c r="E39" s="76" t="s">
        <v>101</v>
      </c>
      <c r="F39" s="76" t="s">
        <v>25</v>
      </c>
      <c r="G39" s="76" t="s">
        <v>38</v>
      </c>
      <c r="H39" s="76" t="s">
        <v>82</v>
      </c>
      <c r="I39" s="76" t="s">
        <v>25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0</v>
      </c>
      <c r="Z39" s="76">
        <v>0</v>
      </c>
      <c r="AA39" s="76">
        <v>0</v>
      </c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7">
        <v>0</v>
      </c>
    </row>
    <row r="40" spans="2:46" ht="12" customHeight="1" x14ac:dyDescent="0.25">
      <c r="B40" s="75" t="s">
        <v>40</v>
      </c>
      <c r="C40" s="76" t="s">
        <v>23</v>
      </c>
      <c r="D40" s="76" t="s">
        <v>41</v>
      </c>
      <c r="E40" s="76" t="s">
        <v>100</v>
      </c>
      <c r="F40" s="76" t="s">
        <v>25</v>
      </c>
      <c r="G40" s="76" t="s">
        <v>25</v>
      </c>
      <c r="H40" s="76" t="s">
        <v>82</v>
      </c>
      <c r="I40" s="76" t="s">
        <v>25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  <c r="Z40" s="76">
        <v>0</v>
      </c>
      <c r="AA40" s="76">
        <v>0</v>
      </c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7">
        <v>0</v>
      </c>
    </row>
    <row r="41" spans="2:46" ht="12" customHeight="1" x14ac:dyDescent="0.25">
      <c r="B41" s="75" t="s">
        <v>40</v>
      </c>
      <c r="C41" s="76" t="s">
        <v>23</v>
      </c>
      <c r="D41" s="76" t="s">
        <v>41</v>
      </c>
      <c r="E41" s="76" t="s">
        <v>25</v>
      </c>
      <c r="F41" s="76" t="s">
        <v>25</v>
      </c>
      <c r="G41" s="76" t="s">
        <v>25</v>
      </c>
      <c r="H41" s="76" t="s">
        <v>82</v>
      </c>
      <c r="I41" s="76" t="s">
        <v>25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0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0</v>
      </c>
      <c r="AS41" s="76">
        <v>0</v>
      </c>
      <c r="AT41" s="77">
        <v>0</v>
      </c>
    </row>
    <row r="42" spans="2:46" ht="12" customHeight="1" x14ac:dyDescent="0.25">
      <c r="B42" s="75" t="s">
        <v>40</v>
      </c>
      <c r="C42" s="76" t="s">
        <v>23</v>
      </c>
      <c r="D42" s="76" t="s">
        <v>41</v>
      </c>
      <c r="E42" s="76" t="s">
        <v>101</v>
      </c>
      <c r="F42" s="76" t="s">
        <v>25</v>
      </c>
      <c r="G42" s="76" t="s">
        <v>25</v>
      </c>
      <c r="H42" s="76" t="s">
        <v>82</v>
      </c>
      <c r="I42" s="76" t="s">
        <v>25</v>
      </c>
      <c r="J42" s="76">
        <v>0</v>
      </c>
      <c r="K42" s="76">
        <v>0</v>
      </c>
      <c r="L42" s="76">
        <v>0</v>
      </c>
      <c r="M42" s="76">
        <v>0</v>
      </c>
      <c r="N42" s="76">
        <v>0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76">
        <v>0</v>
      </c>
      <c r="Y42" s="76">
        <v>0</v>
      </c>
      <c r="Z42" s="76">
        <v>0</v>
      </c>
      <c r="AA42" s="76">
        <v>0</v>
      </c>
      <c r="AB42" s="76">
        <v>0</v>
      </c>
      <c r="AC42" s="76">
        <v>0</v>
      </c>
      <c r="AD42" s="76">
        <v>0</v>
      </c>
      <c r="AE42" s="76">
        <v>0</v>
      </c>
      <c r="AF42" s="76">
        <v>0</v>
      </c>
      <c r="AG42" s="76">
        <v>0</v>
      </c>
      <c r="AH42" s="76">
        <v>0</v>
      </c>
      <c r="AI42" s="76">
        <v>0</v>
      </c>
      <c r="AJ42" s="76">
        <v>0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7">
        <v>0</v>
      </c>
    </row>
    <row r="43" spans="2:46" ht="12" customHeight="1" x14ac:dyDescent="0.25">
      <c r="B43" s="75" t="s">
        <v>40</v>
      </c>
      <c r="C43" s="76" t="s">
        <v>99</v>
      </c>
      <c r="D43" s="76" t="s">
        <v>41</v>
      </c>
      <c r="E43" s="76" t="s">
        <v>100</v>
      </c>
      <c r="F43" s="76" t="s">
        <v>25</v>
      </c>
      <c r="G43" s="76" t="s">
        <v>25</v>
      </c>
      <c r="H43" s="76" t="s">
        <v>82</v>
      </c>
      <c r="I43" s="76" t="s">
        <v>25</v>
      </c>
      <c r="J43" s="76">
        <v>0</v>
      </c>
      <c r="K43" s="76">
        <v>0</v>
      </c>
      <c r="L43" s="76">
        <v>0</v>
      </c>
      <c r="M43" s="76">
        <v>0</v>
      </c>
      <c r="N43" s="76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>
        <v>0</v>
      </c>
      <c r="Z43" s="76">
        <v>0</v>
      </c>
      <c r="AA43" s="76">
        <v>0</v>
      </c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7">
        <v>0</v>
      </c>
    </row>
    <row r="44" spans="2:46" ht="12" customHeight="1" x14ac:dyDescent="0.25">
      <c r="B44" s="75" t="s">
        <v>40</v>
      </c>
      <c r="C44" s="76" t="s">
        <v>99</v>
      </c>
      <c r="D44" s="76" t="s">
        <v>41</v>
      </c>
      <c r="E44" s="76" t="s">
        <v>25</v>
      </c>
      <c r="F44" s="76" t="s">
        <v>25</v>
      </c>
      <c r="G44" s="76" t="s">
        <v>25</v>
      </c>
      <c r="H44" s="76" t="s">
        <v>82</v>
      </c>
      <c r="I44" s="76" t="s">
        <v>25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0</v>
      </c>
      <c r="Z44" s="76">
        <v>0</v>
      </c>
      <c r="AA44" s="76">
        <v>0</v>
      </c>
      <c r="AB44" s="76">
        <v>0</v>
      </c>
      <c r="AC44" s="76">
        <v>0</v>
      </c>
      <c r="AD44" s="76">
        <v>0</v>
      </c>
      <c r="AE44" s="76">
        <v>0</v>
      </c>
      <c r="AF44" s="76">
        <v>0</v>
      </c>
      <c r="AG44" s="76">
        <v>0</v>
      </c>
      <c r="AH44" s="76">
        <v>0</v>
      </c>
      <c r="AI44" s="76">
        <v>0</v>
      </c>
      <c r="AJ44" s="76">
        <v>0</v>
      </c>
      <c r="AK44" s="76">
        <v>0</v>
      </c>
      <c r="AL44" s="76">
        <v>0</v>
      </c>
      <c r="AM44" s="76">
        <v>0</v>
      </c>
      <c r="AN44" s="76">
        <v>0</v>
      </c>
      <c r="AO44" s="76">
        <v>0</v>
      </c>
      <c r="AP44" s="76">
        <v>0</v>
      </c>
      <c r="AQ44" s="76">
        <v>0</v>
      </c>
      <c r="AR44" s="76">
        <v>0</v>
      </c>
      <c r="AS44" s="76">
        <v>0</v>
      </c>
      <c r="AT44" s="77">
        <v>0</v>
      </c>
    </row>
    <row r="45" spans="2:46" ht="12" customHeight="1" x14ac:dyDescent="0.25">
      <c r="B45" s="75" t="s">
        <v>40</v>
      </c>
      <c r="C45" s="76" t="s">
        <v>99</v>
      </c>
      <c r="D45" s="76" t="s">
        <v>41</v>
      </c>
      <c r="E45" s="76" t="s">
        <v>101</v>
      </c>
      <c r="F45" s="76" t="s">
        <v>25</v>
      </c>
      <c r="G45" s="76" t="s">
        <v>25</v>
      </c>
      <c r="H45" s="76" t="s">
        <v>82</v>
      </c>
      <c r="I45" s="76" t="s">
        <v>25</v>
      </c>
      <c r="J45" s="76">
        <v>0</v>
      </c>
      <c r="K45" s="76">
        <v>0</v>
      </c>
      <c r="L45" s="76">
        <v>0</v>
      </c>
      <c r="M45" s="76">
        <v>0</v>
      </c>
      <c r="N45" s="76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>
        <v>0</v>
      </c>
      <c r="AR45" s="76">
        <v>0</v>
      </c>
      <c r="AS45" s="76">
        <v>0</v>
      </c>
      <c r="AT45" s="77">
        <v>0</v>
      </c>
    </row>
    <row r="46" spans="2:46" ht="12" customHeight="1" x14ac:dyDescent="0.25">
      <c r="B46" s="75" t="s">
        <v>33</v>
      </c>
      <c r="C46" s="76" t="s">
        <v>97</v>
      </c>
      <c r="D46" s="76" t="s">
        <v>25</v>
      </c>
      <c r="E46" s="76" t="s">
        <v>25</v>
      </c>
      <c r="F46" s="76" t="s">
        <v>25</v>
      </c>
      <c r="G46" s="76" t="s">
        <v>37</v>
      </c>
      <c r="H46" s="76" t="s">
        <v>82</v>
      </c>
      <c r="I46" s="76" t="s">
        <v>25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0</v>
      </c>
      <c r="P46" s="76">
        <v>0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  <c r="AA46" s="76">
        <v>0</v>
      </c>
      <c r="AB46" s="76">
        <v>0</v>
      </c>
      <c r="AC46" s="76">
        <v>0</v>
      </c>
      <c r="AD46" s="76">
        <v>0</v>
      </c>
      <c r="AE46" s="76">
        <v>0</v>
      </c>
      <c r="AF46" s="76">
        <v>0</v>
      </c>
      <c r="AG46" s="76">
        <v>0</v>
      </c>
      <c r="AH46" s="76">
        <v>0</v>
      </c>
      <c r="AI46" s="76">
        <v>0</v>
      </c>
      <c r="AJ46" s="76">
        <v>0</v>
      </c>
      <c r="AK46" s="76">
        <v>0</v>
      </c>
      <c r="AL46" s="76">
        <v>0</v>
      </c>
      <c r="AM46" s="76">
        <v>0</v>
      </c>
      <c r="AN46" s="76">
        <v>0</v>
      </c>
      <c r="AO46" s="76">
        <v>0</v>
      </c>
      <c r="AP46" s="76">
        <v>0</v>
      </c>
      <c r="AQ46" s="76">
        <v>0</v>
      </c>
      <c r="AR46" s="76">
        <v>0</v>
      </c>
      <c r="AS46" s="76">
        <v>0</v>
      </c>
      <c r="AT46" s="77">
        <v>0</v>
      </c>
    </row>
    <row r="47" spans="2:46" ht="12" customHeight="1" x14ac:dyDescent="0.25">
      <c r="B47" s="75" t="s">
        <v>33</v>
      </c>
      <c r="C47" s="76" t="s">
        <v>97</v>
      </c>
      <c r="D47" s="76" t="s">
        <v>25</v>
      </c>
      <c r="E47" s="76" t="s">
        <v>25</v>
      </c>
      <c r="F47" s="76" t="s">
        <v>25</v>
      </c>
      <c r="G47" s="76" t="s">
        <v>612</v>
      </c>
      <c r="H47" s="76" t="s">
        <v>82</v>
      </c>
      <c r="I47" s="76" t="s">
        <v>25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  <c r="AA47" s="76">
        <v>0</v>
      </c>
      <c r="AB47" s="76">
        <v>0</v>
      </c>
      <c r="AC47" s="76">
        <v>0</v>
      </c>
      <c r="AD47" s="76">
        <v>0</v>
      </c>
      <c r="AE47" s="76">
        <v>0</v>
      </c>
      <c r="AF47" s="76">
        <v>0</v>
      </c>
      <c r="AG47" s="76">
        <v>0</v>
      </c>
      <c r="AH47" s="76">
        <v>0</v>
      </c>
      <c r="AI47" s="76">
        <v>0</v>
      </c>
      <c r="AJ47" s="76">
        <v>0</v>
      </c>
      <c r="AK47" s="76">
        <v>0</v>
      </c>
      <c r="AL47" s="76">
        <v>0</v>
      </c>
      <c r="AM47" s="76">
        <v>0</v>
      </c>
      <c r="AN47" s="76">
        <v>0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7">
        <v>0</v>
      </c>
    </row>
    <row r="48" spans="2:46" ht="12" customHeight="1" x14ac:dyDescent="0.25">
      <c r="B48" s="75" t="s">
        <v>33</v>
      </c>
      <c r="C48" s="76" t="s">
        <v>97</v>
      </c>
      <c r="D48" s="76" t="s">
        <v>25</v>
      </c>
      <c r="E48" s="76" t="s">
        <v>25</v>
      </c>
      <c r="F48" s="76" t="s">
        <v>25</v>
      </c>
      <c r="G48" s="76" t="s">
        <v>38</v>
      </c>
      <c r="H48" s="76" t="s">
        <v>82</v>
      </c>
      <c r="I48" s="76" t="s">
        <v>25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  <c r="AA48" s="76">
        <v>0</v>
      </c>
      <c r="AB48" s="76">
        <v>0</v>
      </c>
      <c r="AC48" s="76">
        <v>0</v>
      </c>
      <c r="AD48" s="76">
        <v>0</v>
      </c>
      <c r="AE48" s="76">
        <v>0</v>
      </c>
      <c r="AF48" s="76">
        <v>0</v>
      </c>
      <c r="AG48" s="76">
        <v>0</v>
      </c>
      <c r="AH48" s="76">
        <v>0</v>
      </c>
      <c r="AI48" s="76">
        <v>0</v>
      </c>
      <c r="AJ48" s="76">
        <v>0</v>
      </c>
      <c r="AK48" s="76">
        <v>0</v>
      </c>
      <c r="AL48" s="76">
        <v>0</v>
      </c>
      <c r="AM48" s="76">
        <v>0</v>
      </c>
      <c r="AN48" s="76">
        <v>0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7">
        <v>0</v>
      </c>
    </row>
    <row r="49" spans="2:46" ht="12" customHeight="1" x14ac:dyDescent="0.25">
      <c r="B49" s="75" t="s">
        <v>33</v>
      </c>
      <c r="C49" s="76" t="s">
        <v>23</v>
      </c>
      <c r="D49" s="76" t="s">
        <v>25</v>
      </c>
      <c r="E49" s="76" t="s">
        <v>25</v>
      </c>
      <c r="F49" s="76" t="s">
        <v>25</v>
      </c>
      <c r="G49" s="76" t="s">
        <v>25</v>
      </c>
      <c r="H49" s="76" t="s">
        <v>82</v>
      </c>
      <c r="I49" s="76" t="s">
        <v>25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  <c r="AA49" s="76">
        <v>0</v>
      </c>
      <c r="AB49" s="76">
        <v>0</v>
      </c>
      <c r="AC49" s="76">
        <v>0</v>
      </c>
      <c r="AD49" s="76">
        <v>0</v>
      </c>
      <c r="AE49" s="76">
        <v>0</v>
      </c>
      <c r="AF49" s="76">
        <v>0</v>
      </c>
      <c r="AG49" s="76">
        <v>0</v>
      </c>
      <c r="AH49" s="76">
        <v>0</v>
      </c>
      <c r="AI49" s="76">
        <v>0</v>
      </c>
      <c r="AJ49" s="76">
        <v>0</v>
      </c>
      <c r="AK49" s="76">
        <v>0</v>
      </c>
      <c r="AL49" s="76">
        <v>0</v>
      </c>
      <c r="AM49" s="76">
        <v>0</v>
      </c>
      <c r="AN49" s="76">
        <v>0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7">
        <v>0</v>
      </c>
    </row>
    <row r="50" spans="2:46" ht="12" customHeight="1" x14ac:dyDescent="0.25">
      <c r="B50" s="75" t="s">
        <v>33</v>
      </c>
      <c r="C50" s="76" t="s">
        <v>99</v>
      </c>
      <c r="D50" s="76" t="s">
        <v>25</v>
      </c>
      <c r="E50" s="76" t="s">
        <v>25</v>
      </c>
      <c r="F50" s="76" t="s">
        <v>25</v>
      </c>
      <c r="G50" s="76" t="s">
        <v>25</v>
      </c>
      <c r="H50" s="76" t="s">
        <v>82</v>
      </c>
      <c r="I50" s="76" t="s">
        <v>25</v>
      </c>
      <c r="J50" s="76">
        <v>0</v>
      </c>
      <c r="K50" s="76">
        <v>0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0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  <c r="AA50" s="76">
        <v>0</v>
      </c>
      <c r="AB50" s="76">
        <v>0</v>
      </c>
      <c r="AC50" s="76">
        <v>0</v>
      </c>
      <c r="AD50" s="76">
        <v>0</v>
      </c>
      <c r="AE50" s="76">
        <v>0</v>
      </c>
      <c r="AF50" s="76">
        <v>0</v>
      </c>
      <c r="AG50" s="76">
        <v>0</v>
      </c>
      <c r="AH50" s="76">
        <v>0</v>
      </c>
      <c r="AI50" s="76">
        <v>0</v>
      </c>
      <c r="AJ50" s="76">
        <v>0</v>
      </c>
      <c r="AK50" s="76">
        <v>0</v>
      </c>
      <c r="AL50" s="76">
        <v>0</v>
      </c>
      <c r="AM50" s="76">
        <v>0</v>
      </c>
      <c r="AN50" s="76">
        <v>0</v>
      </c>
      <c r="AO50" s="76">
        <v>0</v>
      </c>
      <c r="AP50" s="76">
        <v>0</v>
      </c>
      <c r="AQ50" s="76">
        <v>0</v>
      </c>
      <c r="AR50" s="76">
        <v>0</v>
      </c>
      <c r="AS50" s="76">
        <v>0</v>
      </c>
      <c r="AT50" s="77">
        <v>0</v>
      </c>
    </row>
    <row r="51" spans="2:46" ht="12" customHeight="1" x14ac:dyDescent="0.25">
      <c r="B51" s="75" t="s">
        <v>43</v>
      </c>
      <c r="C51" s="76" t="s">
        <v>23</v>
      </c>
      <c r="D51" s="76" t="s">
        <v>44</v>
      </c>
      <c r="E51" s="76" t="s">
        <v>45</v>
      </c>
      <c r="F51" s="76" t="s">
        <v>25</v>
      </c>
      <c r="G51" s="76" t="s">
        <v>25</v>
      </c>
      <c r="H51" s="76" t="s">
        <v>82</v>
      </c>
      <c r="I51" s="76" t="s">
        <v>25</v>
      </c>
      <c r="J51" s="76">
        <v>0</v>
      </c>
      <c r="K51" s="76">
        <v>0</v>
      </c>
      <c r="L51" s="76">
        <v>0</v>
      </c>
      <c r="M51" s="76">
        <v>0</v>
      </c>
      <c r="N51" s="76">
        <v>0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  <c r="AA51" s="76">
        <v>0</v>
      </c>
      <c r="AB51" s="76">
        <v>0</v>
      </c>
      <c r="AC51" s="76">
        <v>0</v>
      </c>
      <c r="AD51" s="76">
        <v>0</v>
      </c>
      <c r="AE51" s="76">
        <v>0</v>
      </c>
      <c r="AF51" s="76">
        <v>0</v>
      </c>
      <c r="AG51" s="76">
        <v>0</v>
      </c>
      <c r="AH51" s="76">
        <v>0</v>
      </c>
      <c r="AI51" s="76">
        <v>0</v>
      </c>
      <c r="AJ51" s="76">
        <v>0</v>
      </c>
      <c r="AK51" s="76">
        <v>0</v>
      </c>
      <c r="AL51" s="76">
        <v>0</v>
      </c>
      <c r="AM51" s="76">
        <v>0</v>
      </c>
      <c r="AN51" s="76">
        <v>0</v>
      </c>
      <c r="AO51" s="76">
        <v>0</v>
      </c>
      <c r="AP51" s="76">
        <v>0</v>
      </c>
      <c r="AQ51" s="76">
        <v>0</v>
      </c>
      <c r="AR51" s="76">
        <v>0</v>
      </c>
      <c r="AS51" s="76">
        <v>0</v>
      </c>
      <c r="AT51" s="77">
        <v>0</v>
      </c>
    </row>
    <row r="52" spans="2:46" ht="12" customHeight="1" x14ac:dyDescent="0.25">
      <c r="B52" s="78" t="s">
        <v>43</v>
      </c>
      <c r="C52" s="79" t="s">
        <v>23</v>
      </c>
      <c r="D52" s="79" t="s">
        <v>44</v>
      </c>
      <c r="E52" s="79" t="s">
        <v>102</v>
      </c>
      <c r="F52" s="79" t="s">
        <v>25</v>
      </c>
      <c r="G52" s="79" t="s">
        <v>25</v>
      </c>
      <c r="H52" s="79" t="s">
        <v>82</v>
      </c>
      <c r="I52" s="79" t="s">
        <v>25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79">
        <v>0</v>
      </c>
      <c r="AJ52" s="79">
        <v>0</v>
      </c>
      <c r="AK52" s="79">
        <v>0</v>
      </c>
      <c r="AL52" s="79">
        <v>0</v>
      </c>
      <c r="AM52" s="79">
        <v>0</v>
      </c>
      <c r="AN52" s="79">
        <v>0</v>
      </c>
      <c r="AO52" s="79">
        <v>0</v>
      </c>
      <c r="AP52" s="79">
        <v>0</v>
      </c>
      <c r="AQ52" s="79">
        <v>0</v>
      </c>
      <c r="AR52" s="79">
        <v>0</v>
      </c>
      <c r="AS52" s="79">
        <v>0</v>
      </c>
      <c r="AT52" s="80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29</vt:i4>
      </vt:variant>
      <vt:variant>
        <vt:lpstr>Intervalos Nomeados</vt:lpstr>
      </vt:variant>
      <vt:variant>
        <vt:i4>1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TA - Aplicação</vt:lpstr>
      <vt:lpstr>TA - BE</vt:lpstr>
      <vt:lpstr>TA - CVA</vt:lpstr>
      <vt:lpstr>LnKTxTRA1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2022-08-23T15:17:30Z</dcterms:created>
  <dcterms:modified xsi:type="dcterms:W3CDTF">2022-09-23T14:25:06Z</dcterms:modified>
</cp:coreProperties>
</file>